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ETWORK GROUP\Price Controls\GDNs GD23\41= Final Determination\Final Determination Web Publication\"/>
    </mc:Choice>
  </mc:AlternateContent>
  <bookViews>
    <workbookView xWindow="0" yWindow="0" windowWidth="19200" windowHeight="7200" tabRatio="589"/>
  </bookViews>
  <sheets>
    <sheet name="Title" sheetId="61" r:id="rId1"/>
    <sheet name="Inputs" sheetId="55" r:id="rId2"/>
    <sheet name="DAV Inputs" sheetId="59" r:id="rId3"/>
    <sheet name="Retro DAV" sheetId="63" r:id="rId4"/>
    <sheet name="DAV Pi" sheetId="38" r:id="rId5"/>
    <sheet name="Pi's Calc" sheetId="41" r:id="rId6"/>
    <sheet name="UR Tax Calculation" sheetId="57" r:id="rId7"/>
    <sheet name="Financeability" sheetId="56" r:id="rId8"/>
    <sheet name="DP &amp; DV" sheetId="60" r:id="rId9"/>
  </sheets>
  <calcPr calcId="162913"/>
</workbook>
</file>

<file path=xl/calcChain.xml><?xml version="1.0" encoding="utf-8"?>
<calcChain xmlns="http://schemas.openxmlformats.org/spreadsheetml/2006/main">
  <c r="Q88" i="55" l="1"/>
  <c r="R88" i="55"/>
  <c r="S88" i="55"/>
  <c r="T88" i="55"/>
  <c r="U88" i="55"/>
  <c r="V88" i="55"/>
  <c r="W88" i="55"/>
  <c r="X88" i="55"/>
  <c r="Y88" i="55"/>
  <c r="Z88" i="55"/>
  <c r="AA88" i="55"/>
  <c r="AB88" i="55"/>
  <c r="AC88" i="55"/>
  <c r="AD88" i="55"/>
  <c r="AE88" i="55"/>
  <c r="AF88" i="55"/>
  <c r="AG88" i="55"/>
  <c r="AH88" i="55"/>
  <c r="AI88" i="55"/>
  <c r="AJ88" i="55"/>
  <c r="AK88" i="55"/>
  <c r="AL88" i="55"/>
  <c r="AM88" i="55"/>
  <c r="P88" i="55"/>
  <c r="P3" i="41"/>
  <c r="D32" i="38"/>
  <c r="E5" i="38"/>
  <c r="E7" i="38"/>
  <c r="E23" i="38"/>
  <c r="E30" i="38"/>
  <c r="E32" i="38"/>
  <c r="F5" i="38"/>
  <c r="F7" i="38"/>
  <c r="F23" i="38"/>
  <c r="F30" i="38"/>
  <c r="F32" i="38"/>
  <c r="G5" i="38"/>
  <c r="G7" i="38"/>
  <c r="G23" i="38"/>
  <c r="G30" i="38"/>
  <c r="G32" i="38"/>
  <c r="H5" i="38"/>
  <c r="H7" i="38"/>
  <c r="H23" i="38"/>
  <c r="H30" i="38"/>
  <c r="H32" i="38"/>
  <c r="I5" i="38"/>
  <c r="I7" i="38"/>
  <c r="I23" i="38"/>
  <c r="I30" i="38"/>
  <c r="I32" i="38"/>
  <c r="J5" i="38"/>
  <c r="J7" i="38"/>
  <c r="J23" i="38"/>
  <c r="J30" i="38"/>
  <c r="J32" i="38"/>
  <c r="K5" i="38"/>
  <c r="K7" i="38"/>
  <c r="K23" i="38"/>
  <c r="K30" i="38"/>
  <c r="K32" i="38"/>
  <c r="L5" i="38"/>
  <c r="L7" i="38"/>
  <c r="L23" i="38"/>
  <c r="L30" i="38"/>
  <c r="L32" i="38"/>
  <c r="M5" i="38"/>
  <c r="M7" i="38"/>
  <c r="M23" i="38"/>
  <c r="M30" i="38"/>
  <c r="M32" i="38"/>
  <c r="N5" i="38"/>
  <c r="N7" i="38"/>
  <c r="N23" i="38"/>
  <c r="N30" i="38"/>
  <c r="N32" i="38"/>
  <c r="O5" i="38"/>
  <c r="O7" i="38"/>
  <c r="O23" i="38"/>
  <c r="O30" i="38"/>
  <c r="O32" i="38"/>
  <c r="M42" i="55"/>
  <c r="O42" i="55"/>
  <c r="P42" i="55"/>
  <c r="D30" i="63"/>
  <c r="E21" i="63"/>
  <c r="F21" i="63"/>
  <c r="G21" i="63"/>
  <c r="H21" i="63"/>
  <c r="I21" i="63"/>
  <c r="J21" i="63"/>
  <c r="J28" i="63"/>
  <c r="K21" i="63"/>
  <c r="K28" i="63"/>
  <c r="L21" i="63"/>
  <c r="L28" i="63"/>
  <c r="M21" i="63"/>
  <c r="M28" i="63"/>
  <c r="N21" i="63"/>
  <c r="N28" i="63"/>
  <c r="O21" i="63"/>
  <c r="O28" i="63"/>
  <c r="M48" i="55"/>
  <c r="O43" i="55"/>
  <c r="P43" i="55"/>
  <c r="P56" i="55"/>
  <c r="O33" i="41"/>
  <c r="O42" i="41"/>
  <c r="O56" i="41" s="1"/>
  <c r="Q3" i="41"/>
  <c r="P35" i="55"/>
  <c r="P84" i="41"/>
  <c r="Q35" i="55"/>
  <c r="R35" i="55"/>
  <c r="S35" i="55"/>
  <c r="T35" i="55"/>
  <c r="U35" i="55"/>
  <c r="V34" i="55"/>
  <c r="V35" i="55"/>
  <c r="W34" i="55"/>
  <c r="W35" i="55"/>
  <c r="X34" i="55"/>
  <c r="X35" i="55"/>
  <c r="Y34" i="55"/>
  <c r="Y35" i="55"/>
  <c r="Z34" i="55"/>
  <c r="Z35" i="55"/>
  <c r="AA34" i="55"/>
  <c r="AA35" i="55"/>
  <c r="AB34" i="55"/>
  <c r="AB35" i="55"/>
  <c r="AC34" i="55"/>
  <c r="AC35" i="55"/>
  <c r="AD34" i="55"/>
  <c r="AD35" i="55"/>
  <c r="AE34" i="55"/>
  <c r="AE35" i="55"/>
  <c r="AF34" i="55"/>
  <c r="AF35" i="55"/>
  <c r="AG34" i="55"/>
  <c r="AG35" i="55"/>
  <c r="AH34" i="55"/>
  <c r="AH35" i="55"/>
  <c r="AI34" i="55"/>
  <c r="AI35" i="55"/>
  <c r="AJ34" i="55"/>
  <c r="AJ35" i="55"/>
  <c r="AK34" i="55"/>
  <c r="AK35" i="55"/>
  <c r="AL34" i="55"/>
  <c r="AL35" i="55"/>
  <c r="AM34" i="55"/>
  <c r="AM35" i="55"/>
  <c r="AM10" i="56"/>
  <c r="AL10" i="56"/>
  <c r="P21" i="56"/>
  <c r="Q21" i="56"/>
  <c r="R21" i="56" s="1"/>
  <c r="S21" i="56" s="1"/>
  <c r="T21" i="56" s="1"/>
  <c r="U21" i="56" s="1"/>
  <c r="V21" i="56" s="1"/>
  <c r="W21" i="56" s="1"/>
  <c r="X21" i="56" s="1"/>
  <c r="Y21" i="56" s="1"/>
  <c r="Z21" i="56" s="1"/>
  <c r="AA21" i="56" s="1"/>
  <c r="AB21" i="56" s="1"/>
  <c r="AC21" i="56" s="1"/>
  <c r="AD21" i="56" s="1"/>
  <c r="AE21" i="56" s="1"/>
  <c r="AF21" i="56" s="1"/>
  <c r="AG21" i="56" s="1"/>
  <c r="AH21" i="56" s="1"/>
  <c r="AI21" i="56" s="1"/>
  <c r="AJ21" i="56" s="1"/>
  <c r="AK21" i="56" s="1"/>
  <c r="AL21" i="56" s="1"/>
  <c r="AM21" i="56" s="1"/>
  <c r="U23" i="56"/>
  <c r="V23" i="56" s="1"/>
  <c r="W23" i="56" s="1"/>
  <c r="X23" i="56" s="1"/>
  <c r="Y23" i="56" s="1"/>
  <c r="Z23" i="56" s="1"/>
  <c r="AA23" i="56" s="1"/>
  <c r="AB23" i="56" s="1"/>
  <c r="AC23" i="56" s="1"/>
  <c r="AD23" i="56" s="1"/>
  <c r="AE23" i="56" s="1"/>
  <c r="AF23" i="56" s="1"/>
  <c r="AG23" i="56" s="1"/>
  <c r="AH23" i="56" s="1"/>
  <c r="AI23" i="56" s="1"/>
  <c r="AJ23" i="56" s="1"/>
  <c r="AK23" i="56" s="1"/>
  <c r="AL23" i="56" s="1"/>
  <c r="AM23" i="56" s="1"/>
  <c r="AM89" i="55"/>
  <c r="AM7" i="56"/>
  <c r="AM16" i="56" s="1"/>
  <c r="AM39" i="56" s="1"/>
  <c r="P61" i="41"/>
  <c r="AK10" i="56"/>
  <c r="AL89" i="55"/>
  <c r="D63" i="38"/>
  <c r="E36" i="38"/>
  <c r="AL54" i="38"/>
  <c r="AL61" i="38"/>
  <c r="AL7" i="56"/>
  <c r="AL16" i="56" s="1"/>
  <c r="AL39" i="56" s="1"/>
  <c r="AJ10" i="56"/>
  <c r="AK89" i="55"/>
  <c r="AK54" i="38"/>
  <c r="AK61" i="38"/>
  <c r="AK7" i="56"/>
  <c r="AK16" i="56"/>
  <c r="AK39" i="56" s="1"/>
  <c r="AI10" i="56"/>
  <c r="AJ89" i="55"/>
  <c r="AJ54" i="38"/>
  <c r="AJ61" i="38"/>
  <c r="AJ7" i="56"/>
  <c r="AJ16" i="56" s="1"/>
  <c r="AJ39" i="56" s="1"/>
  <c r="AH10" i="56"/>
  <c r="AI89" i="55"/>
  <c r="AI54" i="38"/>
  <c r="AI61" i="38"/>
  <c r="AI7" i="56"/>
  <c r="AI16" i="56"/>
  <c r="AI39" i="56" s="1"/>
  <c r="AG10" i="56"/>
  <c r="AH89" i="55"/>
  <c r="AH54" i="38"/>
  <c r="AH61" i="38"/>
  <c r="AH7" i="56"/>
  <c r="AF10" i="56"/>
  <c r="AG89" i="55"/>
  <c r="AG54" i="38"/>
  <c r="AG61" i="38"/>
  <c r="AG7" i="56"/>
  <c r="AG16" i="56"/>
  <c r="AG39" i="56" s="1"/>
  <c r="AE10" i="56"/>
  <c r="AF89" i="55"/>
  <c r="AF54" i="38"/>
  <c r="AF61" i="38"/>
  <c r="AF7" i="56"/>
  <c r="AF16" i="56" s="1"/>
  <c r="AF39" i="56" s="1"/>
  <c r="AD10" i="56"/>
  <c r="AE89" i="55"/>
  <c r="AE54" i="38"/>
  <c r="AE61" i="38"/>
  <c r="AE7" i="56"/>
  <c r="AE16" i="56" s="1"/>
  <c r="AE39" i="56" s="1"/>
  <c r="AC10" i="56"/>
  <c r="AD89" i="55"/>
  <c r="AD54" i="38"/>
  <c r="AD61" i="38"/>
  <c r="AD7" i="56"/>
  <c r="AB10" i="56"/>
  <c r="AB16" i="56" s="1"/>
  <c r="AB39" i="56" s="1"/>
  <c r="AC89" i="55"/>
  <c r="AC54" i="38"/>
  <c r="AC61" i="38"/>
  <c r="AC7" i="56"/>
  <c r="AC16" i="56" s="1"/>
  <c r="AC39" i="56" s="1"/>
  <c r="AA10" i="56"/>
  <c r="AB89" i="55"/>
  <c r="AB54" i="38"/>
  <c r="AB61" i="38"/>
  <c r="AB7" i="56"/>
  <c r="Z10" i="56"/>
  <c r="AA89" i="55"/>
  <c r="AA54" i="38"/>
  <c r="AA61" i="38"/>
  <c r="AA7" i="56"/>
  <c r="AA16" i="56" s="1"/>
  <c r="AA39" i="56" s="1"/>
  <c r="Y10" i="56"/>
  <c r="Z89" i="55"/>
  <c r="Z54" i="38"/>
  <c r="Z61" i="38"/>
  <c r="Z7" i="56"/>
  <c r="Z16" i="56" s="1"/>
  <c r="Z39" i="56" s="1"/>
  <c r="X10" i="56"/>
  <c r="Y89" i="55"/>
  <c r="Y54" i="38"/>
  <c r="Y61" i="38"/>
  <c r="Y7" i="56"/>
  <c r="Y16" i="56" s="1"/>
  <c r="Y39" i="56" s="1"/>
  <c r="W10" i="56"/>
  <c r="X89" i="55"/>
  <c r="X54" i="38"/>
  <c r="X61" i="38"/>
  <c r="X7" i="56"/>
  <c r="X16" i="56"/>
  <c r="X39" i="56" s="1"/>
  <c r="V10" i="56"/>
  <c r="W89" i="55"/>
  <c r="W54" i="38"/>
  <c r="W61" i="38"/>
  <c r="W7" i="56"/>
  <c r="W16" i="56"/>
  <c r="W39" i="56"/>
  <c r="U10" i="56"/>
  <c r="V89" i="55"/>
  <c r="V54" i="38"/>
  <c r="V61" i="38"/>
  <c r="V7" i="56"/>
  <c r="V16" i="56" s="1"/>
  <c r="V39" i="56" s="1"/>
  <c r="T10" i="56"/>
  <c r="U89" i="55"/>
  <c r="U54" i="38"/>
  <c r="U61" i="38"/>
  <c r="U7" i="56"/>
  <c r="U16" i="56"/>
  <c r="U39" i="56" s="1"/>
  <c r="S10" i="56"/>
  <c r="T23" i="56"/>
  <c r="T89" i="55"/>
  <c r="T54" i="38"/>
  <c r="T61" i="38"/>
  <c r="T7" i="56"/>
  <c r="T16" i="56" s="1"/>
  <c r="T39" i="56" s="1"/>
  <c r="R10" i="56"/>
  <c r="S23" i="56"/>
  <c r="S89" i="55"/>
  <c r="S54" i="38"/>
  <c r="S61" i="38"/>
  <c r="S7" i="56"/>
  <c r="S16" i="56" s="1"/>
  <c r="S39" i="56" s="1"/>
  <c r="Q10" i="56"/>
  <c r="R23" i="56"/>
  <c r="R89" i="55"/>
  <c r="R54" i="38"/>
  <c r="R61" i="38"/>
  <c r="R7" i="56"/>
  <c r="P10" i="56"/>
  <c r="Q23" i="56"/>
  <c r="Q89" i="55"/>
  <c r="Q54" i="38"/>
  <c r="Q61" i="38"/>
  <c r="Q7" i="56"/>
  <c r="O10" i="56"/>
  <c r="P23" i="56"/>
  <c r="P6" i="57"/>
  <c r="P16" i="57"/>
  <c r="P20" i="57" s="1"/>
  <c r="P89" i="55"/>
  <c r="P54" i="38"/>
  <c r="P61" i="38"/>
  <c r="P7" i="56"/>
  <c r="P16" i="56" s="1"/>
  <c r="P39" i="56" s="1"/>
  <c r="O54" i="41"/>
  <c r="O8" i="56" s="1"/>
  <c r="Q4" i="60"/>
  <c r="R3" i="41"/>
  <c r="R4" i="60"/>
  <c r="S3" i="41"/>
  <c r="S4" i="60"/>
  <c r="T3" i="41"/>
  <c r="T4" i="60"/>
  <c r="U3" i="41"/>
  <c r="U4" i="60"/>
  <c r="Q3" i="60"/>
  <c r="R3" i="60"/>
  <c r="S3" i="60"/>
  <c r="T3" i="60"/>
  <c r="U3" i="60"/>
  <c r="P3" i="60"/>
  <c r="E38" i="38"/>
  <c r="E54" i="38"/>
  <c r="E61" i="38"/>
  <c r="E63" i="38"/>
  <c r="F36" i="38"/>
  <c r="F38" i="38"/>
  <c r="F54" i="38"/>
  <c r="F61" i="38"/>
  <c r="F63" i="38"/>
  <c r="G36" i="38"/>
  <c r="G38" i="38"/>
  <c r="G54" i="38"/>
  <c r="G61" i="38"/>
  <c r="G63" i="38"/>
  <c r="H36" i="38"/>
  <c r="H38" i="38"/>
  <c r="H54" i="38"/>
  <c r="H61" i="38"/>
  <c r="H63" i="38"/>
  <c r="I36" i="38"/>
  <c r="I38" i="38"/>
  <c r="I54" i="38"/>
  <c r="I61" i="38"/>
  <c r="I63" i="38"/>
  <c r="J36" i="38"/>
  <c r="J38" i="38"/>
  <c r="J54" i="38"/>
  <c r="J61" i="38"/>
  <c r="J63" i="38"/>
  <c r="K36" i="38"/>
  <c r="K38" i="38"/>
  <c r="K54" i="38"/>
  <c r="K61" i="38"/>
  <c r="K63" i="38"/>
  <c r="L36" i="38"/>
  <c r="L38" i="38"/>
  <c r="L54" i="38"/>
  <c r="L61" i="38"/>
  <c r="L63" i="38"/>
  <c r="M36" i="38"/>
  <c r="M38" i="38"/>
  <c r="M54" i="38"/>
  <c r="M61" i="38"/>
  <c r="M63" i="38"/>
  <c r="N36" i="38"/>
  <c r="N38" i="38"/>
  <c r="N54" i="38"/>
  <c r="N61" i="38"/>
  <c r="N63" i="38"/>
  <c r="O36" i="38"/>
  <c r="O38" i="38"/>
  <c r="O54" i="38"/>
  <c r="O61" i="38"/>
  <c r="O63" i="38"/>
  <c r="P36" i="38"/>
  <c r="P38" i="38"/>
  <c r="P63" i="38"/>
  <c r="Q36" i="38"/>
  <c r="Q38" i="38"/>
  <c r="Q63" i="38"/>
  <c r="R36" i="38"/>
  <c r="R38" i="38"/>
  <c r="R63" i="38"/>
  <c r="S36" i="38"/>
  <c r="S38" i="38"/>
  <c r="S63" i="38"/>
  <c r="T36" i="38"/>
  <c r="T38" i="38"/>
  <c r="T63" i="38"/>
  <c r="U36" i="38"/>
  <c r="U38" i="38"/>
  <c r="U63" i="38"/>
  <c r="U31" i="41"/>
  <c r="U43" i="41"/>
  <c r="U53" i="41"/>
  <c r="U44" i="41"/>
  <c r="V36" i="38"/>
  <c r="V38" i="38"/>
  <c r="V63" i="38"/>
  <c r="W36" i="38"/>
  <c r="W38" i="38"/>
  <c r="W63" i="38"/>
  <c r="X36" i="38"/>
  <c r="X38" i="38"/>
  <c r="X63" i="38"/>
  <c r="Y36" i="38"/>
  <c r="Y38" i="38"/>
  <c r="Y63" i="38"/>
  <c r="Z36" i="38"/>
  <c r="Z38" i="38"/>
  <c r="Z63" i="38"/>
  <c r="AA36" i="38"/>
  <c r="AA38" i="38"/>
  <c r="AA63" i="38"/>
  <c r="AA31" i="41"/>
  <c r="AA43" i="41"/>
  <c r="AA53" i="41"/>
  <c r="AA44" i="41"/>
  <c r="AB36" i="38"/>
  <c r="AB38" i="38"/>
  <c r="AB63" i="38"/>
  <c r="AC36" i="38"/>
  <c r="AC38" i="38"/>
  <c r="AC63" i="38"/>
  <c r="AD36" i="38"/>
  <c r="AD38" i="38"/>
  <c r="AD63" i="38"/>
  <c r="AE36" i="38"/>
  <c r="AE38" i="38"/>
  <c r="AE63" i="38"/>
  <c r="AF36" i="38"/>
  <c r="AF38" i="38"/>
  <c r="AF63" i="38"/>
  <c r="AG36" i="38"/>
  <c r="AG38" i="38"/>
  <c r="AG63" i="38"/>
  <c r="AG31" i="41"/>
  <c r="AG43" i="41"/>
  <c r="AG53" i="41"/>
  <c r="AG44" i="41"/>
  <c r="AH36" i="38"/>
  <c r="AH38" i="38"/>
  <c r="AH63" i="38"/>
  <c r="AI36" i="38"/>
  <c r="AI38" i="38"/>
  <c r="AI63" i="38"/>
  <c r="AJ36" i="38"/>
  <c r="AJ38" i="38"/>
  <c r="AJ63" i="38"/>
  <c r="AK36" i="38"/>
  <c r="AK38" i="38"/>
  <c r="AK63" i="38"/>
  <c r="AL36" i="38"/>
  <c r="AL38" i="38"/>
  <c r="AL63" i="38"/>
  <c r="AM36" i="38"/>
  <c r="AM38" i="38"/>
  <c r="AM63" i="38"/>
  <c r="AM31" i="41"/>
  <c r="AM43" i="41"/>
  <c r="AM53" i="41"/>
  <c r="AM44" i="41"/>
  <c r="O4" i="41"/>
  <c r="P4" i="41" s="1"/>
  <c r="Q4" i="41" s="1"/>
  <c r="P31" i="41"/>
  <c r="P51" i="41" s="1"/>
  <c r="P7" i="41"/>
  <c r="P23" i="41" s="1"/>
  <c r="P76" i="41" s="1"/>
  <c r="P89" i="41" s="1"/>
  <c r="Q31" i="41"/>
  <c r="Q51" i="41" s="1"/>
  <c r="Q7" i="41"/>
  <c r="Q6" i="57"/>
  <c r="V3" i="41"/>
  <c r="O35" i="55"/>
  <c r="M31" i="55"/>
  <c r="E75" i="59"/>
  <c r="E37" i="38"/>
  <c r="E76" i="59"/>
  <c r="E55" i="38"/>
  <c r="E40" i="38"/>
  <c r="E47" i="38"/>
  <c r="E56" i="38"/>
  <c r="E41" i="38"/>
  <c r="E48" i="38"/>
  <c r="E57" i="38"/>
  <c r="E43" i="38"/>
  <c r="E50" i="38"/>
  <c r="E59" i="38"/>
  <c r="E44" i="38"/>
  <c r="E51" i="38"/>
  <c r="E60" i="38"/>
  <c r="E42" i="38"/>
  <c r="E45" i="38"/>
  <c r="F75" i="59"/>
  <c r="F37" i="38"/>
  <c r="F76" i="59"/>
  <c r="F55" i="38"/>
  <c r="F40" i="38"/>
  <c r="F47" i="38"/>
  <c r="F56" i="38"/>
  <c r="F41" i="38"/>
  <c r="F48" i="38"/>
  <c r="F57" i="38"/>
  <c r="F43" i="38"/>
  <c r="F50" i="38"/>
  <c r="F59" i="38"/>
  <c r="F44" i="38"/>
  <c r="F51" i="38"/>
  <c r="F60" i="38"/>
  <c r="F42" i="38"/>
  <c r="F45" i="38"/>
  <c r="G75" i="59"/>
  <c r="G37" i="38"/>
  <c r="G76" i="59"/>
  <c r="G55" i="38"/>
  <c r="G40" i="38"/>
  <c r="G47" i="38"/>
  <c r="G56" i="38"/>
  <c r="G41" i="38"/>
  <c r="G48" i="38"/>
  <c r="G57" i="38"/>
  <c r="G43" i="38"/>
  <c r="G50" i="38"/>
  <c r="G59" i="38"/>
  <c r="G44" i="38"/>
  <c r="G51" i="38"/>
  <c r="G60" i="38"/>
  <c r="G42" i="38"/>
  <c r="G45" i="38"/>
  <c r="H75" i="59"/>
  <c r="H37" i="38"/>
  <c r="H76" i="59"/>
  <c r="H55" i="38"/>
  <c r="H40" i="38"/>
  <c r="H47" i="38"/>
  <c r="H56" i="38"/>
  <c r="H41" i="38"/>
  <c r="H48" i="38"/>
  <c r="H57" i="38"/>
  <c r="H43" i="38"/>
  <c r="H50" i="38"/>
  <c r="H59" i="38"/>
  <c r="H44" i="38"/>
  <c r="H51" i="38"/>
  <c r="H60" i="38"/>
  <c r="H42" i="38"/>
  <c r="H45" i="38"/>
  <c r="I75" i="59"/>
  <c r="I37" i="38"/>
  <c r="I76" i="59"/>
  <c r="I55" i="38"/>
  <c r="I40" i="38"/>
  <c r="I47" i="38"/>
  <c r="I56" i="38"/>
  <c r="I41" i="38"/>
  <c r="I48" i="38"/>
  <c r="I57" i="38"/>
  <c r="I43" i="38"/>
  <c r="I50" i="38"/>
  <c r="I59" i="38"/>
  <c r="I44" i="38"/>
  <c r="I51" i="38"/>
  <c r="I60" i="38"/>
  <c r="I42" i="38"/>
  <c r="I45" i="38"/>
  <c r="J75" i="59"/>
  <c r="J37" i="38"/>
  <c r="J76" i="59"/>
  <c r="J55" i="38"/>
  <c r="J40" i="38"/>
  <c r="J47" i="38"/>
  <c r="J56" i="38"/>
  <c r="J41" i="38"/>
  <c r="J48" i="38"/>
  <c r="J57" i="38"/>
  <c r="F49" i="38"/>
  <c r="G49" i="38"/>
  <c r="H49" i="38"/>
  <c r="I49" i="38"/>
  <c r="J42" i="38"/>
  <c r="J49" i="38"/>
  <c r="J58" i="38"/>
  <c r="J43" i="38"/>
  <c r="J50" i="38"/>
  <c r="J59" i="38"/>
  <c r="J44" i="38"/>
  <c r="J51" i="38"/>
  <c r="J60" i="38"/>
  <c r="J45" i="38"/>
  <c r="K75" i="59"/>
  <c r="K37" i="38"/>
  <c r="K76" i="59"/>
  <c r="K55" i="38"/>
  <c r="K40" i="38"/>
  <c r="K47" i="38"/>
  <c r="K56" i="38"/>
  <c r="K41" i="38"/>
  <c r="K48" i="38"/>
  <c r="K57" i="38"/>
  <c r="K42" i="38"/>
  <c r="K49" i="38"/>
  <c r="K58" i="38"/>
  <c r="K43" i="38"/>
  <c r="K50" i="38"/>
  <c r="K59" i="38"/>
  <c r="K44" i="38"/>
  <c r="K51" i="38"/>
  <c r="K60" i="38"/>
  <c r="K45" i="38"/>
  <c r="L75" i="59"/>
  <c r="L37" i="38"/>
  <c r="L76" i="59"/>
  <c r="L55" i="38"/>
  <c r="L40" i="38"/>
  <c r="L47" i="38"/>
  <c r="L56" i="38"/>
  <c r="L41" i="38"/>
  <c r="L48" i="38"/>
  <c r="L57" i="38"/>
  <c r="L42" i="38"/>
  <c r="L49" i="38"/>
  <c r="L58" i="38"/>
  <c r="L43" i="38"/>
  <c r="L50" i="38"/>
  <c r="L59" i="38"/>
  <c r="L44" i="38"/>
  <c r="L51" i="38"/>
  <c r="L60" i="38"/>
  <c r="L45" i="38"/>
  <c r="M75" i="59"/>
  <c r="M37" i="38"/>
  <c r="M76" i="59"/>
  <c r="M55" i="38"/>
  <c r="M40" i="38"/>
  <c r="M47" i="38"/>
  <c r="M56" i="38"/>
  <c r="M41" i="38"/>
  <c r="M48" i="38"/>
  <c r="M57" i="38"/>
  <c r="M42" i="38"/>
  <c r="M49" i="38"/>
  <c r="M58" i="38"/>
  <c r="M43" i="38"/>
  <c r="M50" i="38"/>
  <c r="M59" i="38"/>
  <c r="M44" i="38"/>
  <c r="M51" i="38"/>
  <c r="M60" i="38"/>
  <c r="M45" i="38"/>
  <c r="N75" i="59"/>
  <c r="N37" i="38"/>
  <c r="N76" i="59"/>
  <c r="N55" i="38"/>
  <c r="N40" i="38"/>
  <c r="N47" i="38"/>
  <c r="N56" i="38"/>
  <c r="N41" i="38"/>
  <c r="N48" i="38"/>
  <c r="N57" i="38"/>
  <c r="N42" i="38"/>
  <c r="N49" i="38"/>
  <c r="N58" i="38"/>
  <c r="N43" i="38"/>
  <c r="N50" i="38"/>
  <c r="N59" i="38"/>
  <c r="N44" i="38"/>
  <c r="N51" i="38"/>
  <c r="N60" i="38"/>
  <c r="N45" i="38"/>
  <c r="O75" i="59"/>
  <c r="O37" i="38"/>
  <c r="O76" i="59"/>
  <c r="O55" i="38"/>
  <c r="O40" i="38"/>
  <c r="O47" i="38"/>
  <c r="O56" i="38"/>
  <c r="O41" i="38"/>
  <c r="O48" i="38"/>
  <c r="O57" i="38"/>
  <c r="O42" i="38"/>
  <c r="O49" i="38"/>
  <c r="O58" i="38"/>
  <c r="O43" i="38"/>
  <c r="O50" i="38"/>
  <c r="O59" i="38"/>
  <c r="O44" i="38"/>
  <c r="O51" i="38"/>
  <c r="O60" i="38"/>
  <c r="O45" i="38"/>
  <c r="P75" i="59"/>
  <c r="P37" i="38"/>
  <c r="P76" i="59"/>
  <c r="P55" i="38"/>
  <c r="P40" i="38"/>
  <c r="P47" i="38"/>
  <c r="P56" i="38"/>
  <c r="P41" i="38"/>
  <c r="P48" i="38"/>
  <c r="P57" i="38"/>
  <c r="P42" i="38"/>
  <c r="P49" i="38"/>
  <c r="P58" i="38"/>
  <c r="P43" i="38"/>
  <c r="P50" i="38"/>
  <c r="P59" i="38"/>
  <c r="P44" i="38"/>
  <c r="P51" i="38"/>
  <c r="P60" i="38"/>
  <c r="P45" i="38"/>
  <c r="P44" i="55"/>
  <c r="O17" i="41"/>
  <c r="P17" i="41" s="1"/>
  <c r="O18" i="41"/>
  <c r="P18" i="41" s="1"/>
  <c r="P23" i="60" s="1"/>
  <c r="O19" i="41"/>
  <c r="P19" i="41" s="1"/>
  <c r="O64" i="55"/>
  <c r="P59" i="55"/>
  <c r="O67" i="55"/>
  <c r="P17" i="55"/>
  <c r="P60" i="55"/>
  <c r="P67" i="55"/>
  <c r="P68" i="55"/>
  <c r="P24" i="41"/>
  <c r="P26" i="41"/>
  <c r="P6" i="41"/>
  <c r="P22" i="41"/>
  <c r="P53" i="41"/>
  <c r="Q75" i="59"/>
  <c r="Q37" i="38"/>
  <c r="Q76" i="59"/>
  <c r="Q55" i="38"/>
  <c r="Q40" i="38"/>
  <c r="Q47" i="38"/>
  <c r="Q56" i="38"/>
  <c r="Q41" i="38"/>
  <c r="Q48" i="38"/>
  <c r="Q57" i="38"/>
  <c r="Q42" i="38"/>
  <c r="Q49" i="38"/>
  <c r="Q58" i="38"/>
  <c r="Q43" i="38"/>
  <c r="Q50" i="38"/>
  <c r="Q59" i="38"/>
  <c r="Q44" i="38"/>
  <c r="Q51" i="38"/>
  <c r="Q60" i="38"/>
  <c r="Q45" i="38"/>
  <c r="P27" i="57"/>
  <c r="N30" i="57"/>
  <c r="O30" i="57"/>
  <c r="P30" i="57"/>
  <c r="P43" i="57"/>
  <c r="O6" i="57"/>
  <c r="O27" i="57"/>
  <c r="O43" i="57"/>
  <c r="N42" i="57"/>
  <c r="N27" i="57"/>
  <c r="N38" i="57"/>
  <c r="N39" i="57"/>
  <c r="N40" i="57"/>
  <c r="N43" i="57"/>
  <c r="N45" i="57"/>
  <c r="N46" i="57"/>
  <c r="N47" i="57"/>
  <c r="O42" i="57"/>
  <c r="O45" i="57"/>
  <c r="O46" i="57"/>
  <c r="O47" i="57"/>
  <c r="P42" i="57"/>
  <c r="P45" i="57"/>
  <c r="P46" i="57"/>
  <c r="P47" i="57"/>
  <c r="Q42" i="57"/>
  <c r="Q27" i="57"/>
  <c r="Q30" i="57"/>
  <c r="Q43" i="57"/>
  <c r="Q45" i="57"/>
  <c r="Q46" i="57"/>
  <c r="Q74" i="57"/>
  <c r="N31" i="57"/>
  <c r="O31" i="57"/>
  <c r="P31" i="57"/>
  <c r="P60" i="57"/>
  <c r="P62" i="57"/>
  <c r="O54" i="57"/>
  <c r="O55" i="57"/>
  <c r="O56" i="57"/>
  <c r="O60" i="57"/>
  <c r="O62" i="57"/>
  <c r="N54" i="57"/>
  <c r="N55" i="57"/>
  <c r="N56" i="57"/>
  <c r="N60" i="57"/>
  <c r="N62" i="57"/>
  <c r="N64" i="57"/>
  <c r="N65" i="57"/>
  <c r="N70" i="57"/>
  <c r="N71" i="57"/>
  <c r="N66" i="57"/>
  <c r="N67" i="57"/>
  <c r="O59" i="57"/>
  <c r="O64" i="57"/>
  <c r="O65" i="57"/>
  <c r="O70" i="57"/>
  <c r="O71" i="57"/>
  <c r="O66" i="57"/>
  <c r="O67" i="57"/>
  <c r="P59" i="57"/>
  <c r="P64" i="57"/>
  <c r="P65" i="57"/>
  <c r="P67" i="57"/>
  <c r="Q59" i="57"/>
  <c r="Q31" i="57"/>
  <c r="Q60" i="57"/>
  <c r="Q62" i="57"/>
  <c r="Q64" i="57"/>
  <c r="Q65" i="57"/>
  <c r="Q76" i="57"/>
  <c r="Q79" i="57"/>
  <c r="Q11" i="57"/>
  <c r="R6" i="57"/>
  <c r="R7" i="41"/>
  <c r="R23" i="41"/>
  <c r="R75" i="59"/>
  <c r="R37" i="38"/>
  <c r="R76" i="59"/>
  <c r="R55" i="38"/>
  <c r="R40" i="38"/>
  <c r="R47" i="38"/>
  <c r="R56" i="38"/>
  <c r="R41" i="38"/>
  <c r="R48" i="38"/>
  <c r="R57" i="38"/>
  <c r="R42" i="38"/>
  <c r="R49" i="38"/>
  <c r="R58" i="38"/>
  <c r="R43" i="38"/>
  <c r="R50" i="38"/>
  <c r="R59" i="38"/>
  <c r="R44" i="38"/>
  <c r="R51" i="38"/>
  <c r="R60" i="38"/>
  <c r="R45" i="38"/>
  <c r="R31" i="41"/>
  <c r="R51" i="41"/>
  <c r="Q47" i="57"/>
  <c r="R42" i="57"/>
  <c r="R27" i="57"/>
  <c r="R30" i="57"/>
  <c r="R43" i="57"/>
  <c r="R45" i="57"/>
  <c r="R46" i="57"/>
  <c r="R74" i="57"/>
  <c r="Q67" i="57"/>
  <c r="R59" i="57"/>
  <c r="R31" i="57"/>
  <c r="R60" i="57"/>
  <c r="R62" i="57"/>
  <c r="R64" i="57"/>
  <c r="R65" i="57"/>
  <c r="R76" i="57"/>
  <c r="R79" i="57"/>
  <c r="R11" i="57"/>
  <c r="S6" i="57"/>
  <c r="S7" i="41"/>
  <c r="S23" i="41" s="1"/>
  <c r="S9" i="57" s="1"/>
  <c r="S69" i="41"/>
  <c r="S75" i="59"/>
  <c r="S37" i="38"/>
  <c r="S76" i="59"/>
  <c r="S55" i="38"/>
  <c r="S40" i="38"/>
  <c r="S47" i="38"/>
  <c r="S56" i="38"/>
  <c r="S41" i="38"/>
  <c r="S48" i="38"/>
  <c r="S57" i="38"/>
  <c r="S42" i="38"/>
  <c r="S49" i="38"/>
  <c r="S58" i="38"/>
  <c r="S43" i="38"/>
  <c r="S50" i="38"/>
  <c r="S59" i="38"/>
  <c r="S44" i="38"/>
  <c r="S51" i="38"/>
  <c r="S60" i="38"/>
  <c r="S45" i="38"/>
  <c r="S31" i="41"/>
  <c r="S51" i="41" s="1"/>
  <c r="R47" i="57"/>
  <c r="S42" i="57"/>
  <c r="S27" i="57"/>
  <c r="S30" i="57"/>
  <c r="S43" i="57"/>
  <c r="S45" i="57"/>
  <c r="S46" i="57"/>
  <c r="S74" i="57"/>
  <c r="R67" i="57"/>
  <c r="S59" i="57"/>
  <c r="S31" i="57"/>
  <c r="S60" i="57"/>
  <c r="S62" i="57"/>
  <c r="S64" i="57"/>
  <c r="S65" i="57"/>
  <c r="S76" i="57"/>
  <c r="S79" i="57"/>
  <c r="S11" i="57"/>
  <c r="T6" i="57"/>
  <c r="T7" i="41"/>
  <c r="T23" i="41" s="1"/>
  <c r="T75" i="59"/>
  <c r="T37" i="38"/>
  <c r="T76" i="59"/>
  <c r="T55" i="38"/>
  <c r="T40" i="38"/>
  <c r="T47" i="38"/>
  <c r="T56" i="38"/>
  <c r="T41" i="38"/>
  <c r="T48" i="38"/>
  <c r="T57" i="38"/>
  <c r="T43" i="38"/>
  <c r="T50" i="38"/>
  <c r="T59" i="38"/>
  <c r="T44" i="38"/>
  <c r="T51" i="38"/>
  <c r="T60" i="38"/>
  <c r="T42" i="38"/>
  <c r="T49" i="38"/>
  <c r="T58" i="38"/>
  <c r="T45" i="38"/>
  <c r="T31" i="41"/>
  <c r="T51" i="41"/>
  <c r="S47" i="57"/>
  <c r="T42" i="57"/>
  <c r="T27" i="57"/>
  <c r="T30" i="57"/>
  <c r="T43" i="57"/>
  <c r="T45" i="57"/>
  <c r="T46" i="57"/>
  <c r="T74" i="57"/>
  <c r="S67" i="57"/>
  <c r="T59" i="57"/>
  <c r="T31" i="57"/>
  <c r="T60" i="57"/>
  <c r="T62" i="57"/>
  <c r="T64" i="57"/>
  <c r="T65" i="57"/>
  <c r="T76" i="57"/>
  <c r="T79" i="57"/>
  <c r="T11" i="57"/>
  <c r="U6" i="57"/>
  <c r="U7" i="41"/>
  <c r="U75" i="59"/>
  <c r="U37" i="38"/>
  <c r="U76" i="59"/>
  <c r="U55" i="38"/>
  <c r="U40" i="38"/>
  <c r="U47" i="38"/>
  <c r="U56" i="38"/>
  <c r="U41" i="38"/>
  <c r="U48" i="38"/>
  <c r="U57" i="38"/>
  <c r="U43" i="38"/>
  <c r="U50" i="38"/>
  <c r="U59" i="38"/>
  <c r="U44" i="38"/>
  <c r="U51" i="38"/>
  <c r="U60" i="38"/>
  <c r="U42" i="38"/>
  <c r="U49" i="38"/>
  <c r="U58" i="38"/>
  <c r="U45" i="38"/>
  <c r="U51" i="41"/>
  <c r="T47" i="57"/>
  <c r="U42" i="57"/>
  <c r="U27" i="57"/>
  <c r="U30" i="57"/>
  <c r="U43" i="57"/>
  <c r="U45" i="57"/>
  <c r="U46" i="57"/>
  <c r="U74" i="57"/>
  <c r="T67" i="57"/>
  <c r="U59" i="57"/>
  <c r="U31" i="57"/>
  <c r="U60" i="57"/>
  <c r="U62" i="57"/>
  <c r="U64" i="57"/>
  <c r="U65" i="57"/>
  <c r="U76" i="57"/>
  <c r="U79" i="57"/>
  <c r="U11" i="57"/>
  <c r="V6" i="57"/>
  <c r="V7" i="41"/>
  <c r="V16" i="60" s="1"/>
  <c r="V23" i="41"/>
  <c r="V75" i="59"/>
  <c r="V37" i="38"/>
  <c r="V76" i="59"/>
  <c r="V55" i="38"/>
  <c r="V40" i="38"/>
  <c r="V47" i="38"/>
  <c r="V56" i="38"/>
  <c r="V41" i="38"/>
  <c r="V48" i="38"/>
  <c r="V57" i="38"/>
  <c r="V43" i="38"/>
  <c r="V50" i="38"/>
  <c r="V59" i="38"/>
  <c r="V44" i="38"/>
  <c r="V51" i="38"/>
  <c r="V60" i="38"/>
  <c r="V42" i="38"/>
  <c r="V49" i="38"/>
  <c r="V58" i="38"/>
  <c r="V45" i="38"/>
  <c r="V31" i="41"/>
  <c r="V51" i="41"/>
  <c r="U47" i="57"/>
  <c r="V42" i="57"/>
  <c r="V27" i="57"/>
  <c r="V30" i="57"/>
  <c r="V43" i="57"/>
  <c r="V45" i="57"/>
  <c r="V46" i="57"/>
  <c r="V74" i="57"/>
  <c r="U67" i="57"/>
  <c r="V59" i="57"/>
  <c r="V31" i="57"/>
  <c r="V60" i="57"/>
  <c r="V62" i="57"/>
  <c r="V64" i="57"/>
  <c r="V65" i="57"/>
  <c r="V76" i="57"/>
  <c r="V79" i="57"/>
  <c r="V11" i="57"/>
  <c r="W6" i="57"/>
  <c r="W7" i="41"/>
  <c r="W23" i="41" s="1"/>
  <c r="W75" i="59"/>
  <c r="W37" i="38"/>
  <c r="W76" i="59"/>
  <c r="W55" i="38"/>
  <c r="W40" i="38"/>
  <c r="W47" i="38"/>
  <c r="W56" i="38"/>
  <c r="W41" i="38"/>
  <c r="W48" i="38"/>
  <c r="W57" i="38"/>
  <c r="W43" i="38"/>
  <c r="W50" i="38"/>
  <c r="W59" i="38"/>
  <c r="W44" i="38"/>
  <c r="W51" i="38"/>
  <c r="W60" i="38"/>
  <c r="W42" i="38"/>
  <c r="W49" i="38"/>
  <c r="W58" i="38"/>
  <c r="W45" i="38"/>
  <c r="W31" i="41"/>
  <c r="W51" i="41"/>
  <c r="W3" i="41"/>
  <c r="V47" i="57"/>
  <c r="W42" i="57"/>
  <c r="W27" i="57"/>
  <c r="W30" i="57"/>
  <c r="W43" i="57"/>
  <c r="W45" i="57"/>
  <c r="W46" i="57"/>
  <c r="W74" i="57"/>
  <c r="V67" i="57"/>
  <c r="W59" i="57"/>
  <c r="W31" i="57"/>
  <c r="W60" i="57"/>
  <c r="W62" i="57"/>
  <c r="W64" i="57"/>
  <c r="W65" i="57"/>
  <c r="W76" i="57"/>
  <c r="W79" i="57"/>
  <c r="W11" i="57"/>
  <c r="X6" i="57"/>
  <c r="X7" i="41"/>
  <c r="X23" i="41"/>
  <c r="X6" i="56" s="1"/>
  <c r="X75" i="59"/>
  <c r="X37" i="38"/>
  <c r="X76" i="59"/>
  <c r="X55" i="38"/>
  <c r="X40" i="38"/>
  <c r="X47" i="38"/>
  <c r="X56" i="38"/>
  <c r="X41" i="38"/>
  <c r="X48" i="38"/>
  <c r="X57" i="38"/>
  <c r="X43" i="38"/>
  <c r="X50" i="38"/>
  <c r="X59" i="38"/>
  <c r="X44" i="38"/>
  <c r="X51" i="38"/>
  <c r="X60" i="38"/>
  <c r="X42" i="38"/>
  <c r="X49" i="38"/>
  <c r="X58" i="38"/>
  <c r="X45" i="38"/>
  <c r="X31" i="41"/>
  <c r="X51" i="41" s="1"/>
  <c r="X3" i="41"/>
  <c r="Y3" i="41" s="1"/>
  <c r="W47" i="57"/>
  <c r="X42" i="57"/>
  <c r="X27" i="57"/>
  <c r="X30" i="57"/>
  <c r="X43" i="57"/>
  <c r="X45" i="57"/>
  <c r="X46" i="57"/>
  <c r="X74" i="57"/>
  <c r="W67" i="57"/>
  <c r="X59" i="57"/>
  <c r="X31" i="57"/>
  <c r="X60" i="57"/>
  <c r="X62" i="57"/>
  <c r="X64" i="57"/>
  <c r="X65" i="57"/>
  <c r="X76" i="57"/>
  <c r="X79" i="57"/>
  <c r="X11" i="57"/>
  <c r="Y6" i="57"/>
  <c r="Y7" i="41"/>
  <c r="Y16" i="60" s="1"/>
  <c r="Y75" i="59"/>
  <c r="Y37" i="38"/>
  <c r="Y76" i="59"/>
  <c r="Y55" i="38"/>
  <c r="Y40" i="38"/>
  <c r="Y47" i="38"/>
  <c r="Y56" i="38"/>
  <c r="Y41" i="38"/>
  <c r="Y48" i="38"/>
  <c r="Y57" i="38"/>
  <c r="Y43" i="38"/>
  <c r="Y50" i="38"/>
  <c r="Y59" i="38"/>
  <c r="Y44" i="38"/>
  <c r="Y51" i="38"/>
  <c r="Y60" i="38"/>
  <c r="Y42" i="38"/>
  <c r="Y49" i="38"/>
  <c r="Y58" i="38"/>
  <c r="Y45" i="38"/>
  <c r="Y31" i="41"/>
  <c r="Y51" i="41"/>
  <c r="X47" i="57"/>
  <c r="Y42" i="57"/>
  <c r="Y27" i="57"/>
  <c r="Y30" i="57"/>
  <c r="Y43" i="57"/>
  <c r="Y45" i="57"/>
  <c r="Y46" i="57"/>
  <c r="Y74" i="57"/>
  <c r="X67" i="57"/>
  <c r="Y59" i="57"/>
  <c r="Y31" i="57"/>
  <c r="Y60" i="57"/>
  <c r="Y62" i="57"/>
  <c r="Y64" i="57"/>
  <c r="Y65" i="57"/>
  <c r="Y76" i="57"/>
  <c r="Y79" i="57"/>
  <c r="Y11" i="57"/>
  <c r="Z6" i="57"/>
  <c r="Z7" i="41"/>
  <c r="Z16" i="60" s="1"/>
  <c r="Z23" i="41"/>
  <c r="Z9" i="57" s="1"/>
  <c r="Z75" i="59"/>
  <c r="Z37" i="38"/>
  <c r="Z76" i="59"/>
  <c r="Z55" i="38"/>
  <c r="Z40" i="38"/>
  <c r="Z47" i="38"/>
  <c r="Z56" i="38"/>
  <c r="Z41" i="38"/>
  <c r="Z48" i="38"/>
  <c r="Z57" i="38"/>
  <c r="Z43" i="38"/>
  <c r="Z50" i="38"/>
  <c r="Z59" i="38"/>
  <c r="Z44" i="38"/>
  <c r="Z51" i="38"/>
  <c r="Z60" i="38"/>
  <c r="Z42" i="38"/>
  <c r="Z49" i="38"/>
  <c r="Z58" i="38"/>
  <c r="Z45" i="38"/>
  <c r="Z31" i="41"/>
  <c r="Z51" i="41" s="1"/>
  <c r="Z3" i="41"/>
  <c r="AA3" i="41" s="1"/>
  <c r="AB3" i="41" s="1"/>
  <c r="AC3" i="41" s="1"/>
  <c r="AD3" i="41" s="1"/>
  <c r="AE3" i="41" s="1"/>
  <c r="AF3" i="41" s="1"/>
  <c r="AG3" i="41" s="1"/>
  <c r="AH3" i="41" s="1"/>
  <c r="AI3" i="41" s="1"/>
  <c r="AJ3" i="41" s="1"/>
  <c r="AK3" i="41" s="1"/>
  <c r="AL3" i="41" s="1"/>
  <c r="AM3" i="41" s="1"/>
  <c r="Y47" i="57"/>
  <c r="Z42" i="57"/>
  <c r="Z27" i="57"/>
  <c r="Z30" i="57"/>
  <c r="Z43" i="57"/>
  <c r="Z45" i="57"/>
  <c r="Z46" i="57"/>
  <c r="Z74" i="57"/>
  <c r="Y67" i="57"/>
  <c r="Z59" i="57"/>
  <c r="Z31" i="57"/>
  <c r="Z60" i="57"/>
  <c r="Z62" i="57"/>
  <c r="Z64" i="57"/>
  <c r="Z65" i="57"/>
  <c r="Z76" i="57"/>
  <c r="Z79" i="57"/>
  <c r="Z11" i="57"/>
  <c r="AA6" i="57"/>
  <c r="AA7" i="41"/>
  <c r="AA23" i="41" s="1"/>
  <c r="AA6" i="56" s="1"/>
  <c r="AA15" i="56" s="1"/>
  <c r="AA27" i="56" s="1"/>
  <c r="AA75" i="59"/>
  <c r="AA37" i="38"/>
  <c r="AA76" i="59"/>
  <c r="AA55" i="38"/>
  <c r="AA40" i="38"/>
  <c r="AA47" i="38"/>
  <c r="AA56" i="38"/>
  <c r="AA41" i="38"/>
  <c r="AA48" i="38"/>
  <c r="AA57" i="38"/>
  <c r="AA43" i="38"/>
  <c r="AA50" i="38"/>
  <c r="AA59" i="38"/>
  <c r="AA44" i="38"/>
  <c r="AA51" i="38"/>
  <c r="AA60" i="38"/>
  <c r="AA42" i="38"/>
  <c r="AA49" i="38"/>
  <c r="AA58" i="38"/>
  <c r="AA45" i="38"/>
  <c r="AA51" i="41"/>
  <c r="Z47" i="57"/>
  <c r="AA42" i="57"/>
  <c r="AA27" i="57"/>
  <c r="AA30" i="57"/>
  <c r="AA43" i="57"/>
  <c r="AA45" i="57"/>
  <c r="AA46" i="57"/>
  <c r="AA74" i="57"/>
  <c r="Z67" i="57"/>
  <c r="AA59" i="57"/>
  <c r="AA31" i="57"/>
  <c r="AA60" i="57"/>
  <c r="AA62" i="57"/>
  <c r="AA64" i="57"/>
  <c r="AA65" i="57"/>
  <c r="AA76" i="57"/>
  <c r="AA79" i="57"/>
  <c r="AA11" i="57"/>
  <c r="AB6" i="57"/>
  <c r="AB7" i="41"/>
  <c r="AB23" i="41" s="1"/>
  <c r="AB6" i="56"/>
  <c r="AB75" i="59"/>
  <c r="AB37" i="38"/>
  <c r="AB76" i="59"/>
  <c r="AB55" i="38"/>
  <c r="AB40" i="38"/>
  <c r="AB47" i="38"/>
  <c r="AB56" i="38"/>
  <c r="AB41" i="38"/>
  <c r="AB48" i="38"/>
  <c r="AB57" i="38"/>
  <c r="AB43" i="38"/>
  <c r="AB50" i="38"/>
  <c r="AB59" i="38"/>
  <c r="AB44" i="38"/>
  <c r="AB51" i="38"/>
  <c r="AB60" i="38"/>
  <c r="AB42" i="38"/>
  <c r="AB49" i="38"/>
  <c r="AB58" i="38"/>
  <c r="AB45" i="38"/>
  <c r="AB31" i="41"/>
  <c r="AB51" i="41"/>
  <c r="AA47" i="57"/>
  <c r="AB42" i="57"/>
  <c r="AB27" i="57"/>
  <c r="AB30" i="57"/>
  <c r="AB43" i="57"/>
  <c r="AB45" i="57"/>
  <c r="AB46" i="57"/>
  <c r="AB74" i="57"/>
  <c r="AA67" i="57"/>
  <c r="AB59" i="57"/>
  <c r="AB31" i="57"/>
  <c r="AB60" i="57"/>
  <c r="AB62" i="57"/>
  <c r="AB64" i="57"/>
  <c r="AB65" i="57"/>
  <c r="AB76" i="57"/>
  <c r="AB79" i="57"/>
  <c r="AB11" i="57"/>
  <c r="AC6" i="57"/>
  <c r="AC7" i="41"/>
  <c r="AC23" i="41" s="1"/>
  <c r="AC9" i="57" s="1"/>
  <c r="AC75" i="59"/>
  <c r="AC37" i="38"/>
  <c r="AC76" i="59"/>
  <c r="AC55" i="38"/>
  <c r="AC40" i="38"/>
  <c r="AC47" i="38"/>
  <c r="AC56" i="38"/>
  <c r="AC41" i="38"/>
  <c r="AC48" i="38"/>
  <c r="AC57" i="38"/>
  <c r="AC43" i="38"/>
  <c r="AC50" i="38"/>
  <c r="AC59" i="38"/>
  <c r="AC44" i="38"/>
  <c r="AC51" i="38"/>
  <c r="AC60" i="38"/>
  <c r="AC42" i="38"/>
  <c r="AC49" i="38"/>
  <c r="AC58" i="38"/>
  <c r="AC45" i="38"/>
  <c r="AC31" i="41"/>
  <c r="AC51" i="41" s="1"/>
  <c r="AB47" i="57"/>
  <c r="AC42" i="57"/>
  <c r="AC27" i="57"/>
  <c r="AC30" i="57"/>
  <c r="AC43" i="57"/>
  <c r="AC45" i="57"/>
  <c r="AC46" i="57"/>
  <c r="AC74" i="57"/>
  <c r="AB67" i="57"/>
  <c r="AC59" i="57"/>
  <c r="AC31" i="57"/>
  <c r="AC60" i="57"/>
  <c r="AC62" i="57"/>
  <c r="AC64" i="57"/>
  <c r="AC65" i="57"/>
  <c r="AC76" i="57"/>
  <c r="AC79" i="57"/>
  <c r="AC11" i="57"/>
  <c r="AD6" i="57"/>
  <c r="AD7" i="41"/>
  <c r="AD23" i="41" s="1"/>
  <c r="AD76" i="41" s="1"/>
  <c r="AD89" i="41" s="1"/>
  <c r="AD75" i="59"/>
  <c r="AD37" i="38"/>
  <c r="AD76" i="59"/>
  <c r="AD55" i="38"/>
  <c r="AD40" i="38"/>
  <c r="AD47" i="38"/>
  <c r="AD56" i="38"/>
  <c r="AD43" i="38"/>
  <c r="AD50" i="38"/>
  <c r="AD59" i="38"/>
  <c r="AD44" i="38"/>
  <c r="AD51" i="38"/>
  <c r="AD60" i="38"/>
  <c r="AD41" i="38"/>
  <c r="AD48" i="38"/>
  <c r="AD57" i="38"/>
  <c r="AD42" i="38"/>
  <c r="AD49" i="38"/>
  <c r="AD58" i="38"/>
  <c r="AD45" i="38"/>
  <c r="AD31" i="41"/>
  <c r="AC47" i="57"/>
  <c r="AD42" i="57"/>
  <c r="AD27" i="57"/>
  <c r="AD30" i="57"/>
  <c r="AD43" i="57"/>
  <c r="AD45" i="57"/>
  <c r="AD46" i="57"/>
  <c r="AD74" i="57"/>
  <c r="AC67" i="57"/>
  <c r="AD59" i="57"/>
  <c r="AD31" i="57"/>
  <c r="AD60" i="57"/>
  <c r="AD62" i="57"/>
  <c r="AD64" i="57"/>
  <c r="AD65" i="57"/>
  <c r="AD76" i="57"/>
  <c r="AD79" i="57"/>
  <c r="AD11" i="57"/>
  <c r="AE6" i="57"/>
  <c r="AE7" i="41"/>
  <c r="AE23" i="41" s="1"/>
  <c r="AE75" i="59"/>
  <c r="AE37" i="38"/>
  <c r="AE76" i="59"/>
  <c r="AE55" i="38"/>
  <c r="AE40" i="38"/>
  <c r="AE47" i="38"/>
  <c r="AE56" i="38"/>
  <c r="AE43" i="38"/>
  <c r="AE50" i="38"/>
  <c r="AE59" i="38"/>
  <c r="AE44" i="38"/>
  <c r="AE51" i="38"/>
  <c r="AE60" i="38"/>
  <c r="AE41" i="38"/>
  <c r="AE48" i="38"/>
  <c r="AE57" i="38"/>
  <c r="AE42" i="38"/>
  <c r="AE49" i="38"/>
  <c r="AE58" i="38"/>
  <c r="AE45" i="38"/>
  <c r="AE31" i="41"/>
  <c r="AE51" i="41"/>
  <c r="AD47" i="57"/>
  <c r="AE42" i="57"/>
  <c r="AE27" i="57"/>
  <c r="AE30" i="57"/>
  <c r="AE43" i="57"/>
  <c r="AE45" i="57"/>
  <c r="AE46" i="57"/>
  <c r="AE74" i="57"/>
  <c r="AD67" i="57"/>
  <c r="AE59" i="57"/>
  <c r="AE31" i="57"/>
  <c r="AE60" i="57"/>
  <c r="AE62" i="57"/>
  <c r="AE64" i="57"/>
  <c r="AE65" i="57"/>
  <c r="AE76" i="57"/>
  <c r="AE79" i="57"/>
  <c r="AE11" i="57"/>
  <c r="AF6" i="57"/>
  <c r="AF7" i="41"/>
  <c r="AF23" i="41"/>
  <c r="AF6" i="56" s="1"/>
  <c r="AF9" i="57"/>
  <c r="AF75" i="59"/>
  <c r="AF37" i="38"/>
  <c r="AF76" i="59"/>
  <c r="AF55" i="38"/>
  <c r="AF40" i="38"/>
  <c r="AF47" i="38"/>
  <c r="AF56" i="38"/>
  <c r="AF43" i="38"/>
  <c r="AF50" i="38"/>
  <c r="AF59" i="38"/>
  <c r="AF44" i="38"/>
  <c r="AF51" i="38"/>
  <c r="AF60" i="38"/>
  <c r="AF41" i="38"/>
  <c r="AF48" i="38"/>
  <c r="AF57" i="38"/>
  <c r="AF42" i="38"/>
  <c r="AF49" i="38"/>
  <c r="AF58" i="38"/>
  <c r="AF45" i="38"/>
  <c r="AF31" i="41"/>
  <c r="AF51" i="41"/>
  <c r="AE47" i="57"/>
  <c r="AF42" i="57"/>
  <c r="AF27" i="57"/>
  <c r="AF30" i="57"/>
  <c r="AF43" i="57"/>
  <c r="AF45" i="57"/>
  <c r="AF46" i="57"/>
  <c r="AF74" i="57"/>
  <c r="AE67" i="57"/>
  <c r="AF59" i="57"/>
  <c r="AF31" i="57"/>
  <c r="AF60" i="57"/>
  <c r="AF62" i="57"/>
  <c r="AF64" i="57"/>
  <c r="AF65" i="57"/>
  <c r="AF76" i="57"/>
  <c r="AF79" i="57"/>
  <c r="AF11" i="57"/>
  <c r="AG6" i="57"/>
  <c r="AG7" i="41"/>
  <c r="AG23" i="41" s="1"/>
  <c r="AG75" i="59"/>
  <c r="AG37" i="38"/>
  <c r="AG76" i="59"/>
  <c r="AG55" i="38"/>
  <c r="AG40" i="38"/>
  <c r="AG47" i="38"/>
  <c r="AG56" i="38"/>
  <c r="AG43" i="38"/>
  <c r="AG50" i="38"/>
  <c r="AG59" i="38"/>
  <c r="AG44" i="38"/>
  <c r="AG51" i="38"/>
  <c r="AG60" i="38"/>
  <c r="AG41" i="38"/>
  <c r="AG48" i="38"/>
  <c r="AG57" i="38"/>
  <c r="AG42" i="38"/>
  <c r="AG49" i="38"/>
  <c r="AG58" i="38"/>
  <c r="AG45" i="38"/>
  <c r="AG51" i="41"/>
  <c r="AF47" i="57"/>
  <c r="AG42" i="57"/>
  <c r="AG27" i="57"/>
  <c r="AG30" i="57"/>
  <c r="AG43" i="57"/>
  <c r="AG45" i="57"/>
  <c r="AG46" i="57"/>
  <c r="AG74" i="57"/>
  <c r="AF67" i="57"/>
  <c r="AG59" i="57"/>
  <c r="AG31" i="57"/>
  <c r="AG60" i="57"/>
  <c r="AG62" i="57"/>
  <c r="AG64" i="57"/>
  <c r="AG65" i="57"/>
  <c r="AG76" i="57"/>
  <c r="AG79" i="57"/>
  <c r="AG11" i="57"/>
  <c r="AH6" i="57"/>
  <c r="AH7" i="41"/>
  <c r="AH23" i="41" s="1"/>
  <c r="AH76" i="41" s="1"/>
  <c r="AH75" i="59"/>
  <c r="AH37" i="38"/>
  <c r="AH76" i="59"/>
  <c r="AH55" i="38"/>
  <c r="AH40" i="38"/>
  <c r="AH47" i="38"/>
  <c r="AH56" i="38"/>
  <c r="AH43" i="38"/>
  <c r="AH50" i="38"/>
  <c r="AH59" i="38"/>
  <c r="AH44" i="38"/>
  <c r="AH51" i="38"/>
  <c r="AH60" i="38"/>
  <c r="AH41" i="38"/>
  <c r="AH48" i="38"/>
  <c r="AH57" i="38"/>
  <c r="AH42" i="38"/>
  <c r="AH49" i="38"/>
  <c r="AH58" i="38"/>
  <c r="AH45" i="38"/>
  <c r="AH31" i="41"/>
  <c r="AH51" i="41" s="1"/>
  <c r="AG47" i="57"/>
  <c r="AH42" i="57"/>
  <c r="AH27" i="57"/>
  <c r="AH30" i="57"/>
  <c r="AH43" i="57"/>
  <c r="AH45" i="57"/>
  <c r="AH46" i="57"/>
  <c r="AH74" i="57"/>
  <c r="AG67" i="57"/>
  <c r="AH59" i="57"/>
  <c r="AH31" i="57"/>
  <c r="AH60" i="57"/>
  <c r="AH62" i="57"/>
  <c r="AH64" i="57"/>
  <c r="AH65" i="57"/>
  <c r="AH76" i="57"/>
  <c r="AH79" i="57"/>
  <c r="AH11" i="57"/>
  <c r="AI6" i="57"/>
  <c r="AI7" i="41"/>
  <c r="AI23" i="41" s="1"/>
  <c r="AI75" i="59"/>
  <c r="AI37" i="38"/>
  <c r="AI76" i="59"/>
  <c r="AI55" i="38"/>
  <c r="AI40" i="38"/>
  <c r="AI47" i="38"/>
  <c r="AI56" i="38"/>
  <c r="AI43" i="38"/>
  <c r="AI50" i="38"/>
  <c r="AI59" i="38"/>
  <c r="AI44" i="38"/>
  <c r="AI51" i="38"/>
  <c r="AI60" i="38"/>
  <c r="AI41" i="38"/>
  <c r="AI48" i="38"/>
  <c r="AI57" i="38"/>
  <c r="AI42" i="38"/>
  <c r="AI49" i="38"/>
  <c r="AI58" i="38"/>
  <c r="AI45" i="38"/>
  <c r="AI31" i="41"/>
  <c r="AI51" i="41"/>
  <c r="AH47" i="57"/>
  <c r="AI42" i="57"/>
  <c r="AI27" i="57"/>
  <c r="AI30" i="57"/>
  <c r="AI43" i="57"/>
  <c r="AI45" i="57"/>
  <c r="AI46" i="57"/>
  <c r="AI74" i="57"/>
  <c r="AH67" i="57"/>
  <c r="AI59" i="57"/>
  <c r="AI31" i="57"/>
  <c r="AI60" i="57"/>
  <c r="AI62" i="57"/>
  <c r="AI64" i="57"/>
  <c r="AI65" i="57"/>
  <c r="AI76" i="57"/>
  <c r="AI79" i="57"/>
  <c r="AI11" i="57"/>
  <c r="AJ6" i="57"/>
  <c r="AJ7" i="41"/>
  <c r="AJ23" i="41"/>
  <c r="AJ75" i="59"/>
  <c r="AJ37" i="38"/>
  <c r="AJ76" i="59"/>
  <c r="AJ55" i="38"/>
  <c r="AJ40" i="38"/>
  <c r="AJ47" i="38"/>
  <c r="AJ56" i="38"/>
  <c r="AJ43" i="38"/>
  <c r="AJ50" i="38"/>
  <c r="AJ59" i="38"/>
  <c r="AJ44" i="38"/>
  <c r="AJ51" i="38"/>
  <c r="AJ60" i="38"/>
  <c r="AJ41" i="38"/>
  <c r="AJ48" i="38"/>
  <c r="AJ57" i="38"/>
  <c r="AJ42" i="38"/>
  <c r="AJ49" i="38"/>
  <c r="AJ58" i="38"/>
  <c r="AJ45" i="38"/>
  <c r="AJ31" i="41"/>
  <c r="AJ51" i="41"/>
  <c r="AI47" i="57"/>
  <c r="AJ42" i="57"/>
  <c r="AJ27" i="57"/>
  <c r="AJ30" i="57"/>
  <c r="AJ43" i="57"/>
  <c r="AJ45" i="57"/>
  <c r="AJ46" i="57"/>
  <c r="AJ74" i="57"/>
  <c r="AI67" i="57"/>
  <c r="AJ59" i="57"/>
  <c r="AJ31" i="57"/>
  <c r="AJ60" i="57"/>
  <c r="AJ62" i="57"/>
  <c r="AJ64" i="57"/>
  <c r="AJ65" i="57"/>
  <c r="AJ76" i="57"/>
  <c r="AJ79" i="57"/>
  <c r="AJ11" i="57"/>
  <c r="AK6" i="57"/>
  <c r="AK7" i="41"/>
  <c r="AK16" i="60" s="1"/>
  <c r="AK23" i="41"/>
  <c r="AK76" i="41" s="1"/>
  <c r="AK89" i="41" s="1"/>
  <c r="AK75" i="59"/>
  <c r="AK37" i="38"/>
  <c r="AK76" i="59"/>
  <c r="AK55" i="38"/>
  <c r="AK40" i="38"/>
  <c r="AK47" i="38"/>
  <c r="AK56" i="38"/>
  <c r="AK43" i="38"/>
  <c r="AK50" i="38"/>
  <c r="AK59" i="38"/>
  <c r="AK44" i="38"/>
  <c r="AK51" i="38"/>
  <c r="AK60" i="38"/>
  <c r="AK41" i="38"/>
  <c r="AK48" i="38"/>
  <c r="AK57" i="38"/>
  <c r="AK42" i="38"/>
  <c r="AK49" i="38"/>
  <c r="AK58" i="38"/>
  <c r="AK45" i="38"/>
  <c r="AK31" i="41"/>
  <c r="AK51" i="41"/>
  <c r="AJ47" i="57"/>
  <c r="AK42" i="57"/>
  <c r="AK27" i="57"/>
  <c r="AK30" i="57"/>
  <c r="AK43" i="57"/>
  <c r="AK45" i="57"/>
  <c r="AK46" i="57"/>
  <c r="AK74" i="57"/>
  <c r="AJ67" i="57"/>
  <c r="AK59" i="57"/>
  <c r="AK31" i="57"/>
  <c r="AK60" i="57"/>
  <c r="AK62" i="57"/>
  <c r="AK64" i="57"/>
  <c r="AK65" i="57"/>
  <c r="AK76" i="57"/>
  <c r="AK79" i="57"/>
  <c r="AK11" i="57"/>
  <c r="AL6" i="57"/>
  <c r="AL7" i="41"/>
  <c r="AL23" i="41" s="1"/>
  <c r="AL9" i="57"/>
  <c r="AL75" i="59"/>
  <c r="AL37" i="38"/>
  <c r="AL76" i="59"/>
  <c r="AL55" i="38"/>
  <c r="AL40" i="38"/>
  <c r="AL47" i="38"/>
  <c r="AL56" i="38"/>
  <c r="AL43" i="38"/>
  <c r="AL50" i="38"/>
  <c r="AL59" i="38"/>
  <c r="AL44" i="38"/>
  <c r="AL51" i="38"/>
  <c r="AL60" i="38"/>
  <c r="AL41" i="38"/>
  <c r="AL48" i="38"/>
  <c r="AL57" i="38"/>
  <c r="AL42" i="38"/>
  <c r="AL49" i="38"/>
  <c r="AL58" i="38"/>
  <c r="AL45" i="38"/>
  <c r="AL31" i="41"/>
  <c r="AL51" i="41"/>
  <c r="AK47" i="57"/>
  <c r="AL42" i="57"/>
  <c r="AL27" i="57"/>
  <c r="AL30" i="57"/>
  <c r="AL43" i="57"/>
  <c r="AL45" i="57"/>
  <c r="AL46" i="57"/>
  <c r="AL74" i="57"/>
  <c r="AK67" i="57"/>
  <c r="AL59" i="57"/>
  <c r="AL31" i="57"/>
  <c r="AL60" i="57"/>
  <c r="AL62" i="57"/>
  <c r="AL64" i="57"/>
  <c r="AL65" i="57"/>
  <c r="AL76" i="57"/>
  <c r="AL79" i="57"/>
  <c r="AL11" i="57"/>
  <c r="AM6" i="57"/>
  <c r="AM7" i="41"/>
  <c r="AM75" i="59"/>
  <c r="AM37" i="38"/>
  <c r="AM76" i="59"/>
  <c r="AM55" i="38"/>
  <c r="AM40" i="38"/>
  <c r="AM47" i="38"/>
  <c r="AM56" i="38"/>
  <c r="AM43" i="38"/>
  <c r="AM50" i="38"/>
  <c r="AM59" i="38"/>
  <c r="AM44" i="38"/>
  <c r="AM51" i="38"/>
  <c r="AM60" i="38"/>
  <c r="AM41" i="38"/>
  <c r="AM48" i="38"/>
  <c r="AM57" i="38"/>
  <c r="AM42" i="38"/>
  <c r="AM49" i="38"/>
  <c r="AM58" i="38"/>
  <c r="AM61" i="38"/>
  <c r="AM45" i="38"/>
  <c r="AM51" i="41"/>
  <c r="AL47" i="57"/>
  <c r="AM42" i="57"/>
  <c r="AM27" i="57"/>
  <c r="AM30" i="57"/>
  <c r="AM43" i="57"/>
  <c r="AM45" i="57"/>
  <c r="AM46" i="57"/>
  <c r="AM74" i="57"/>
  <c r="AL67" i="57"/>
  <c r="AM59" i="57"/>
  <c r="AM31" i="57"/>
  <c r="AM60" i="57"/>
  <c r="AM62" i="57"/>
  <c r="AM64" i="57"/>
  <c r="AM65" i="57"/>
  <c r="AM76" i="57"/>
  <c r="AM79" i="57"/>
  <c r="AM11" i="57"/>
  <c r="P74" i="57"/>
  <c r="P76" i="57"/>
  <c r="P79" i="57"/>
  <c r="P11" i="57"/>
  <c r="Q84" i="41"/>
  <c r="R84" i="41"/>
  <c r="S84" i="41"/>
  <c r="T84" i="41"/>
  <c r="U84" i="41"/>
  <c r="V84" i="41"/>
  <c r="W84" i="41"/>
  <c r="X84" i="41"/>
  <c r="Y84" i="41"/>
  <c r="Z84" i="41"/>
  <c r="AA84" i="41"/>
  <c r="AB84" i="41"/>
  <c r="AC84" i="41"/>
  <c r="AD84" i="41"/>
  <c r="AE84" i="41"/>
  <c r="AF84" i="41"/>
  <c r="AG84" i="41"/>
  <c r="AH84" i="41"/>
  <c r="AH92" i="41" s="1"/>
  <c r="AI84" i="41"/>
  <c r="AJ84" i="41"/>
  <c r="AK84" i="41"/>
  <c r="AL84" i="41"/>
  <c r="AM84" i="41"/>
  <c r="Q17" i="55"/>
  <c r="R17" i="55"/>
  <c r="S17" i="55"/>
  <c r="T17" i="55"/>
  <c r="U17" i="55"/>
  <c r="V17" i="55"/>
  <c r="W17" i="55"/>
  <c r="X17" i="55"/>
  <c r="Y17" i="55"/>
  <c r="Z17" i="55"/>
  <c r="AA17" i="55"/>
  <c r="AB17" i="55"/>
  <c r="AC17" i="55"/>
  <c r="AD17" i="55"/>
  <c r="AE17" i="55"/>
  <c r="AF17" i="55"/>
  <c r="AG17" i="55"/>
  <c r="AH17" i="55"/>
  <c r="AI17" i="55"/>
  <c r="AJ17" i="55"/>
  <c r="AK17" i="55"/>
  <c r="AL17" i="55"/>
  <c r="AM17" i="55"/>
  <c r="Q26" i="41"/>
  <c r="R26" i="41"/>
  <c r="S26" i="41"/>
  <c r="T26" i="41"/>
  <c r="O62" i="56"/>
  <c r="O63" i="56"/>
  <c r="O64" i="56"/>
  <c r="O65" i="56"/>
  <c r="O61" i="56"/>
  <c r="Q1" i="56"/>
  <c r="Q60" i="56" s="1"/>
  <c r="R1" i="56"/>
  <c r="R60" i="56" s="1"/>
  <c r="S1" i="56"/>
  <c r="S60" i="56" s="1"/>
  <c r="T1" i="56"/>
  <c r="T60" i="56"/>
  <c r="U1" i="56"/>
  <c r="U60" i="56" s="1"/>
  <c r="V1" i="56"/>
  <c r="V60" i="56"/>
  <c r="W1" i="56"/>
  <c r="W60" i="56" s="1"/>
  <c r="X1" i="56"/>
  <c r="X60" i="56" s="1"/>
  <c r="Y1" i="56"/>
  <c r="Y60" i="56" s="1"/>
  <c r="Z1" i="56"/>
  <c r="Z60" i="56" s="1"/>
  <c r="AA1" i="56"/>
  <c r="AA60" i="56" s="1"/>
  <c r="AB1" i="56"/>
  <c r="AB60" i="56"/>
  <c r="AC1" i="56"/>
  <c r="AC60" i="56" s="1"/>
  <c r="AD1" i="56"/>
  <c r="AD60" i="56"/>
  <c r="AE1" i="56"/>
  <c r="AE60" i="56" s="1"/>
  <c r="AF1" i="56"/>
  <c r="AF60" i="56" s="1"/>
  <c r="AG1" i="56"/>
  <c r="AG60" i="56" s="1"/>
  <c r="AH1" i="56"/>
  <c r="AH60" i="56" s="1"/>
  <c r="AI1" i="56"/>
  <c r="AI60" i="56" s="1"/>
  <c r="AJ1" i="56"/>
  <c r="AJ60" i="56"/>
  <c r="AK1" i="56"/>
  <c r="AK60" i="56" s="1"/>
  <c r="AL1" i="56"/>
  <c r="AL60" i="56"/>
  <c r="AM1" i="56"/>
  <c r="AM60" i="56" s="1"/>
  <c r="P1" i="56"/>
  <c r="P60" i="56" s="1"/>
  <c r="Q79" i="41"/>
  <c r="Q92" i="41" s="1"/>
  <c r="R79" i="41"/>
  <c r="U79" i="41"/>
  <c r="U92" i="41" s="1"/>
  <c r="V79" i="41"/>
  <c r="W79" i="41"/>
  <c r="W92" i="41" s="1"/>
  <c r="X79" i="41"/>
  <c r="Y79" i="41"/>
  <c r="Z79" i="41"/>
  <c r="AA79" i="41"/>
  <c r="AA92" i="41" s="1"/>
  <c r="AB79" i="41"/>
  <c r="AC79" i="41"/>
  <c r="AD79" i="41"/>
  <c r="AE79" i="41"/>
  <c r="AE92" i="41" s="1"/>
  <c r="AF79" i="41"/>
  <c r="AG79" i="41"/>
  <c r="AH79" i="41"/>
  <c r="AI79" i="41"/>
  <c r="AI92" i="41" s="1"/>
  <c r="AJ79" i="41"/>
  <c r="AK79" i="41"/>
  <c r="AL79" i="41"/>
  <c r="AM79" i="41"/>
  <c r="AM92" i="41" s="1"/>
  <c r="P79" i="41"/>
  <c r="H4" i="59"/>
  <c r="H20" i="59"/>
  <c r="H5" i="59"/>
  <c r="H21" i="59"/>
  <c r="H6" i="59"/>
  <c r="H22" i="59"/>
  <c r="H7" i="59"/>
  <c r="H23" i="59"/>
  <c r="H8" i="59"/>
  <c r="H24" i="59"/>
  <c r="H25" i="59"/>
  <c r="H28" i="59"/>
  <c r="H29" i="59"/>
  <c r="H30" i="59"/>
  <c r="H31" i="59"/>
  <c r="H32" i="59"/>
  <c r="H33" i="59"/>
  <c r="H35" i="59"/>
  <c r="H49" i="59"/>
  <c r="H51" i="59"/>
  <c r="H52" i="59"/>
  <c r="M54" i="59"/>
  <c r="M65" i="59"/>
  <c r="N65" i="59"/>
  <c r="O65" i="59"/>
  <c r="P65" i="59"/>
  <c r="Q65" i="59"/>
  <c r="R65" i="59"/>
  <c r="S65" i="59"/>
  <c r="T65" i="59"/>
  <c r="E28" i="59"/>
  <c r="E29" i="59"/>
  <c r="E30" i="59"/>
  <c r="E31" i="59"/>
  <c r="E32" i="59"/>
  <c r="E33" i="59"/>
  <c r="E35" i="59"/>
  <c r="E49" i="59"/>
  <c r="E51" i="59"/>
  <c r="E52" i="59"/>
  <c r="J54" i="59"/>
  <c r="J62" i="59"/>
  <c r="K62" i="59"/>
  <c r="L62" i="59"/>
  <c r="M62" i="59"/>
  <c r="N62" i="59"/>
  <c r="O62" i="59"/>
  <c r="P62" i="59"/>
  <c r="Q62" i="59"/>
  <c r="R62" i="59"/>
  <c r="S62" i="59"/>
  <c r="T62" i="59"/>
  <c r="F28" i="59"/>
  <c r="F29" i="59"/>
  <c r="F30" i="59"/>
  <c r="F31" i="59"/>
  <c r="F32" i="59"/>
  <c r="F33" i="59"/>
  <c r="F35" i="59"/>
  <c r="F49" i="59"/>
  <c r="F51" i="59"/>
  <c r="F52" i="59"/>
  <c r="K54" i="59"/>
  <c r="K63" i="59"/>
  <c r="L63" i="59"/>
  <c r="M63" i="59"/>
  <c r="N63" i="59"/>
  <c r="O63" i="59"/>
  <c r="P63" i="59"/>
  <c r="Q63" i="59"/>
  <c r="R63" i="59"/>
  <c r="S63" i="59"/>
  <c r="T63" i="59"/>
  <c r="G28" i="59"/>
  <c r="G29" i="59"/>
  <c r="G30" i="59"/>
  <c r="G31" i="59"/>
  <c r="G32" i="59"/>
  <c r="G33" i="59"/>
  <c r="G35" i="59"/>
  <c r="G49" i="59"/>
  <c r="G51" i="59"/>
  <c r="G52" i="59"/>
  <c r="L54" i="59"/>
  <c r="L64" i="59"/>
  <c r="M64" i="59"/>
  <c r="N64" i="59"/>
  <c r="O64" i="59"/>
  <c r="P64" i="59"/>
  <c r="Q64" i="59"/>
  <c r="R64" i="59"/>
  <c r="S64" i="59"/>
  <c r="T64" i="59"/>
  <c r="I28" i="59"/>
  <c r="I29" i="59"/>
  <c r="I30" i="59"/>
  <c r="I31" i="59"/>
  <c r="I32" i="59"/>
  <c r="I33" i="59"/>
  <c r="I35" i="59"/>
  <c r="I49" i="59"/>
  <c r="I51" i="59"/>
  <c r="I52" i="59"/>
  <c r="N54" i="59"/>
  <c r="N66" i="59"/>
  <c r="O66" i="59"/>
  <c r="P66" i="59"/>
  <c r="Q66" i="59"/>
  <c r="R66" i="59"/>
  <c r="S66" i="59"/>
  <c r="T66" i="59"/>
  <c r="T73" i="59"/>
  <c r="H39" i="59"/>
  <c r="H9" i="38"/>
  <c r="E39" i="59"/>
  <c r="E9" i="38"/>
  <c r="F39" i="59"/>
  <c r="F9" i="38"/>
  <c r="G39" i="59"/>
  <c r="G9" i="38"/>
  <c r="I39" i="59"/>
  <c r="I9" i="38"/>
  <c r="H40" i="59"/>
  <c r="H10" i="38"/>
  <c r="F40" i="59"/>
  <c r="F10" i="38"/>
  <c r="G40" i="59"/>
  <c r="G10" i="38"/>
  <c r="I40" i="59"/>
  <c r="I10" i="38"/>
  <c r="H42" i="59"/>
  <c r="H12" i="38"/>
  <c r="E42" i="59"/>
  <c r="E12" i="38"/>
  <c r="F42" i="59"/>
  <c r="F12" i="38"/>
  <c r="G42" i="59"/>
  <c r="G12" i="38"/>
  <c r="I42" i="59"/>
  <c r="I12" i="38"/>
  <c r="H43" i="59"/>
  <c r="H13" i="38"/>
  <c r="E43" i="59"/>
  <c r="E13" i="38"/>
  <c r="F43" i="59"/>
  <c r="F13" i="38"/>
  <c r="G43" i="59"/>
  <c r="G13" i="38"/>
  <c r="I43" i="59"/>
  <c r="I13" i="38"/>
  <c r="T75" i="41"/>
  <c r="T88" i="41" s="1"/>
  <c r="U65" i="59"/>
  <c r="U62" i="59"/>
  <c r="U63" i="59"/>
  <c r="U64" i="59"/>
  <c r="U66" i="59"/>
  <c r="U73" i="59"/>
  <c r="U75" i="41"/>
  <c r="V65" i="59"/>
  <c r="V62" i="59"/>
  <c r="V63" i="59"/>
  <c r="V64" i="59"/>
  <c r="V66" i="59"/>
  <c r="V73" i="59"/>
  <c r="V75" i="41"/>
  <c r="W65" i="59"/>
  <c r="W62" i="59"/>
  <c r="W63" i="59"/>
  <c r="W64" i="59"/>
  <c r="W66" i="59"/>
  <c r="W73" i="59"/>
  <c r="W75" i="41"/>
  <c r="X65" i="59"/>
  <c r="X62" i="59"/>
  <c r="X63" i="59"/>
  <c r="X64" i="59"/>
  <c r="X66" i="59"/>
  <c r="X73" i="59"/>
  <c r="X75" i="41"/>
  <c r="X88" i="41" s="1"/>
  <c r="Y65" i="59"/>
  <c r="Y62" i="59"/>
  <c r="Y63" i="59"/>
  <c r="Y64" i="59"/>
  <c r="Y66" i="59"/>
  <c r="Y73" i="59"/>
  <c r="Y75" i="41"/>
  <c r="Z65" i="59"/>
  <c r="Z62" i="59"/>
  <c r="Z63" i="59"/>
  <c r="Z64" i="59"/>
  <c r="Z66" i="59"/>
  <c r="Z73" i="59"/>
  <c r="Z75" i="41"/>
  <c r="Z88" i="41" s="1"/>
  <c r="AA65" i="59"/>
  <c r="AA62" i="59"/>
  <c r="AA63" i="59"/>
  <c r="AA66" i="59"/>
  <c r="AA73" i="59"/>
  <c r="AA75" i="41"/>
  <c r="AA88" i="41" s="1"/>
  <c r="AB65" i="59"/>
  <c r="AB62" i="59"/>
  <c r="AB63" i="59"/>
  <c r="AB66" i="59"/>
  <c r="AB73" i="59"/>
  <c r="AB75" i="41"/>
  <c r="AC65" i="59"/>
  <c r="AC62" i="59"/>
  <c r="AC63" i="59"/>
  <c r="AC66" i="59"/>
  <c r="AC73" i="59"/>
  <c r="AC75" i="41"/>
  <c r="AC88" i="41" s="1"/>
  <c r="AD65" i="59"/>
  <c r="AD62" i="59"/>
  <c r="AD63" i="59"/>
  <c r="AD66" i="59"/>
  <c r="AD73" i="59"/>
  <c r="AD75" i="41"/>
  <c r="AE65" i="59"/>
  <c r="AE62" i="59"/>
  <c r="AE63" i="59"/>
  <c r="AE66" i="59"/>
  <c r="AE73" i="59"/>
  <c r="AE75" i="41"/>
  <c r="AE88" i="41" s="1"/>
  <c r="AF65" i="59"/>
  <c r="AF62" i="59"/>
  <c r="AF63" i="59"/>
  <c r="AF66" i="59"/>
  <c r="AF73" i="59"/>
  <c r="AF75" i="41"/>
  <c r="AG65" i="59"/>
  <c r="AG62" i="59"/>
  <c r="AG63" i="59"/>
  <c r="AG66" i="59"/>
  <c r="AG73" i="59"/>
  <c r="AG75" i="41"/>
  <c r="AG88" i="41" s="1"/>
  <c r="AH65" i="59"/>
  <c r="AH62" i="59"/>
  <c r="AH63" i="59"/>
  <c r="AH66" i="59"/>
  <c r="AH73" i="59"/>
  <c r="AH75" i="41"/>
  <c r="AH88" i="41" s="1"/>
  <c r="AI65" i="59"/>
  <c r="AI62" i="59"/>
  <c r="AI63" i="59"/>
  <c r="AI66" i="59"/>
  <c r="AI73" i="59"/>
  <c r="AI75" i="41"/>
  <c r="AJ65" i="59"/>
  <c r="AJ62" i="59"/>
  <c r="AJ63" i="59"/>
  <c r="AJ73" i="59"/>
  <c r="AJ75" i="41"/>
  <c r="AK65" i="59"/>
  <c r="AK62" i="59"/>
  <c r="AK63" i="59"/>
  <c r="AK73" i="59"/>
  <c r="AK75" i="41"/>
  <c r="AL65" i="59"/>
  <c r="AL62" i="59"/>
  <c r="AL63" i="59"/>
  <c r="AL73" i="59"/>
  <c r="AL75" i="41"/>
  <c r="AM65" i="59"/>
  <c r="AM62" i="59"/>
  <c r="AM63" i="59"/>
  <c r="AM73" i="59"/>
  <c r="AM75" i="41"/>
  <c r="Q73" i="59"/>
  <c r="E40" i="59"/>
  <c r="E10" i="38"/>
  <c r="Q75" i="41"/>
  <c r="Q88" i="41" s="1"/>
  <c r="R73" i="59"/>
  <c r="R75" i="41"/>
  <c r="S73" i="59"/>
  <c r="S75" i="41"/>
  <c r="S88" i="41" s="1"/>
  <c r="P73" i="59"/>
  <c r="P75" i="41"/>
  <c r="W88" i="41"/>
  <c r="AM88" i="41"/>
  <c r="S92" i="41"/>
  <c r="B83" i="41"/>
  <c r="C83" i="41"/>
  <c r="D83" i="41"/>
  <c r="E83" i="41"/>
  <c r="F83" i="41"/>
  <c r="G83" i="41"/>
  <c r="H83" i="41"/>
  <c r="I83" i="41"/>
  <c r="J83" i="41"/>
  <c r="K83" i="41"/>
  <c r="L83" i="41"/>
  <c r="M83" i="41"/>
  <c r="N83" i="41"/>
  <c r="O83" i="41"/>
  <c r="P83" i="41"/>
  <c r="Q83" i="41"/>
  <c r="R83" i="41"/>
  <c r="S83" i="41"/>
  <c r="T83" i="41"/>
  <c r="U83" i="41"/>
  <c r="V83" i="41"/>
  <c r="W83" i="41"/>
  <c r="X83" i="41"/>
  <c r="Y83" i="41"/>
  <c r="Z83" i="41"/>
  <c r="AA83" i="41"/>
  <c r="AB83" i="41"/>
  <c r="AC83" i="41"/>
  <c r="AD83" i="41"/>
  <c r="AE83" i="41"/>
  <c r="AF83" i="41"/>
  <c r="AG83" i="41"/>
  <c r="AH83" i="41"/>
  <c r="AI83" i="41"/>
  <c r="AJ83" i="41"/>
  <c r="AK83" i="41"/>
  <c r="AL83" i="41"/>
  <c r="AM83" i="41"/>
  <c r="B84" i="41"/>
  <c r="C84" i="41"/>
  <c r="D84" i="41"/>
  <c r="E84" i="41"/>
  <c r="F84" i="41"/>
  <c r="G84" i="41"/>
  <c r="H84" i="41"/>
  <c r="I84" i="41"/>
  <c r="J84" i="41"/>
  <c r="K84" i="41"/>
  <c r="L84" i="41"/>
  <c r="M84" i="41"/>
  <c r="N84" i="41"/>
  <c r="O84" i="41"/>
  <c r="P90" i="41"/>
  <c r="Q90" i="41"/>
  <c r="R90" i="41"/>
  <c r="S90" i="41"/>
  <c r="U88" i="41"/>
  <c r="V90" i="41"/>
  <c r="W90" i="41"/>
  <c r="Y92" i="41"/>
  <c r="Z90" i="41"/>
  <c r="AC92" i="41"/>
  <c r="AD90" i="41"/>
  <c r="AE90" i="41"/>
  <c r="AH90" i="41"/>
  <c r="AI90" i="41"/>
  <c r="AK92" i="41"/>
  <c r="AL90" i="41"/>
  <c r="AM90" i="41"/>
  <c r="A84" i="41"/>
  <c r="A83" i="41"/>
  <c r="V88" i="41"/>
  <c r="AD88" i="41"/>
  <c r="AF88" i="41"/>
  <c r="AK88" i="41"/>
  <c r="AL88" i="41"/>
  <c r="AB92" i="41"/>
  <c r="P92" i="41"/>
  <c r="R88" i="41"/>
  <c r="P88" i="41"/>
  <c r="Y88" i="41"/>
  <c r="AK90" i="41"/>
  <c r="AG90" i="41"/>
  <c r="AC90" i="41"/>
  <c r="Y90" i="41"/>
  <c r="U90" i="41"/>
  <c r="R92" i="41"/>
  <c r="AL92" i="41"/>
  <c r="AD92" i="41"/>
  <c r="Z92" i="41"/>
  <c r="V92" i="41"/>
  <c r="AI88" i="41"/>
  <c r="AG92" i="41"/>
  <c r="AA90" i="41"/>
  <c r="V1" i="57"/>
  <c r="W1" i="57"/>
  <c r="X1" i="57"/>
  <c r="Y1" i="57"/>
  <c r="Z1" i="57"/>
  <c r="AA1" i="57"/>
  <c r="AB1" i="57"/>
  <c r="AC1" i="57"/>
  <c r="AD1" i="57"/>
  <c r="AE1" i="57"/>
  <c r="AF1" i="57"/>
  <c r="AG1" i="57"/>
  <c r="AH1" i="57"/>
  <c r="AI1" i="57"/>
  <c r="AJ1" i="57"/>
  <c r="AK1" i="57"/>
  <c r="AL1" i="57"/>
  <c r="AM1" i="57"/>
  <c r="V3" i="57"/>
  <c r="W3" i="57"/>
  <c r="X3" i="57"/>
  <c r="Y3" i="57"/>
  <c r="Z3" i="57"/>
  <c r="AA3" i="57"/>
  <c r="AB3" i="57"/>
  <c r="AC3" i="57"/>
  <c r="AD3" i="57"/>
  <c r="AE3" i="57"/>
  <c r="AF3" i="57"/>
  <c r="AG3" i="57"/>
  <c r="AH3" i="57"/>
  <c r="AI3" i="57"/>
  <c r="AJ3" i="57"/>
  <c r="AK3" i="57"/>
  <c r="AL3" i="57"/>
  <c r="AM3" i="57"/>
  <c r="V4" i="57"/>
  <c r="W4" i="57"/>
  <c r="X4" i="57"/>
  <c r="Y4" i="57"/>
  <c r="Z4" i="57"/>
  <c r="AA4" i="57"/>
  <c r="AB4" i="57"/>
  <c r="AC4" i="57"/>
  <c r="AD4" i="57"/>
  <c r="AE4" i="57"/>
  <c r="AF4" i="57"/>
  <c r="AG4" i="57"/>
  <c r="AH4" i="57"/>
  <c r="AI4" i="57"/>
  <c r="AJ4" i="57"/>
  <c r="AK4" i="57"/>
  <c r="AL4" i="57"/>
  <c r="AM4" i="57"/>
  <c r="V61" i="57"/>
  <c r="V78" i="57"/>
  <c r="W61" i="57"/>
  <c r="X61" i="57"/>
  <c r="X78" i="57"/>
  <c r="Y61" i="57"/>
  <c r="Y78" i="57"/>
  <c r="Z61" i="57"/>
  <c r="AA61" i="57"/>
  <c r="AB61" i="57"/>
  <c r="AC61" i="57"/>
  <c r="AC78" i="57"/>
  <c r="AD61" i="57"/>
  <c r="AD78" i="57"/>
  <c r="AE61" i="57"/>
  <c r="AF61" i="57"/>
  <c r="AF78" i="57"/>
  <c r="AG61" i="57"/>
  <c r="AG78" i="57"/>
  <c r="AH61" i="57"/>
  <c r="AH78" i="57"/>
  <c r="AI61" i="57"/>
  <c r="AJ61" i="57"/>
  <c r="AJ78" i="57"/>
  <c r="AK61" i="57"/>
  <c r="AK78" i="57"/>
  <c r="AL61" i="57"/>
  <c r="AM61" i="57"/>
  <c r="V75" i="57"/>
  <c r="W75" i="57"/>
  <c r="X75" i="57"/>
  <c r="Y75" i="57"/>
  <c r="Z75" i="57"/>
  <c r="AA75" i="57"/>
  <c r="AB75" i="57"/>
  <c r="AC75" i="57"/>
  <c r="AD75" i="57"/>
  <c r="AE75" i="57"/>
  <c r="AF75" i="57"/>
  <c r="AG75" i="57"/>
  <c r="AH75" i="57"/>
  <c r="AI75" i="57"/>
  <c r="AJ75" i="57"/>
  <c r="AK75" i="57"/>
  <c r="AL75" i="57"/>
  <c r="AM75" i="57"/>
  <c r="V77" i="57"/>
  <c r="W77" i="57"/>
  <c r="X77" i="57"/>
  <c r="Y77" i="57"/>
  <c r="Z77" i="57"/>
  <c r="AA77" i="57"/>
  <c r="AB77" i="57"/>
  <c r="AC77" i="57"/>
  <c r="AD77" i="57"/>
  <c r="AE77" i="57"/>
  <c r="AF77" i="57"/>
  <c r="AG77" i="57"/>
  <c r="AH77" i="57"/>
  <c r="AI77" i="57"/>
  <c r="AJ77" i="57"/>
  <c r="AK77" i="57"/>
  <c r="AL77" i="57"/>
  <c r="AM77" i="57"/>
  <c r="W78" i="57"/>
  <c r="Z78" i="57"/>
  <c r="AA78" i="57"/>
  <c r="AB78" i="57"/>
  <c r="AE78" i="57"/>
  <c r="AI78" i="57"/>
  <c r="AL78" i="57"/>
  <c r="AM78" i="57"/>
  <c r="W82" i="55"/>
  <c r="X82" i="55"/>
  <c r="Y82" i="55"/>
  <c r="Z82" i="55"/>
  <c r="AA82" i="55"/>
  <c r="AB82" i="55"/>
  <c r="AC82" i="55"/>
  <c r="AD82" i="55"/>
  <c r="AE82" i="55"/>
  <c r="AF82" i="55"/>
  <c r="AG82" i="55"/>
  <c r="AH82" i="55"/>
  <c r="AI82" i="55"/>
  <c r="AJ82" i="55"/>
  <c r="AK82" i="55"/>
  <c r="AL82" i="55"/>
  <c r="AM82" i="55"/>
  <c r="V82" i="55"/>
  <c r="C8" i="60"/>
  <c r="N34" i="55"/>
  <c r="F47" i="59"/>
  <c r="G47" i="59"/>
  <c r="H47" i="59"/>
  <c r="I47" i="59"/>
  <c r="F48" i="59"/>
  <c r="G48" i="59"/>
  <c r="H48" i="59"/>
  <c r="I48" i="59"/>
  <c r="E48" i="59"/>
  <c r="E47" i="59"/>
  <c r="E21" i="59"/>
  <c r="F21" i="59"/>
  <c r="E22" i="59"/>
  <c r="F22" i="59"/>
  <c r="E23" i="59"/>
  <c r="F23" i="59"/>
  <c r="E24" i="59"/>
  <c r="F24" i="59"/>
  <c r="F20" i="59"/>
  <c r="E20" i="59"/>
  <c r="O66" i="55"/>
  <c r="O63" i="55"/>
  <c r="BC75" i="59"/>
  <c r="AU75" i="59"/>
  <c r="BB75" i="59"/>
  <c r="AT75" i="59"/>
  <c r="AY75" i="59"/>
  <c r="AQ75" i="59"/>
  <c r="BF75" i="59"/>
  <c r="AX75" i="59"/>
  <c r="AP75" i="59"/>
  <c r="O44" i="55"/>
  <c r="BE75" i="59"/>
  <c r="BA75" i="59"/>
  <c r="AW75" i="59"/>
  <c r="AS75" i="59"/>
  <c r="AO75" i="59"/>
  <c r="BD75" i="59"/>
  <c r="AZ75" i="59"/>
  <c r="AV75" i="59"/>
  <c r="AR75" i="59"/>
  <c r="AN75" i="59"/>
  <c r="G46" i="55"/>
  <c r="G51" i="55"/>
  <c r="M47" i="55"/>
  <c r="M46" i="55"/>
  <c r="M50" i="55"/>
  <c r="M51" i="55"/>
  <c r="M52" i="55"/>
  <c r="M53" i="55"/>
  <c r="M54" i="55"/>
  <c r="M55" i="55"/>
  <c r="E7" i="63"/>
  <c r="F7" i="63"/>
  <c r="E8" i="63"/>
  <c r="F8" i="63"/>
  <c r="E9" i="63"/>
  <c r="F9" i="63"/>
  <c r="E10" i="63"/>
  <c r="F10" i="63"/>
  <c r="E11" i="63"/>
  <c r="F11" i="63"/>
  <c r="C21" i="63"/>
  <c r="C18" i="63"/>
  <c r="C17" i="63"/>
  <c r="C16" i="63"/>
  <c r="E16" i="63"/>
  <c r="C15" i="63"/>
  <c r="C14" i="63"/>
  <c r="D1" i="63"/>
  <c r="M49" i="55"/>
  <c r="E18" i="63"/>
  <c r="E27" i="63"/>
  <c r="F18" i="63"/>
  <c r="E17" i="63"/>
  <c r="E26" i="63"/>
  <c r="E14" i="63"/>
  <c r="E23" i="63"/>
  <c r="F16" i="63"/>
  <c r="F14" i="63"/>
  <c r="F15" i="63"/>
  <c r="E15" i="63"/>
  <c r="F17" i="63"/>
  <c r="E12" i="63"/>
  <c r="F12" i="63"/>
  <c r="F26" i="63"/>
  <c r="F27" i="63"/>
  <c r="F23" i="63"/>
  <c r="F24" i="63"/>
  <c r="F19" i="63"/>
  <c r="E24" i="63"/>
  <c r="E19" i="63"/>
  <c r="B19" i="59"/>
  <c r="J28" i="59"/>
  <c r="K28" i="59"/>
  <c r="L28" i="59"/>
  <c r="M28" i="59"/>
  <c r="N28" i="59"/>
  <c r="O28" i="59"/>
  <c r="J29" i="59"/>
  <c r="K29" i="59"/>
  <c r="L29" i="59"/>
  <c r="M29" i="59"/>
  <c r="N29" i="59"/>
  <c r="O29" i="59"/>
  <c r="J30" i="59"/>
  <c r="K30" i="59"/>
  <c r="L30" i="59"/>
  <c r="M30" i="59"/>
  <c r="N30" i="59"/>
  <c r="O30" i="59"/>
  <c r="J31" i="59"/>
  <c r="K31" i="59"/>
  <c r="L31" i="59"/>
  <c r="M31" i="59"/>
  <c r="N31" i="59"/>
  <c r="O31" i="59"/>
  <c r="J32" i="59"/>
  <c r="K32" i="59"/>
  <c r="L32" i="59"/>
  <c r="M32" i="59"/>
  <c r="N32" i="59"/>
  <c r="O32" i="59"/>
  <c r="F36" i="59"/>
  <c r="G36" i="59"/>
  <c r="H36" i="59"/>
  <c r="I36" i="59"/>
  <c r="J36" i="59"/>
  <c r="K36" i="59"/>
  <c r="L36" i="59"/>
  <c r="M36" i="59"/>
  <c r="N36" i="59"/>
  <c r="O36" i="59"/>
  <c r="E36" i="59"/>
  <c r="K12" i="59"/>
  <c r="L12" i="59"/>
  <c r="M12" i="59"/>
  <c r="N12" i="59"/>
  <c r="O12" i="59"/>
  <c r="K13" i="59"/>
  <c r="L13" i="59"/>
  <c r="M13" i="59"/>
  <c r="N13" i="59"/>
  <c r="O13" i="59"/>
  <c r="K14" i="59"/>
  <c r="L14" i="59"/>
  <c r="M14" i="59"/>
  <c r="N14" i="59"/>
  <c r="O14" i="59"/>
  <c r="K15" i="59"/>
  <c r="L15" i="59"/>
  <c r="M15" i="59"/>
  <c r="N15" i="59"/>
  <c r="O15" i="59"/>
  <c r="K16" i="59"/>
  <c r="L16" i="59"/>
  <c r="M16" i="59"/>
  <c r="N16" i="59"/>
  <c r="O16" i="59"/>
  <c r="J13" i="59"/>
  <c r="J14" i="59"/>
  <c r="J15" i="59"/>
  <c r="J16" i="59"/>
  <c r="J12" i="59"/>
  <c r="G5" i="59"/>
  <c r="I5" i="59"/>
  <c r="G6" i="59"/>
  <c r="I6" i="59"/>
  <c r="G7" i="59"/>
  <c r="I7" i="59"/>
  <c r="G8" i="59"/>
  <c r="I8" i="59"/>
  <c r="I4" i="59"/>
  <c r="G4" i="59"/>
  <c r="C17" i="38"/>
  <c r="C48" i="38"/>
  <c r="C18" i="38"/>
  <c r="C49" i="38"/>
  <c r="C19" i="38"/>
  <c r="C50" i="38"/>
  <c r="C20" i="38"/>
  <c r="C51" i="38"/>
  <c r="C23" i="38"/>
  <c r="C54" i="38"/>
  <c r="C16" i="38"/>
  <c r="C47" i="38"/>
  <c r="P14" i="57"/>
  <c r="Q14" i="57"/>
  <c r="R14" i="57"/>
  <c r="S14" i="57"/>
  <c r="T14" i="57"/>
  <c r="U14" i="57"/>
  <c r="V14" i="57"/>
  <c r="W14" i="57"/>
  <c r="X14" i="57"/>
  <c r="Y14" i="57"/>
  <c r="Z14" i="57"/>
  <c r="AA14" i="57"/>
  <c r="AB14" i="57"/>
  <c r="AC14" i="57"/>
  <c r="AD14" i="57"/>
  <c r="AE14" i="57"/>
  <c r="AF14" i="57"/>
  <c r="AG14" i="57"/>
  <c r="AH14" i="57"/>
  <c r="AI14" i="57"/>
  <c r="AJ14" i="57"/>
  <c r="AK14" i="57"/>
  <c r="AL14" i="57"/>
  <c r="AM14" i="57"/>
  <c r="P82" i="55"/>
  <c r="P61" i="57"/>
  <c r="O61" i="57"/>
  <c r="Q61" i="57"/>
  <c r="R61" i="57"/>
  <c r="S61" i="57"/>
  <c r="T61" i="57"/>
  <c r="U61" i="57"/>
  <c r="N61" i="57"/>
  <c r="P19" i="57"/>
  <c r="P15" i="57"/>
  <c r="Q3" i="57"/>
  <c r="R3" i="57"/>
  <c r="S3" i="57"/>
  <c r="T3" i="57"/>
  <c r="U3" i="57"/>
  <c r="P3" i="57"/>
  <c r="N59" i="57"/>
  <c r="U4" i="57"/>
  <c r="T4" i="57"/>
  <c r="S4" i="57"/>
  <c r="R4" i="57"/>
  <c r="Q4" i="57"/>
  <c r="P4" i="57"/>
  <c r="N36" i="57"/>
  <c r="O36" i="57"/>
  <c r="D1" i="59"/>
  <c r="P22" i="60"/>
  <c r="P21" i="60"/>
  <c r="O53" i="41"/>
  <c r="O52" i="41"/>
  <c r="F50" i="59"/>
  <c r="G50" i="59"/>
  <c r="H50" i="59"/>
  <c r="I50" i="59"/>
  <c r="J50" i="59"/>
  <c r="K50" i="59"/>
  <c r="L50" i="59"/>
  <c r="M50" i="59"/>
  <c r="N50" i="59"/>
  <c r="O50" i="59"/>
  <c r="E50" i="59"/>
  <c r="K55" i="59"/>
  <c r="L55" i="59"/>
  <c r="M55" i="59"/>
  <c r="N55" i="59"/>
  <c r="O55" i="59"/>
  <c r="P55" i="59"/>
  <c r="Q55" i="59"/>
  <c r="R55" i="59"/>
  <c r="S55" i="59"/>
  <c r="T55" i="59"/>
  <c r="J55" i="59"/>
  <c r="F55" i="59"/>
  <c r="G55" i="59"/>
  <c r="H55" i="59"/>
  <c r="I55" i="59"/>
  <c r="E55" i="59"/>
  <c r="F54" i="59"/>
  <c r="G54" i="59"/>
  <c r="H54" i="59"/>
  <c r="I54" i="59"/>
  <c r="E54" i="59"/>
  <c r="H6" i="38"/>
  <c r="H4" i="63"/>
  <c r="G6" i="38"/>
  <c r="G4" i="63"/>
  <c r="F6" i="38"/>
  <c r="F4" i="63"/>
  <c r="I6" i="38"/>
  <c r="I4" i="63"/>
  <c r="E6" i="38"/>
  <c r="E4" i="63"/>
  <c r="F25" i="59"/>
  <c r="E25" i="59"/>
  <c r="B3" i="59"/>
  <c r="B11" i="59"/>
  <c r="O17" i="59"/>
  <c r="N17" i="59"/>
  <c r="M17" i="59"/>
  <c r="L17" i="59"/>
  <c r="K17" i="59"/>
  <c r="J17" i="59"/>
  <c r="P24" i="55"/>
  <c r="Q24" i="55"/>
  <c r="R24" i="55"/>
  <c r="R13" i="41"/>
  <c r="S24" i="55"/>
  <c r="T24" i="55"/>
  <c r="U24" i="55"/>
  <c r="V24" i="55"/>
  <c r="V13" i="41"/>
  <c r="W24" i="55"/>
  <c r="X24" i="55"/>
  <c r="Y24" i="55"/>
  <c r="Z24" i="55"/>
  <c r="Z13" i="41"/>
  <c r="AA24" i="55"/>
  <c r="AB24" i="55"/>
  <c r="AC24" i="55"/>
  <c r="AD24" i="55"/>
  <c r="AD13" i="41"/>
  <c r="AE24" i="55"/>
  <c r="AF24" i="55"/>
  <c r="AG24" i="55"/>
  <c r="AH24" i="55"/>
  <c r="AH13" i="41"/>
  <c r="AI24" i="55"/>
  <c r="AJ24" i="55"/>
  <c r="AK24" i="55"/>
  <c r="AL24" i="55"/>
  <c r="AL13" i="41"/>
  <c r="AM24" i="55"/>
  <c r="D39" i="55"/>
  <c r="M43" i="55"/>
  <c r="M45" i="55"/>
  <c r="Q59" i="55"/>
  <c r="R59" i="55"/>
  <c r="S59" i="55"/>
  <c r="T59" i="55"/>
  <c r="U59" i="55"/>
  <c r="V59" i="55"/>
  <c r="W59" i="55"/>
  <c r="X59" i="55"/>
  <c r="Y59" i="55"/>
  <c r="Z59" i="55"/>
  <c r="AA59" i="55"/>
  <c r="AB59" i="55"/>
  <c r="AC59" i="55"/>
  <c r="AD59" i="55"/>
  <c r="AE59" i="55"/>
  <c r="AF59" i="55"/>
  <c r="AG59" i="55"/>
  <c r="AH59" i="55"/>
  <c r="AI59" i="55"/>
  <c r="AJ59" i="55"/>
  <c r="AK59" i="55"/>
  <c r="AL59" i="55"/>
  <c r="AM59" i="55"/>
  <c r="BD71" i="59"/>
  <c r="BE71" i="59"/>
  <c r="BF71" i="59"/>
  <c r="I61" i="59"/>
  <c r="J61" i="59"/>
  <c r="K61" i="59"/>
  <c r="L61" i="59"/>
  <c r="M61" i="59"/>
  <c r="N61" i="59"/>
  <c r="O61" i="59"/>
  <c r="P61" i="59"/>
  <c r="Q61" i="59"/>
  <c r="R61" i="59"/>
  <c r="S61" i="59"/>
  <c r="T61" i="59"/>
  <c r="U61" i="59"/>
  <c r="V61" i="59"/>
  <c r="W61" i="59"/>
  <c r="X61" i="59"/>
  <c r="Y61" i="59"/>
  <c r="Z61" i="59"/>
  <c r="AA61" i="59"/>
  <c r="AB61" i="59"/>
  <c r="AC61" i="59"/>
  <c r="AD61" i="59"/>
  <c r="H60" i="59"/>
  <c r="G59" i="59"/>
  <c r="H59" i="59"/>
  <c r="I59" i="59"/>
  <c r="J59" i="59"/>
  <c r="K59" i="59"/>
  <c r="L59" i="59"/>
  <c r="M59" i="59"/>
  <c r="N59" i="59"/>
  <c r="O59" i="59"/>
  <c r="P59" i="59"/>
  <c r="Q59" i="59"/>
  <c r="R59" i="59"/>
  <c r="S59" i="59"/>
  <c r="T59" i="59"/>
  <c r="U59" i="59"/>
  <c r="V59" i="59"/>
  <c r="W59" i="59"/>
  <c r="X59" i="59"/>
  <c r="Y59" i="59"/>
  <c r="Z59" i="59"/>
  <c r="AA59" i="59"/>
  <c r="AB59" i="59"/>
  <c r="AC59" i="59"/>
  <c r="AD59" i="59"/>
  <c r="F58" i="59"/>
  <c r="E57" i="59"/>
  <c r="E73" i="59"/>
  <c r="N35" i="55"/>
  <c r="AM6" i="41"/>
  <c r="AM15" i="60"/>
  <c r="AL6" i="41"/>
  <c r="AL15" i="60" s="1"/>
  <c r="AK6" i="41"/>
  <c r="AK15" i="60"/>
  <c r="AJ6" i="41"/>
  <c r="AI6" i="41"/>
  <c r="AI15" i="60"/>
  <c r="AH6" i="41"/>
  <c r="AH15" i="60" s="1"/>
  <c r="AG6" i="41"/>
  <c r="AG15" i="60"/>
  <c r="AF60" i="55"/>
  <c r="AE6" i="41"/>
  <c r="AE15" i="60"/>
  <c r="AD6" i="41"/>
  <c r="AD22" i="41" s="1"/>
  <c r="AD15" i="60"/>
  <c r="AC6" i="41"/>
  <c r="AC15" i="60"/>
  <c r="AB60" i="55"/>
  <c r="AA6" i="41"/>
  <c r="AA15" i="60" s="1"/>
  <c r="Z6" i="41"/>
  <c r="Z15" i="60"/>
  <c r="Y6" i="41"/>
  <c r="X6" i="41"/>
  <c r="X22" i="41" s="1"/>
  <c r="X15" i="60"/>
  <c r="W60" i="55"/>
  <c r="V6" i="41"/>
  <c r="V15" i="60"/>
  <c r="U6" i="41"/>
  <c r="U22" i="41" s="1"/>
  <c r="T60" i="55"/>
  <c r="S60" i="55"/>
  <c r="R6" i="41"/>
  <c r="R15" i="60" s="1"/>
  <c r="Q6" i="41"/>
  <c r="D1" i="38"/>
  <c r="E24" i="38"/>
  <c r="E22" i="63"/>
  <c r="J23" i="59"/>
  <c r="J10" i="63"/>
  <c r="J17" i="63"/>
  <c r="N23" i="59"/>
  <c r="N10" i="63"/>
  <c r="N17" i="63"/>
  <c r="L24" i="59"/>
  <c r="L11" i="63"/>
  <c r="L18" i="63"/>
  <c r="H10" i="63"/>
  <c r="H17" i="63"/>
  <c r="G24" i="59"/>
  <c r="G11" i="63"/>
  <c r="G18" i="63"/>
  <c r="K23" i="59"/>
  <c r="K10" i="63"/>
  <c r="K17" i="63"/>
  <c r="O23" i="59"/>
  <c r="O10" i="63"/>
  <c r="O17" i="63"/>
  <c r="M24" i="59"/>
  <c r="M11" i="63"/>
  <c r="M18" i="63"/>
  <c r="I23" i="59"/>
  <c r="I10" i="63"/>
  <c r="I17" i="63"/>
  <c r="L23" i="59"/>
  <c r="L10" i="63"/>
  <c r="L17" i="63"/>
  <c r="J24" i="59"/>
  <c r="J11" i="63"/>
  <c r="J18" i="63"/>
  <c r="N24" i="59"/>
  <c r="N11" i="63"/>
  <c r="N18" i="63"/>
  <c r="H11" i="63"/>
  <c r="H18" i="63"/>
  <c r="M23" i="59"/>
  <c r="M10" i="63"/>
  <c r="M17" i="63"/>
  <c r="K24" i="59"/>
  <c r="K11" i="63"/>
  <c r="K18" i="63"/>
  <c r="O24" i="59"/>
  <c r="O11" i="63"/>
  <c r="O18" i="63"/>
  <c r="I24" i="59"/>
  <c r="I11" i="63"/>
  <c r="I18" i="63"/>
  <c r="P15" i="60"/>
  <c r="U15" i="60"/>
  <c r="K20" i="59"/>
  <c r="K7" i="63"/>
  <c r="H8" i="63"/>
  <c r="H15" i="63"/>
  <c r="I22" i="59"/>
  <c r="I9" i="63"/>
  <c r="I16" i="63"/>
  <c r="I21" i="59"/>
  <c r="I8" i="63"/>
  <c r="I15" i="63"/>
  <c r="G23" i="59"/>
  <c r="G10" i="63"/>
  <c r="G17" i="63"/>
  <c r="H9" i="63"/>
  <c r="H16" i="63"/>
  <c r="G22" i="59"/>
  <c r="G9" i="63"/>
  <c r="G16" i="63"/>
  <c r="G21" i="59"/>
  <c r="G8" i="63"/>
  <c r="G15" i="63"/>
  <c r="O20" i="59"/>
  <c r="O7" i="63"/>
  <c r="J21" i="59"/>
  <c r="J8" i="63"/>
  <c r="J15" i="63"/>
  <c r="N22" i="59"/>
  <c r="N9" i="63"/>
  <c r="N16" i="63"/>
  <c r="K21" i="59"/>
  <c r="K8" i="63"/>
  <c r="K15" i="63"/>
  <c r="N21" i="59"/>
  <c r="N8" i="63"/>
  <c r="N15" i="63"/>
  <c r="M22" i="59"/>
  <c r="M9" i="63"/>
  <c r="M16" i="63"/>
  <c r="M20" i="59"/>
  <c r="M7" i="63"/>
  <c r="J22" i="59"/>
  <c r="J9" i="63"/>
  <c r="J16" i="63"/>
  <c r="O21" i="59"/>
  <c r="O8" i="63"/>
  <c r="O15" i="63"/>
  <c r="L20" i="59"/>
  <c r="L7" i="63"/>
  <c r="J20" i="59"/>
  <c r="J7" i="63"/>
  <c r="L22" i="59"/>
  <c r="L9" i="63"/>
  <c r="L16" i="63"/>
  <c r="M21" i="59"/>
  <c r="M8" i="63"/>
  <c r="M15" i="63"/>
  <c r="N20" i="59"/>
  <c r="N7" i="63"/>
  <c r="F57" i="59"/>
  <c r="G57" i="59"/>
  <c r="H57" i="59"/>
  <c r="O22" i="59"/>
  <c r="O9" i="63"/>
  <c r="O16" i="63"/>
  <c r="K22" i="59"/>
  <c r="K9" i="63"/>
  <c r="K16" i="63"/>
  <c r="L21" i="59"/>
  <c r="L8" i="63"/>
  <c r="L15" i="63"/>
  <c r="AM60" i="55"/>
  <c r="AI60" i="55"/>
  <c r="AE60" i="55"/>
  <c r="AA60" i="55"/>
  <c r="AL60" i="55"/>
  <c r="AH60" i="55"/>
  <c r="AD60" i="55"/>
  <c r="Z60" i="55"/>
  <c r="V60" i="55"/>
  <c r="R60" i="55"/>
  <c r="AK60" i="55"/>
  <c r="AG60" i="55"/>
  <c r="AC60" i="55"/>
  <c r="Y60" i="55"/>
  <c r="U60" i="55"/>
  <c r="Q60" i="55"/>
  <c r="AJ60" i="55"/>
  <c r="X60" i="55"/>
  <c r="BG61" i="59"/>
  <c r="I60" i="59"/>
  <c r="J60" i="59"/>
  <c r="K60" i="59"/>
  <c r="L60" i="59"/>
  <c r="M60" i="59"/>
  <c r="N60" i="59"/>
  <c r="O60" i="59"/>
  <c r="P60" i="59"/>
  <c r="Q60" i="59"/>
  <c r="R60" i="59"/>
  <c r="S60" i="59"/>
  <c r="T60" i="59"/>
  <c r="U60" i="59"/>
  <c r="V60" i="59"/>
  <c r="W60" i="59"/>
  <c r="X60" i="59"/>
  <c r="Y60" i="59"/>
  <c r="Z60" i="59"/>
  <c r="AA60" i="59"/>
  <c r="AB60" i="59"/>
  <c r="AC60" i="59"/>
  <c r="AD60" i="59"/>
  <c r="AE60" i="59"/>
  <c r="AF60" i="59"/>
  <c r="BG59" i="59"/>
  <c r="G58" i="59"/>
  <c r="H58" i="59"/>
  <c r="I58" i="59"/>
  <c r="J58" i="59"/>
  <c r="K58" i="59"/>
  <c r="L58" i="59"/>
  <c r="M58" i="59"/>
  <c r="N58" i="59"/>
  <c r="O58" i="59"/>
  <c r="P58" i="59"/>
  <c r="Q58" i="59"/>
  <c r="R58" i="59"/>
  <c r="S58" i="59"/>
  <c r="T58" i="59"/>
  <c r="U58" i="59"/>
  <c r="V58" i="59"/>
  <c r="W58" i="59"/>
  <c r="X58" i="59"/>
  <c r="Y58" i="59"/>
  <c r="Z58" i="59"/>
  <c r="AA58" i="59"/>
  <c r="AB58" i="59"/>
  <c r="AC58" i="59"/>
  <c r="AD58" i="59"/>
  <c r="AE58" i="59"/>
  <c r="AF58" i="59"/>
  <c r="AG58" i="59"/>
  <c r="AH58" i="59"/>
  <c r="AI58" i="59"/>
  <c r="AJ58" i="59"/>
  <c r="AK58" i="59"/>
  <c r="AL58" i="59"/>
  <c r="AM58" i="59"/>
  <c r="AN58" i="59"/>
  <c r="AO58" i="59"/>
  <c r="AP58" i="59"/>
  <c r="AQ58" i="59"/>
  <c r="AR58" i="59"/>
  <c r="AS58" i="59"/>
  <c r="AT58" i="59"/>
  <c r="AU58" i="59"/>
  <c r="AV58" i="59"/>
  <c r="AW58" i="59"/>
  <c r="AX58" i="59"/>
  <c r="AY58" i="59"/>
  <c r="AZ58" i="59"/>
  <c r="BA58" i="59"/>
  <c r="BB58" i="59"/>
  <c r="BC58" i="59"/>
  <c r="BD58" i="59"/>
  <c r="BE58" i="59"/>
  <c r="BF58" i="59"/>
  <c r="N6" i="57"/>
  <c r="AF6" i="41"/>
  <c r="AF22" i="41" s="1"/>
  <c r="AF15" i="60"/>
  <c r="AB6" i="41"/>
  <c r="AB15" i="60"/>
  <c r="T6" i="41"/>
  <c r="W6" i="41"/>
  <c r="W15" i="60" s="1"/>
  <c r="S6" i="41"/>
  <c r="E3" i="63"/>
  <c r="E5" i="63"/>
  <c r="N14" i="63"/>
  <c r="N19" i="63"/>
  <c r="N12" i="63"/>
  <c r="L14" i="63"/>
  <c r="L12" i="63"/>
  <c r="L25" i="63"/>
  <c r="O25" i="63"/>
  <c r="O14" i="63"/>
  <c r="O19" i="63"/>
  <c r="O12" i="63"/>
  <c r="J26" i="63"/>
  <c r="N26" i="63"/>
  <c r="G26" i="63"/>
  <c r="L26" i="63"/>
  <c r="O26" i="63"/>
  <c r="I26" i="63"/>
  <c r="M26" i="63"/>
  <c r="H26" i="63"/>
  <c r="K14" i="63"/>
  <c r="K19" i="63"/>
  <c r="K12" i="63"/>
  <c r="N25" i="63"/>
  <c r="O24" i="63"/>
  <c r="L24" i="63"/>
  <c r="J24" i="63"/>
  <c r="I24" i="63"/>
  <c r="K24" i="63"/>
  <c r="G24" i="63"/>
  <c r="H24" i="63"/>
  <c r="N24" i="63"/>
  <c r="M24" i="63"/>
  <c r="K26" i="63"/>
  <c r="J14" i="63"/>
  <c r="J19" i="63"/>
  <c r="J12" i="63"/>
  <c r="M14" i="63"/>
  <c r="M19" i="63"/>
  <c r="M12" i="63"/>
  <c r="K25" i="63"/>
  <c r="J25" i="63"/>
  <c r="M25" i="63"/>
  <c r="K27" i="63"/>
  <c r="G27" i="63"/>
  <c r="O27" i="63"/>
  <c r="L27" i="63"/>
  <c r="J27" i="63"/>
  <c r="N27" i="63"/>
  <c r="I27" i="63"/>
  <c r="M27" i="63"/>
  <c r="H27" i="63"/>
  <c r="S15" i="60"/>
  <c r="T15" i="60"/>
  <c r="J25" i="59"/>
  <c r="M25" i="59"/>
  <c r="O25" i="59"/>
  <c r="H7" i="63"/>
  <c r="H9" i="59"/>
  <c r="G20" i="59"/>
  <c r="G7" i="63"/>
  <c r="G9" i="59"/>
  <c r="I20" i="59"/>
  <c r="I7" i="63"/>
  <c r="I9" i="59"/>
  <c r="K25" i="59"/>
  <c r="N25" i="59"/>
  <c r="L25" i="59"/>
  <c r="N33" i="59"/>
  <c r="F73" i="59"/>
  <c r="O33" i="59"/>
  <c r="L33" i="59"/>
  <c r="K33" i="59"/>
  <c r="J33" i="59"/>
  <c r="M33" i="59"/>
  <c r="Q67" i="55"/>
  <c r="G73" i="59"/>
  <c r="H73" i="59"/>
  <c r="I57" i="59"/>
  <c r="BG58" i="59"/>
  <c r="BG60" i="59"/>
  <c r="F24" i="38"/>
  <c r="F22" i="63"/>
  <c r="H24" i="38"/>
  <c r="H22" i="63"/>
  <c r="G24" i="38"/>
  <c r="G22" i="63"/>
  <c r="K4" i="63"/>
  <c r="E28" i="63"/>
  <c r="E30" i="63"/>
  <c r="F3" i="63"/>
  <c r="F5" i="63"/>
  <c r="G14" i="63"/>
  <c r="G12" i="63"/>
  <c r="L19" i="63"/>
  <c r="I14" i="63"/>
  <c r="I19" i="63"/>
  <c r="I12" i="63"/>
  <c r="H14" i="63"/>
  <c r="H19" i="63"/>
  <c r="H12" i="63"/>
  <c r="K6" i="38"/>
  <c r="F41" i="59"/>
  <c r="F11" i="38"/>
  <c r="I25" i="59"/>
  <c r="G25" i="59"/>
  <c r="J35" i="59"/>
  <c r="J43" i="59"/>
  <c r="J13" i="38"/>
  <c r="M35" i="59"/>
  <c r="K35" i="59"/>
  <c r="O35" i="59"/>
  <c r="E41" i="59"/>
  <c r="E11" i="38"/>
  <c r="L35" i="59"/>
  <c r="N35" i="59"/>
  <c r="R67" i="55"/>
  <c r="Q68" i="55"/>
  <c r="I73" i="59"/>
  <c r="J57" i="59"/>
  <c r="I24" i="38"/>
  <c r="I22" i="63"/>
  <c r="L4" i="63"/>
  <c r="E18" i="38"/>
  <c r="E49" i="38"/>
  <c r="F17" i="38"/>
  <c r="F18" i="38"/>
  <c r="N4" i="63"/>
  <c r="E19" i="38"/>
  <c r="F20" i="38"/>
  <c r="E20" i="38"/>
  <c r="E17" i="38"/>
  <c r="J4" i="63"/>
  <c r="J20" i="38"/>
  <c r="H17" i="38"/>
  <c r="F28" i="63"/>
  <c r="F30" i="63"/>
  <c r="G3" i="63"/>
  <c r="G5" i="63"/>
  <c r="L23" i="63"/>
  <c r="J23" i="63"/>
  <c r="K23" i="63"/>
  <c r="M23" i="63"/>
  <c r="I23" i="63"/>
  <c r="I28" i="63"/>
  <c r="G23" i="63"/>
  <c r="H23" i="63"/>
  <c r="H28" i="63"/>
  <c r="O23" i="63"/>
  <c r="N23" i="63"/>
  <c r="G19" i="63"/>
  <c r="J6" i="38"/>
  <c r="N6" i="38"/>
  <c r="L6" i="38"/>
  <c r="J40" i="59"/>
  <c r="J10" i="38"/>
  <c r="J42" i="59"/>
  <c r="J12" i="38"/>
  <c r="J41" i="59"/>
  <c r="J11" i="38"/>
  <c r="J39" i="59"/>
  <c r="J9" i="38"/>
  <c r="J49" i="59"/>
  <c r="J51" i="59"/>
  <c r="J52" i="59"/>
  <c r="O54" i="59"/>
  <c r="M39" i="59"/>
  <c r="M9" i="38"/>
  <c r="M40" i="59"/>
  <c r="M10" i="38"/>
  <c r="M43" i="59"/>
  <c r="M13" i="38"/>
  <c r="K40" i="59"/>
  <c r="K10" i="38"/>
  <c r="L49" i="59"/>
  <c r="M49" i="59"/>
  <c r="M41" i="59"/>
  <c r="M11" i="38"/>
  <c r="M42" i="59"/>
  <c r="M12" i="38"/>
  <c r="O49" i="59"/>
  <c r="K49" i="59"/>
  <c r="K43" i="59"/>
  <c r="K13" i="38"/>
  <c r="K42" i="59"/>
  <c r="K12" i="38"/>
  <c r="K41" i="59"/>
  <c r="K11" i="38"/>
  <c r="K39" i="59"/>
  <c r="K9" i="38"/>
  <c r="E28" i="38"/>
  <c r="O39" i="59"/>
  <c r="O9" i="38"/>
  <c r="O40" i="59"/>
  <c r="O10" i="38"/>
  <c r="O42" i="59"/>
  <c r="O12" i="38"/>
  <c r="L43" i="59"/>
  <c r="L13" i="38"/>
  <c r="E29" i="38"/>
  <c r="F44" i="59"/>
  <c r="L39" i="59"/>
  <c r="L9" i="38"/>
  <c r="E16" i="38"/>
  <c r="E14" i="38"/>
  <c r="F16" i="38"/>
  <c r="E44" i="59"/>
  <c r="O41" i="59"/>
  <c r="O11" i="38"/>
  <c r="O43" i="59"/>
  <c r="O13" i="38"/>
  <c r="N41" i="59"/>
  <c r="N11" i="38"/>
  <c r="N49" i="59"/>
  <c r="N51" i="59"/>
  <c r="N52" i="59"/>
  <c r="S54" i="59"/>
  <c r="L41" i="59"/>
  <c r="L11" i="38"/>
  <c r="L42" i="59"/>
  <c r="L12" i="38"/>
  <c r="N39" i="59"/>
  <c r="N9" i="38"/>
  <c r="L40" i="59"/>
  <c r="L10" i="38"/>
  <c r="H41" i="59"/>
  <c r="G41" i="59"/>
  <c r="G11" i="38"/>
  <c r="N43" i="59"/>
  <c r="N13" i="38"/>
  <c r="N42" i="59"/>
  <c r="N12" i="38"/>
  <c r="N40" i="59"/>
  <c r="N10" i="38"/>
  <c r="I41" i="59"/>
  <c r="I11" i="38"/>
  <c r="R68" i="55"/>
  <c r="S67" i="55"/>
  <c r="K57" i="59"/>
  <c r="F29" i="38"/>
  <c r="I17" i="38"/>
  <c r="N17" i="38"/>
  <c r="L19" i="38"/>
  <c r="O20" i="38"/>
  <c r="I20" i="38"/>
  <c r="N19" i="38"/>
  <c r="G20" i="38"/>
  <c r="L17" i="38"/>
  <c r="H19" i="38"/>
  <c r="N18" i="38"/>
  <c r="O18" i="38"/>
  <c r="O17" i="38"/>
  <c r="K20" i="38"/>
  <c r="M18" i="38"/>
  <c r="M20" i="38"/>
  <c r="J19" i="38"/>
  <c r="I19" i="38"/>
  <c r="N20" i="38"/>
  <c r="G19" i="38"/>
  <c r="L18" i="38"/>
  <c r="M4" i="63"/>
  <c r="F26" i="38"/>
  <c r="K16" i="38"/>
  <c r="M17" i="38"/>
  <c r="I18" i="38"/>
  <c r="G18" i="38"/>
  <c r="G17" i="38"/>
  <c r="H20" i="38"/>
  <c r="F19" i="38"/>
  <c r="F28" i="38"/>
  <c r="L20" i="38"/>
  <c r="E26" i="38"/>
  <c r="K18" i="38"/>
  <c r="M16" i="38"/>
  <c r="J16" i="38"/>
  <c r="J17" i="38"/>
  <c r="G28" i="63"/>
  <c r="G30" i="63"/>
  <c r="H3" i="63"/>
  <c r="H5" i="63"/>
  <c r="H30" i="63"/>
  <c r="I3" i="63"/>
  <c r="I5" i="63"/>
  <c r="I30" i="63"/>
  <c r="J3" i="63"/>
  <c r="J5" i="63"/>
  <c r="O19" i="38"/>
  <c r="K19" i="38"/>
  <c r="M19" i="38"/>
  <c r="K17" i="38"/>
  <c r="O4" i="63"/>
  <c r="J18" i="38"/>
  <c r="M6" i="38"/>
  <c r="J14" i="38"/>
  <c r="J44" i="59"/>
  <c r="O14" i="38"/>
  <c r="O67" i="59"/>
  <c r="P67" i="59"/>
  <c r="Q67" i="59"/>
  <c r="R67" i="59"/>
  <c r="S67" i="59"/>
  <c r="T67" i="59"/>
  <c r="U67" i="59"/>
  <c r="V67" i="59"/>
  <c r="W67" i="59"/>
  <c r="X67" i="59"/>
  <c r="Y67" i="59"/>
  <c r="Z67" i="59"/>
  <c r="AA67" i="59"/>
  <c r="AB67" i="59"/>
  <c r="AC67" i="59"/>
  <c r="AD67" i="59"/>
  <c r="AE67" i="59"/>
  <c r="AF67" i="59"/>
  <c r="AG67" i="59"/>
  <c r="AH67" i="59"/>
  <c r="AI67" i="59"/>
  <c r="AJ67" i="59"/>
  <c r="AK67" i="59"/>
  <c r="AL67" i="59"/>
  <c r="AM67" i="59"/>
  <c r="AN67" i="59"/>
  <c r="AO67" i="59"/>
  <c r="AP67" i="59"/>
  <c r="AQ67" i="59"/>
  <c r="AR67" i="59"/>
  <c r="AS67" i="59"/>
  <c r="AT67" i="59"/>
  <c r="AU67" i="59"/>
  <c r="AV67" i="59"/>
  <c r="AW67" i="59"/>
  <c r="AX67" i="59"/>
  <c r="AY67" i="59"/>
  <c r="AZ67" i="59"/>
  <c r="BA67" i="59"/>
  <c r="BB67" i="59"/>
  <c r="BC67" i="59"/>
  <c r="BD67" i="59"/>
  <c r="BE67" i="59"/>
  <c r="BF67" i="59"/>
  <c r="O6" i="38"/>
  <c r="M44" i="59"/>
  <c r="L51" i="59"/>
  <c r="L52" i="59"/>
  <c r="Q54" i="59"/>
  <c r="M14" i="38"/>
  <c r="K51" i="59"/>
  <c r="K52" i="59"/>
  <c r="P54" i="59"/>
  <c r="M51" i="59"/>
  <c r="M52" i="59"/>
  <c r="R54" i="59"/>
  <c r="K14" i="38"/>
  <c r="K44" i="59"/>
  <c r="G29" i="38"/>
  <c r="G16" i="38"/>
  <c r="G14" i="38"/>
  <c r="O27" i="38"/>
  <c r="N16" i="38"/>
  <c r="N14" i="38"/>
  <c r="H16" i="38"/>
  <c r="H44" i="59"/>
  <c r="H11" i="38"/>
  <c r="F14" i="38"/>
  <c r="H26" i="38"/>
  <c r="M26" i="38"/>
  <c r="O16" i="38"/>
  <c r="J26" i="38"/>
  <c r="I16" i="38"/>
  <c r="I14" i="38"/>
  <c r="L16" i="38"/>
  <c r="L14" i="38"/>
  <c r="O44" i="59"/>
  <c r="N44" i="59"/>
  <c r="L44" i="59"/>
  <c r="AN63" i="59"/>
  <c r="AO63" i="59"/>
  <c r="AP63" i="59"/>
  <c r="AQ63" i="59"/>
  <c r="AR63" i="59"/>
  <c r="AS63" i="59"/>
  <c r="AT63" i="59"/>
  <c r="AU63" i="59"/>
  <c r="AV63" i="59"/>
  <c r="AW63" i="59"/>
  <c r="AX63" i="59"/>
  <c r="AY63" i="59"/>
  <c r="AZ63" i="59"/>
  <c r="BA63" i="59"/>
  <c r="BB63" i="59"/>
  <c r="BC63" i="59"/>
  <c r="BD63" i="59"/>
  <c r="BE63" i="59"/>
  <c r="BF63" i="59"/>
  <c r="G44" i="59"/>
  <c r="I44" i="59"/>
  <c r="S68" i="55"/>
  <c r="T67" i="55"/>
  <c r="L57" i="59"/>
  <c r="G28" i="38"/>
  <c r="F52" i="38"/>
  <c r="K26" i="38"/>
  <c r="BG67" i="59"/>
  <c r="M29" i="38"/>
  <c r="J28" i="38"/>
  <c r="N27" i="38"/>
  <c r="I28" i="38"/>
  <c r="M27" i="38"/>
  <c r="K29" i="38"/>
  <c r="H29" i="38"/>
  <c r="H28" i="38"/>
  <c r="O29" i="38"/>
  <c r="I29" i="38"/>
  <c r="I52" i="38"/>
  <c r="K52" i="38"/>
  <c r="L52" i="38"/>
  <c r="G52" i="38"/>
  <c r="N28" i="38"/>
  <c r="L28" i="38"/>
  <c r="O28" i="38"/>
  <c r="M28" i="38"/>
  <c r="N26" i="38"/>
  <c r="M52" i="38"/>
  <c r="E52" i="38"/>
  <c r="G26" i="38"/>
  <c r="N29" i="38"/>
  <c r="K28" i="38"/>
  <c r="L26" i="38"/>
  <c r="J29" i="38"/>
  <c r="O26" i="38"/>
  <c r="I26" i="38"/>
  <c r="L29" i="38"/>
  <c r="O52" i="38"/>
  <c r="J52" i="38"/>
  <c r="H18" i="38"/>
  <c r="N52" i="38"/>
  <c r="R70" i="59"/>
  <c r="S70" i="59"/>
  <c r="T70" i="59"/>
  <c r="U70" i="59"/>
  <c r="V70" i="59"/>
  <c r="W70" i="59"/>
  <c r="X70" i="59"/>
  <c r="Y70" i="59"/>
  <c r="Z70" i="59"/>
  <c r="AA70" i="59"/>
  <c r="AB70" i="59"/>
  <c r="AC70" i="59"/>
  <c r="AD70" i="59"/>
  <c r="AE70" i="59"/>
  <c r="AF70" i="59"/>
  <c r="AG70" i="59"/>
  <c r="AH70" i="59"/>
  <c r="AI70" i="59"/>
  <c r="AJ70" i="59"/>
  <c r="AK70" i="59"/>
  <c r="AL70" i="59"/>
  <c r="AM70" i="59"/>
  <c r="AN70" i="59"/>
  <c r="AO70" i="59"/>
  <c r="AP70" i="59"/>
  <c r="AQ70" i="59"/>
  <c r="AR70" i="59"/>
  <c r="AS70" i="59"/>
  <c r="AT70" i="59"/>
  <c r="AU70" i="59"/>
  <c r="AV70" i="59"/>
  <c r="AW70" i="59"/>
  <c r="AX70" i="59"/>
  <c r="AY70" i="59"/>
  <c r="AZ70" i="59"/>
  <c r="BA70" i="59"/>
  <c r="BB70" i="59"/>
  <c r="BC70" i="59"/>
  <c r="BD70" i="59"/>
  <c r="BE70" i="59"/>
  <c r="BF70" i="59"/>
  <c r="P68" i="59"/>
  <c r="Q68" i="59"/>
  <c r="R68" i="59"/>
  <c r="S68" i="59"/>
  <c r="T68" i="59"/>
  <c r="U68" i="59"/>
  <c r="V68" i="59"/>
  <c r="W68" i="59"/>
  <c r="X68" i="59"/>
  <c r="Y68" i="59"/>
  <c r="Z68" i="59"/>
  <c r="AA68" i="59"/>
  <c r="AB68" i="59"/>
  <c r="AC68" i="59"/>
  <c r="AD68" i="59"/>
  <c r="AE68" i="59"/>
  <c r="AF68" i="59"/>
  <c r="AG68" i="59"/>
  <c r="AH68" i="59"/>
  <c r="AI68" i="59"/>
  <c r="AJ68" i="59"/>
  <c r="AK68" i="59"/>
  <c r="AL68" i="59"/>
  <c r="AM68" i="59"/>
  <c r="AN68" i="59"/>
  <c r="AO68" i="59"/>
  <c r="AP68" i="59"/>
  <c r="AQ68" i="59"/>
  <c r="AR68" i="59"/>
  <c r="AS68" i="59"/>
  <c r="AT68" i="59"/>
  <c r="AU68" i="59"/>
  <c r="AV68" i="59"/>
  <c r="AW68" i="59"/>
  <c r="AX68" i="59"/>
  <c r="AY68" i="59"/>
  <c r="AZ68" i="59"/>
  <c r="BA68" i="59"/>
  <c r="BB68" i="59"/>
  <c r="BC68" i="59"/>
  <c r="BD68" i="59"/>
  <c r="BE68" i="59"/>
  <c r="BF68" i="59"/>
  <c r="Q69" i="59"/>
  <c r="R69" i="59"/>
  <c r="S69" i="59"/>
  <c r="T69" i="59"/>
  <c r="U69" i="59"/>
  <c r="V69" i="59"/>
  <c r="W69" i="59"/>
  <c r="X69" i="59"/>
  <c r="Y69" i="59"/>
  <c r="Z69" i="59"/>
  <c r="AA69" i="59"/>
  <c r="AB69" i="59"/>
  <c r="AC69" i="59"/>
  <c r="AD69" i="59"/>
  <c r="AE69" i="59"/>
  <c r="AF69" i="59"/>
  <c r="AG69" i="59"/>
  <c r="AH69" i="59"/>
  <c r="AI69" i="59"/>
  <c r="AJ69" i="59"/>
  <c r="AK69" i="59"/>
  <c r="AL69" i="59"/>
  <c r="AM69" i="59"/>
  <c r="AN69" i="59"/>
  <c r="AO69" i="59"/>
  <c r="AP69" i="59"/>
  <c r="AQ69" i="59"/>
  <c r="AR69" i="59"/>
  <c r="AS69" i="59"/>
  <c r="AT69" i="59"/>
  <c r="AU69" i="59"/>
  <c r="AV69" i="59"/>
  <c r="AW69" i="59"/>
  <c r="AX69" i="59"/>
  <c r="AY69" i="59"/>
  <c r="AZ69" i="59"/>
  <c r="BA69" i="59"/>
  <c r="BB69" i="59"/>
  <c r="BC69" i="59"/>
  <c r="BD69" i="59"/>
  <c r="BE69" i="59"/>
  <c r="BF69" i="59"/>
  <c r="K27" i="38"/>
  <c r="J27" i="38"/>
  <c r="H14" i="38"/>
  <c r="S71" i="59"/>
  <c r="T71" i="59"/>
  <c r="U71" i="59"/>
  <c r="V71" i="59"/>
  <c r="W71" i="59"/>
  <c r="X71" i="59"/>
  <c r="Y71" i="59"/>
  <c r="Z71" i="59"/>
  <c r="AA71" i="59"/>
  <c r="AB71" i="59"/>
  <c r="AC71" i="59"/>
  <c r="AD71" i="59"/>
  <c r="AE71" i="59"/>
  <c r="AF71" i="59"/>
  <c r="AG71" i="59"/>
  <c r="AH71" i="59"/>
  <c r="AI71" i="59"/>
  <c r="AJ71" i="59"/>
  <c r="AK71" i="59"/>
  <c r="AL71" i="59"/>
  <c r="AM71" i="59"/>
  <c r="AN71" i="59"/>
  <c r="AO71" i="59"/>
  <c r="AP71" i="59"/>
  <c r="AQ71" i="59"/>
  <c r="AR71" i="59"/>
  <c r="AS71" i="59"/>
  <c r="AT71" i="59"/>
  <c r="AU71" i="59"/>
  <c r="AV71" i="59"/>
  <c r="AW71" i="59"/>
  <c r="AX71" i="59"/>
  <c r="AY71" i="59"/>
  <c r="AZ71" i="59"/>
  <c r="BA71" i="59"/>
  <c r="BG63" i="59"/>
  <c r="J73" i="59"/>
  <c r="U67" i="55"/>
  <c r="T68" i="55"/>
  <c r="M57" i="59"/>
  <c r="N50" i="57"/>
  <c r="N51" i="57"/>
  <c r="O38" i="57"/>
  <c r="O39" i="57"/>
  <c r="O50" i="57"/>
  <c r="O51" i="57"/>
  <c r="J22" i="63"/>
  <c r="J30" i="63"/>
  <c r="K3" i="63"/>
  <c r="K5" i="63"/>
  <c r="L27" i="38"/>
  <c r="H52" i="38"/>
  <c r="J24" i="38"/>
  <c r="BG70" i="59"/>
  <c r="BG68" i="59"/>
  <c r="BG69" i="59"/>
  <c r="BG64" i="59"/>
  <c r="BG71" i="59"/>
  <c r="BG66" i="59"/>
  <c r="AN65" i="59"/>
  <c r="AO65" i="59"/>
  <c r="AP65" i="59"/>
  <c r="AQ65" i="59"/>
  <c r="AR65" i="59"/>
  <c r="AS65" i="59"/>
  <c r="AT65" i="59"/>
  <c r="AU65" i="59"/>
  <c r="AV65" i="59"/>
  <c r="AW65" i="59"/>
  <c r="AX65" i="59"/>
  <c r="AY65" i="59"/>
  <c r="AZ65" i="59"/>
  <c r="BA65" i="59"/>
  <c r="BB65" i="59"/>
  <c r="BC65" i="59"/>
  <c r="BD65" i="59"/>
  <c r="BE65" i="59"/>
  <c r="BF65" i="59"/>
  <c r="K73" i="59"/>
  <c r="V67" i="55"/>
  <c r="U68" i="55"/>
  <c r="N57" i="59"/>
  <c r="O40" i="57"/>
  <c r="K22" i="63"/>
  <c r="K30" i="63"/>
  <c r="L3" i="63"/>
  <c r="L5" i="63"/>
  <c r="K24" i="38"/>
  <c r="L73" i="59"/>
  <c r="BG65" i="59"/>
  <c r="V68" i="55"/>
  <c r="W67" i="55"/>
  <c r="O57" i="59"/>
  <c r="L22" i="63"/>
  <c r="L30" i="63"/>
  <c r="M3" i="63"/>
  <c r="M5" i="63"/>
  <c r="L24" i="38"/>
  <c r="M73" i="59"/>
  <c r="W68" i="55"/>
  <c r="X67" i="55"/>
  <c r="P57" i="59"/>
  <c r="M22" i="63"/>
  <c r="M30" i="63"/>
  <c r="N3" i="63"/>
  <c r="N5" i="63"/>
  <c r="M24" i="38"/>
  <c r="N73" i="59"/>
  <c r="X68" i="55"/>
  <c r="Y67" i="55"/>
  <c r="Q57" i="59"/>
  <c r="N22" i="63"/>
  <c r="N30" i="63"/>
  <c r="O3" i="63"/>
  <c r="O5" i="63"/>
  <c r="N24" i="38"/>
  <c r="O73" i="59"/>
  <c r="Z67" i="55"/>
  <c r="Y68" i="55"/>
  <c r="R57" i="59"/>
  <c r="O22" i="63"/>
  <c r="G48" i="55"/>
  <c r="O24" i="38"/>
  <c r="Z68" i="55"/>
  <c r="AA67" i="55"/>
  <c r="S57" i="59"/>
  <c r="O30" i="63"/>
  <c r="AA68" i="55"/>
  <c r="AB67" i="55"/>
  <c r="T57" i="59"/>
  <c r="AC67" i="55"/>
  <c r="AB68" i="55"/>
  <c r="U57" i="59"/>
  <c r="AN62" i="59"/>
  <c r="AO62" i="59"/>
  <c r="AP62" i="59"/>
  <c r="AQ62" i="59"/>
  <c r="AR62" i="59"/>
  <c r="AS62" i="59"/>
  <c r="AT62" i="59"/>
  <c r="AU62" i="59"/>
  <c r="AV62" i="59"/>
  <c r="AW62" i="59"/>
  <c r="AX62" i="59"/>
  <c r="AY62" i="59"/>
  <c r="AZ62" i="59"/>
  <c r="BA62" i="59"/>
  <c r="BB62" i="59"/>
  <c r="BC62" i="59"/>
  <c r="BD62" i="59"/>
  <c r="BE62" i="59"/>
  <c r="BF62" i="59"/>
  <c r="BG62" i="59"/>
  <c r="AD67" i="55"/>
  <c r="AC68" i="55"/>
  <c r="V57" i="59"/>
  <c r="AD68" i="55"/>
  <c r="AE67" i="55"/>
  <c r="W57" i="59"/>
  <c r="AE68" i="55"/>
  <c r="AF67" i="55"/>
  <c r="X57" i="59"/>
  <c r="AG67" i="55"/>
  <c r="AF68" i="55"/>
  <c r="Y57" i="59"/>
  <c r="AH67" i="55"/>
  <c r="AG68" i="55"/>
  <c r="Z57" i="59"/>
  <c r="AH68" i="55"/>
  <c r="AI67" i="55"/>
  <c r="AA57" i="59"/>
  <c r="AI68" i="55"/>
  <c r="AJ67" i="55"/>
  <c r="AB57" i="59"/>
  <c r="AK67" i="55"/>
  <c r="AJ68" i="55"/>
  <c r="AC57" i="59"/>
  <c r="AL67" i="55"/>
  <c r="AK68" i="55"/>
  <c r="AD57" i="59"/>
  <c r="AL68" i="55"/>
  <c r="AM67" i="55"/>
  <c r="AM68" i="55"/>
  <c r="AE57" i="59"/>
  <c r="AF57" i="59"/>
  <c r="AG57" i="59"/>
  <c r="AH57" i="59"/>
  <c r="AI57" i="59"/>
  <c r="AJ57" i="59"/>
  <c r="AK57" i="59"/>
  <c r="AL57" i="59"/>
  <c r="AM57" i="59"/>
  <c r="AN57" i="59"/>
  <c r="AO57" i="59"/>
  <c r="AP57" i="59"/>
  <c r="AQ57" i="59"/>
  <c r="AR57" i="59"/>
  <c r="AS57" i="59"/>
  <c r="AT57" i="59"/>
  <c r="AU57" i="59"/>
  <c r="AV57" i="59"/>
  <c r="AW57" i="59"/>
  <c r="AX57" i="59"/>
  <c r="AY57" i="59"/>
  <c r="AZ57" i="59"/>
  <c r="BA57" i="59"/>
  <c r="BB57" i="59"/>
  <c r="BC57" i="59"/>
  <c r="BD57" i="59"/>
  <c r="BE57" i="59"/>
  <c r="BF57" i="59"/>
  <c r="BG57" i="59"/>
  <c r="F21" i="38"/>
  <c r="G21" i="38"/>
  <c r="M21" i="38"/>
  <c r="E21" i="38"/>
  <c r="K21" i="38"/>
  <c r="I21" i="38"/>
  <c r="J21" i="38"/>
  <c r="N21" i="38"/>
  <c r="O21" i="38"/>
  <c r="H21" i="38"/>
  <c r="L21" i="38"/>
  <c r="P52" i="38"/>
  <c r="P77" i="57"/>
  <c r="Q77" i="57"/>
  <c r="R77" i="57"/>
  <c r="S77" i="57"/>
  <c r="T77" i="57"/>
  <c r="U77" i="57"/>
  <c r="P75" i="57"/>
  <c r="Q75" i="57"/>
  <c r="R75" i="57"/>
  <c r="S75" i="57"/>
  <c r="T75" i="57"/>
  <c r="U75" i="57"/>
  <c r="O78" i="57"/>
  <c r="P78" i="57"/>
  <c r="Q78" i="57"/>
  <c r="R78" i="57"/>
  <c r="S78" i="57"/>
  <c r="T78" i="57"/>
  <c r="U78" i="57"/>
  <c r="N78" i="57"/>
  <c r="N74" i="57"/>
  <c r="Q32" i="57"/>
  <c r="R32" i="57"/>
  <c r="S32" i="57"/>
  <c r="T32" i="57"/>
  <c r="U32" i="57"/>
  <c r="V32" i="57"/>
  <c r="Q33" i="57"/>
  <c r="R33" i="57"/>
  <c r="S33" i="57"/>
  <c r="T33" i="57"/>
  <c r="U33" i="57"/>
  <c r="V33" i="57"/>
  <c r="W33" i="57"/>
  <c r="X33" i="57"/>
  <c r="Y33" i="57"/>
  <c r="Z33" i="57"/>
  <c r="AA33" i="57"/>
  <c r="AB33" i="57"/>
  <c r="AC33" i="57"/>
  <c r="AD33" i="57"/>
  <c r="AE33" i="57"/>
  <c r="AF33" i="57"/>
  <c r="AG33" i="57"/>
  <c r="AH33" i="57"/>
  <c r="AI33" i="57"/>
  <c r="AJ33" i="57"/>
  <c r="AK33" i="57"/>
  <c r="AL33" i="57"/>
  <c r="AM33" i="57"/>
  <c r="Q34" i="57"/>
  <c r="R34" i="57"/>
  <c r="S34" i="57"/>
  <c r="T34" i="57"/>
  <c r="U34" i="57"/>
  <c r="V34" i="57"/>
  <c r="W34" i="57"/>
  <c r="X34" i="57"/>
  <c r="Y34" i="57"/>
  <c r="Z34" i="57"/>
  <c r="AA34" i="57"/>
  <c r="AB34" i="57"/>
  <c r="AC34" i="57"/>
  <c r="AD34" i="57"/>
  <c r="AE34" i="57"/>
  <c r="AF34" i="57"/>
  <c r="AG34" i="57"/>
  <c r="AH34" i="57"/>
  <c r="AI34" i="57"/>
  <c r="AJ34" i="57"/>
  <c r="AK34" i="57"/>
  <c r="AL34" i="57"/>
  <c r="AM34" i="57"/>
  <c r="Q35" i="57"/>
  <c r="R35" i="57"/>
  <c r="S35" i="57"/>
  <c r="T35" i="57"/>
  <c r="U35" i="57"/>
  <c r="V35" i="57"/>
  <c r="W35" i="57"/>
  <c r="X35" i="57"/>
  <c r="Y35" i="57"/>
  <c r="Z35" i="57"/>
  <c r="AA35" i="57"/>
  <c r="AB35" i="57"/>
  <c r="AC35" i="57"/>
  <c r="AD35" i="57"/>
  <c r="AE35" i="57"/>
  <c r="AF35" i="57"/>
  <c r="AG35" i="57"/>
  <c r="AH35" i="57"/>
  <c r="AI35" i="57"/>
  <c r="AJ35" i="57"/>
  <c r="AK35" i="57"/>
  <c r="AL35" i="57"/>
  <c r="AM35" i="57"/>
  <c r="W32" i="57"/>
  <c r="V36" i="57"/>
  <c r="P36" i="57"/>
  <c r="X32" i="57"/>
  <c r="W36" i="57"/>
  <c r="R36" i="57"/>
  <c r="Q36" i="57"/>
  <c r="Y32" i="57"/>
  <c r="X36" i="57"/>
  <c r="S36" i="57"/>
  <c r="Z32" i="57"/>
  <c r="Y36" i="57"/>
  <c r="T36" i="57"/>
  <c r="AA32" i="57"/>
  <c r="Z36" i="57"/>
  <c r="N75" i="57"/>
  <c r="U36" i="57"/>
  <c r="AB32" i="57"/>
  <c r="AA36" i="57"/>
  <c r="N76" i="57"/>
  <c r="N77" i="57"/>
  <c r="AC32" i="57"/>
  <c r="AB36" i="57"/>
  <c r="N79" i="57"/>
  <c r="O77" i="57"/>
  <c r="AD32" i="57"/>
  <c r="AC36" i="57"/>
  <c r="O76" i="57"/>
  <c r="O75" i="57"/>
  <c r="AE32" i="57"/>
  <c r="AD36" i="57"/>
  <c r="O74" i="57"/>
  <c r="O79" i="57"/>
  <c r="Q9" i="41"/>
  <c r="Q11" i="60"/>
  <c r="R9" i="41"/>
  <c r="R11" i="60"/>
  <c r="S9" i="41"/>
  <c r="S11" i="60"/>
  <c r="T9" i="41"/>
  <c r="T11" i="60"/>
  <c r="U9" i="41"/>
  <c r="U11" i="60"/>
  <c r="V9" i="41"/>
  <c r="V11" i="60"/>
  <c r="W9" i="41"/>
  <c r="W11" i="60"/>
  <c r="X9" i="41"/>
  <c r="X11" i="60"/>
  <c r="Y9" i="41"/>
  <c r="Y11" i="60"/>
  <c r="Z9" i="41"/>
  <c r="Z11" i="60"/>
  <c r="AA9" i="41"/>
  <c r="AA11" i="60"/>
  <c r="AB9" i="41"/>
  <c r="AB11" i="60"/>
  <c r="AC9" i="41"/>
  <c r="AC11" i="60"/>
  <c r="AD9" i="41"/>
  <c r="AD11" i="60"/>
  <c r="AE9" i="41"/>
  <c r="AE11" i="60"/>
  <c r="AF9" i="41"/>
  <c r="AF11" i="60"/>
  <c r="AG9" i="41"/>
  <c r="AG11" i="60"/>
  <c r="AH9" i="41"/>
  <c r="AH11" i="60"/>
  <c r="AI9" i="41"/>
  <c r="AI11" i="60"/>
  <c r="AJ9" i="41"/>
  <c r="AJ11" i="60"/>
  <c r="AK9" i="41"/>
  <c r="AK11" i="60"/>
  <c r="AL9" i="41"/>
  <c r="AL11" i="60"/>
  <c r="AM9" i="41"/>
  <c r="AM11" i="60"/>
  <c r="Q10" i="41"/>
  <c r="Q12" i="60"/>
  <c r="R10" i="41"/>
  <c r="R12" i="60"/>
  <c r="S10" i="41"/>
  <c r="S12" i="60"/>
  <c r="T10" i="41"/>
  <c r="T12" i="60"/>
  <c r="U10" i="41"/>
  <c r="U12" i="60"/>
  <c r="V10" i="41"/>
  <c r="V12" i="60"/>
  <c r="W10" i="41"/>
  <c r="W12" i="60"/>
  <c r="X10" i="41"/>
  <c r="X12" i="60"/>
  <c r="Y10" i="41"/>
  <c r="Y12" i="60"/>
  <c r="Z10" i="41"/>
  <c r="Z12" i="60"/>
  <c r="AA10" i="41"/>
  <c r="AA12" i="60"/>
  <c r="AB10" i="41"/>
  <c r="AB12" i="60"/>
  <c r="AC10" i="41"/>
  <c r="AC12" i="60"/>
  <c r="AD10" i="41"/>
  <c r="AD12" i="60"/>
  <c r="AE10" i="41"/>
  <c r="AE12" i="60"/>
  <c r="AF10" i="41"/>
  <c r="AF12" i="60"/>
  <c r="AG10" i="41"/>
  <c r="AG12" i="60"/>
  <c r="AH10" i="41"/>
  <c r="AH12" i="60"/>
  <c r="AI10" i="41"/>
  <c r="AI12" i="60"/>
  <c r="AJ10" i="41"/>
  <c r="AJ12" i="60"/>
  <c r="AK10" i="41"/>
  <c r="AK12" i="60"/>
  <c r="AL10" i="41"/>
  <c r="AL12" i="60"/>
  <c r="AM10" i="41"/>
  <c r="AM12" i="60"/>
  <c r="Q11" i="41"/>
  <c r="Q13" i="60"/>
  <c r="R11" i="41"/>
  <c r="R13" i="60"/>
  <c r="S11" i="41"/>
  <c r="S13" i="60"/>
  <c r="T11" i="41"/>
  <c r="T13" i="60"/>
  <c r="U11" i="41"/>
  <c r="U13" i="60"/>
  <c r="V11" i="41"/>
  <c r="V13" i="60"/>
  <c r="W11" i="41"/>
  <c r="W13" i="60"/>
  <c r="X11" i="41"/>
  <c r="X13" i="60"/>
  <c r="Y11" i="41"/>
  <c r="Y13" i="60"/>
  <c r="Z11" i="41"/>
  <c r="Z13" i="60"/>
  <c r="AA11" i="41"/>
  <c r="AA13" i="60"/>
  <c r="AB11" i="41"/>
  <c r="AB13" i="60"/>
  <c r="AC11" i="41"/>
  <c r="AC13" i="60"/>
  <c r="AD11" i="41"/>
  <c r="AD13" i="60"/>
  <c r="AE11" i="41"/>
  <c r="AE13" i="60"/>
  <c r="AF11" i="41"/>
  <c r="AF13" i="60"/>
  <c r="AG11" i="41"/>
  <c r="AG13" i="60"/>
  <c r="AH11" i="41"/>
  <c r="AH13" i="60"/>
  <c r="AI11" i="41"/>
  <c r="AI13" i="60"/>
  <c r="AJ11" i="41"/>
  <c r="AJ13" i="60"/>
  <c r="AK11" i="41"/>
  <c r="AK13" i="60"/>
  <c r="AL11" i="41"/>
  <c r="AL13" i="60"/>
  <c r="AM11" i="41"/>
  <c r="AM13" i="60"/>
  <c r="Q12" i="41"/>
  <c r="Q14" i="60"/>
  <c r="R12" i="41"/>
  <c r="R14" i="60"/>
  <c r="S12" i="41"/>
  <c r="S14" i="60"/>
  <c r="T12" i="41"/>
  <c r="T14" i="60"/>
  <c r="U12" i="41"/>
  <c r="U14" i="60"/>
  <c r="V12" i="41"/>
  <c r="V14" i="60"/>
  <c r="W12" i="41"/>
  <c r="W14" i="60"/>
  <c r="X12" i="41"/>
  <c r="X14" i="60"/>
  <c r="Y12" i="41"/>
  <c r="Y14" i="60"/>
  <c r="Z12" i="41"/>
  <c r="Z14" i="60"/>
  <c r="AA12" i="41"/>
  <c r="AA14" i="60"/>
  <c r="AB12" i="41"/>
  <c r="AB14" i="60"/>
  <c r="AC12" i="41"/>
  <c r="AC14" i="60"/>
  <c r="AD12" i="41"/>
  <c r="AD14" i="60"/>
  <c r="AE12" i="41"/>
  <c r="AE14" i="60"/>
  <c r="AF12" i="41"/>
  <c r="AF14" i="60"/>
  <c r="AG12" i="41"/>
  <c r="AG14" i="60"/>
  <c r="AH12" i="41"/>
  <c r="AH14" i="60"/>
  <c r="AI12" i="41"/>
  <c r="AI14" i="60"/>
  <c r="AJ12" i="41"/>
  <c r="AJ14" i="60"/>
  <c r="AK12" i="41"/>
  <c r="AK14" i="60"/>
  <c r="AL12" i="41"/>
  <c r="AL14" i="60"/>
  <c r="AM12" i="41"/>
  <c r="AM14" i="60"/>
  <c r="P10" i="41"/>
  <c r="P12" i="60"/>
  <c r="P11" i="41"/>
  <c r="P13" i="60"/>
  <c r="P12" i="41"/>
  <c r="P14" i="60"/>
  <c r="P9" i="41"/>
  <c r="P11" i="60" s="1"/>
  <c r="P21" i="41"/>
  <c r="P5" i="56" s="1"/>
  <c r="AE13" i="41"/>
  <c r="AF13" i="41"/>
  <c r="AG13" i="41"/>
  <c r="AI13" i="41"/>
  <c r="AJ13" i="41"/>
  <c r="AK13" i="41"/>
  <c r="AM13" i="41"/>
  <c r="W16" i="60"/>
  <c r="X16" i="60"/>
  <c r="AA16" i="60"/>
  <c r="AB16" i="60"/>
  <c r="AF16" i="60"/>
  <c r="AH16" i="60"/>
  <c r="AI16" i="60"/>
  <c r="AJ16" i="60"/>
  <c r="AL16" i="60"/>
  <c r="AC13" i="41"/>
  <c r="AB13" i="41"/>
  <c r="AA13" i="41"/>
  <c r="X13" i="41"/>
  <c r="W13" i="41"/>
  <c r="U13" i="41"/>
  <c r="T13" i="41"/>
  <c r="S13" i="41"/>
  <c r="Q13" i="41"/>
  <c r="P13" i="41"/>
  <c r="AF32" i="57"/>
  <c r="AE36" i="57"/>
  <c r="S16" i="60"/>
  <c r="U16" i="60"/>
  <c r="P16" i="60"/>
  <c r="P69" i="41"/>
  <c r="Y13" i="41"/>
  <c r="AG32" i="57"/>
  <c r="AF36" i="57"/>
  <c r="AH32" i="57"/>
  <c r="AG36" i="57"/>
  <c r="AI32" i="57"/>
  <c r="AH36" i="57"/>
  <c r="E1" i="55"/>
  <c r="AJ32" i="57"/>
  <c r="AI36" i="57"/>
  <c r="E1" i="59"/>
  <c r="E1" i="63"/>
  <c r="P4" i="60"/>
  <c r="F1" i="55"/>
  <c r="F1" i="63"/>
  <c r="E1" i="38"/>
  <c r="E25" i="38"/>
  <c r="AM52" i="38"/>
  <c r="AI52" i="38"/>
  <c r="W52" i="38"/>
  <c r="S52" i="38"/>
  <c r="AA52" i="38"/>
  <c r="I25" i="38"/>
  <c r="AE52" i="38"/>
  <c r="AL52" i="38"/>
  <c r="AH52" i="38"/>
  <c r="AD52" i="38"/>
  <c r="Z52" i="38"/>
  <c r="V52" i="38"/>
  <c r="R52" i="38"/>
  <c r="AK52" i="38"/>
  <c r="AG52" i="38"/>
  <c r="AC52" i="38"/>
  <c r="Y52" i="38"/>
  <c r="U52" i="38"/>
  <c r="Q52" i="38"/>
  <c r="AJ52" i="38"/>
  <c r="AF52" i="38"/>
  <c r="AB52" i="38"/>
  <c r="X52" i="38"/>
  <c r="T52" i="38"/>
  <c r="F25" i="38"/>
  <c r="J25" i="38"/>
  <c r="G25" i="38"/>
  <c r="H25" i="38"/>
  <c r="G1" i="55"/>
  <c r="G1" i="63"/>
  <c r="AK32" i="57"/>
  <c r="AJ36" i="57"/>
  <c r="F1" i="38"/>
  <c r="F1" i="59"/>
  <c r="G1" i="38"/>
  <c r="G1" i="59"/>
  <c r="K25" i="38"/>
  <c r="L25" i="38"/>
  <c r="O25" i="38"/>
  <c r="M25" i="38"/>
  <c r="N25" i="38"/>
  <c r="H1" i="55"/>
  <c r="H1" i="63"/>
  <c r="AL32" i="57"/>
  <c r="AK36" i="57"/>
  <c r="H1" i="38"/>
  <c r="H1" i="59"/>
  <c r="P20" i="60"/>
  <c r="I1" i="55"/>
  <c r="I1" i="63"/>
  <c r="AM32" i="57"/>
  <c r="AM36" i="57"/>
  <c r="AL36" i="57"/>
  <c r="I1" i="38"/>
  <c r="I1" i="59"/>
  <c r="Q53" i="41"/>
  <c r="Q20" i="60"/>
  <c r="Q24" i="41"/>
  <c r="J1" i="55"/>
  <c r="J1" i="63"/>
  <c r="J1" i="38"/>
  <c r="J1" i="59"/>
  <c r="R53" i="41"/>
  <c r="R20" i="60"/>
  <c r="R24" i="41"/>
  <c r="K1" i="55"/>
  <c r="K1" i="63"/>
  <c r="K1" i="38"/>
  <c r="K1" i="59"/>
  <c r="S53" i="41"/>
  <c r="S20" i="60" s="1"/>
  <c r="S24" i="41"/>
  <c r="L1" i="55"/>
  <c r="L1" i="63"/>
  <c r="L1" i="38"/>
  <c r="L1" i="59"/>
  <c r="T53" i="41"/>
  <c r="T20" i="60" s="1"/>
  <c r="T24" i="41"/>
  <c r="M1" i="55"/>
  <c r="M1" i="63"/>
  <c r="M1" i="38"/>
  <c r="M1" i="59"/>
  <c r="U24" i="41"/>
  <c r="N1" i="55"/>
  <c r="N1" i="63"/>
  <c r="N1" i="38"/>
  <c r="N1" i="57"/>
  <c r="N1" i="59"/>
  <c r="U20" i="60"/>
  <c r="V53" i="41"/>
  <c r="V20" i="60"/>
  <c r="V24" i="41"/>
  <c r="O1" i="55"/>
  <c r="O1" i="63"/>
  <c r="O1" i="56"/>
  <c r="O1" i="59"/>
  <c r="O1" i="57"/>
  <c r="O1" i="41"/>
  <c r="C6" i="60"/>
  <c r="O1" i="38"/>
  <c r="W53" i="41"/>
  <c r="W20" i="60" s="1"/>
  <c r="W24" i="41"/>
  <c r="P1" i="55"/>
  <c r="P1" i="57"/>
  <c r="P10" i="60"/>
  <c r="P1" i="59"/>
  <c r="P1" i="41"/>
  <c r="P1" i="38"/>
  <c r="X53" i="41"/>
  <c r="X20" i="60"/>
  <c r="X24" i="41"/>
  <c r="Q1" i="55"/>
  <c r="Q1" i="59"/>
  <c r="Q10" i="60"/>
  <c r="Q1" i="57"/>
  <c r="Q1" i="38"/>
  <c r="Q1" i="41"/>
  <c r="Y53" i="41"/>
  <c r="Y20" i="60"/>
  <c r="Y24" i="41"/>
  <c r="R1" i="55"/>
  <c r="R1" i="59"/>
  <c r="R10" i="60"/>
  <c r="R1" i="57"/>
  <c r="R1" i="38"/>
  <c r="R1" i="41"/>
  <c r="Z53" i="41"/>
  <c r="Z20" i="60"/>
  <c r="Z24" i="41"/>
  <c r="S1" i="55"/>
  <c r="S10" i="60"/>
  <c r="S1" i="57"/>
  <c r="S1" i="59"/>
  <c r="S1" i="41"/>
  <c r="S1" i="38"/>
  <c r="AA24" i="41"/>
  <c r="T1" i="55"/>
  <c r="AA20" i="60"/>
  <c r="T10" i="60"/>
  <c r="T1" i="57"/>
  <c r="T1" i="59"/>
  <c r="T1" i="38"/>
  <c r="T1" i="41"/>
  <c r="AB53" i="41"/>
  <c r="AB20" i="60" s="1"/>
  <c r="AB24" i="41"/>
  <c r="U1" i="55"/>
  <c r="U10" i="60"/>
  <c r="U1" i="57"/>
  <c r="U1" i="59"/>
  <c r="U1" i="38"/>
  <c r="U1" i="41"/>
  <c r="C5" i="60" s="1"/>
  <c r="AC53" i="41"/>
  <c r="AC20" i="60"/>
  <c r="AC24" i="41"/>
  <c r="V1" i="55"/>
  <c r="V1" i="59"/>
  <c r="V10" i="60"/>
  <c r="V1" i="41"/>
  <c r="V1" i="38"/>
  <c r="AD53" i="41"/>
  <c r="AD20" i="60"/>
  <c r="AD24" i="41"/>
  <c r="W1" i="55"/>
  <c r="W1" i="59"/>
  <c r="W10" i="60"/>
  <c r="W1" i="41"/>
  <c r="W1" i="38"/>
  <c r="AE53" i="41"/>
  <c r="AE20" i="60"/>
  <c r="AE24" i="41"/>
  <c r="X1" i="55"/>
  <c r="X1" i="59"/>
  <c r="X10" i="60"/>
  <c r="X1" i="41"/>
  <c r="X1" i="38"/>
  <c r="AF53" i="41"/>
  <c r="AF20" i="60"/>
  <c r="AF24" i="41"/>
  <c r="Y1" i="55"/>
  <c r="Y1" i="59"/>
  <c r="Y10" i="60"/>
  <c r="Y1" i="38"/>
  <c r="Y1" i="41"/>
  <c r="AG24" i="41"/>
  <c r="Z1" i="55"/>
  <c r="Z1" i="59"/>
  <c r="Z10" i="60"/>
  <c r="AG20" i="60"/>
  <c r="Z1" i="41"/>
  <c r="Z1" i="38"/>
  <c r="AH53" i="41"/>
  <c r="AH20" i="60"/>
  <c r="AH24" i="41"/>
  <c r="AA1" i="55"/>
  <c r="AA1" i="59"/>
  <c r="AA10" i="60"/>
  <c r="AA1" i="41"/>
  <c r="AA1" i="38"/>
  <c r="AI53" i="41"/>
  <c r="AI20" i="60"/>
  <c r="AI24" i="41"/>
  <c r="AB1" i="55"/>
  <c r="AB1" i="59"/>
  <c r="AB10" i="60"/>
  <c r="AB1" i="38"/>
  <c r="AB1" i="41"/>
  <c r="AJ24" i="41"/>
  <c r="AJ53" i="41"/>
  <c r="AJ20" i="60"/>
  <c r="AC1" i="55"/>
  <c r="AC1" i="59"/>
  <c r="AC10" i="60"/>
  <c r="AC1" i="38"/>
  <c r="AC1" i="41"/>
  <c r="AK24" i="41"/>
  <c r="AK53" i="41"/>
  <c r="AK20" i="60"/>
  <c r="AD1" i="55"/>
  <c r="AD1" i="59"/>
  <c r="AD10" i="60"/>
  <c r="AD1" i="38"/>
  <c r="AD1" i="41"/>
  <c r="AL24" i="41"/>
  <c r="AL53" i="41"/>
  <c r="AL20" i="60"/>
  <c r="AE1" i="55"/>
  <c r="AE1" i="59"/>
  <c r="AE10" i="60"/>
  <c r="AE1" i="41"/>
  <c r="AE1" i="38"/>
  <c r="AM24" i="41"/>
  <c r="AF1" i="55"/>
  <c r="AF1" i="59"/>
  <c r="AF10" i="60"/>
  <c r="AM20" i="60"/>
  <c r="AF1" i="41"/>
  <c r="AF1" i="38"/>
  <c r="AG1" i="55"/>
  <c r="AG1" i="59"/>
  <c r="AG10" i="60"/>
  <c r="AG1" i="38"/>
  <c r="AG1" i="41"/>
  <c r="AH1" i="55"/>
  <c r="AH1" i="59"/>
  <c r="AH10" i="60"/>
  <c r="AH1" i="41"/>
  <c r="AH1" i="38"/>
  <c r="AI1" i="55"/>
  <c r="AI1" i="59"/>
  <c r="AI10" i="60"/>
  <c r="AI1" i="41"/>
  <c r="AI1" i="38"/>
  <c r="AJ1" i="55"/>
  <c r="AJ1" i="59"/>
  <c r="AJ10" i="60"/>
  <c r="AJ1" i="38"/>
  <c r="AJ1" i="41"/>
  <c r="AK1" i="55"/>
  <c r="AK1" i="59"/>
  <c r="AK10" i="60"/>
  <c r="AK1" i="38"/>
  <c r="AK1" i="41"/>
  <c r="AL1" i="55"/>
  <c r="AL1" i="59"/>
  <c r="AL10" i="60"/>
  <c r="AL1" i="38"/>
  <c r="AL1" i="41"/>
  <c r="AM1" i="55"/>
  <c r="AM1" i="59"/>
  <c r="AM10" i="60"/>
  <c r="AM1" i="41"/>
  <c r="C7" i="60"/>
  <c r="AM1" i="38"/>
  <c r="Q17" i="41"/>
  <c r="Q22" i="60" s="1"/>
  <c r="R17" i="41"/>
  <c r="S17" i="41" s="1"/>
  <c r="T17" i="41" s="1"/>
  <c r="U17" i="41" s="1"/>
  <c r="V17" i="41" s="1"/>
  <c r="W17" i="41" s="1"/>
  <c r="W22" i="60" s="1"/>
  <c r="Q16" i="41"/>
  <c r="AM47" i="57"/>
  <c r="R22" i="41"/>
  <c r="Q22" i="41"/>
  <c r="AM67" i="57"/>
  <c r="P17" i="60"/>
  <c r="S22" i="41"/>
  <c r="V22" i="41"/>
  <c r="Z22" i="41"/>
  <c r="AB22" i="41"/>
  <c r="AC22" i="41"/>
  <c r="AE22" i="41"/>
  <c r="AG22" i="41"/>
  <c r="AH22" i="41"/>
  <c r="AI22" i="41"/>
  <c r="AK22" i="41"/>
  <c r="AL22" i="41"/>
  <c r="AM22" i="41"/>
  <c r="AF76" i="41"/>
  <c r="AH89" i="41"/>
  <c r="Q17" i="60"/>
  <c r="P26" i="60"/>
  <c r="Q26" i="60"/>
  <c r="R17" i="60"/>
  <c r="R26" i="60"/>
  <c r="S17" i="60"/>
  <c r="O56" i="55"/>
  <c r="S26" i="60"/>
  <c r="O51" i="41"/>
  <c r="O51" i="59"/>
  <c r="O52" i="59"/>
  <c r="T54" i="59"/>
  <c r="T72" i="59"/>
  <c r="U72" i="59"/>
  <c r="V72" i="59"/>
  <c r="T17" i="60"/>
  <c r="W72" i="59"/>
  <c r="T26" i="60"/>
  <c r="U26" i="60"/>
  <c r="U17" i="60"/>
  <c r="V17" i="60"/>
  <c r="X72" i="59"/>
  <c r="Y72" i="59"/>
  <c r="W17" i="60"/>
  <c r="Z72" i="59"/>
  <c r="V26" i="60"/>
  <c r="X17" i="60"/>
  <c r="Y17" i="60"/>
  <c r="AA72" i="59"/>
  <c r="W26" i="60"/>
  <c r="AB72" i="59"/>
  <c r="X26" i="60"/>
  <c r="Z17" i="60"/>
  <c r="AA17" i="60"/>
  <c r="AC72" i="59"/>
  <c r="AD72" i="59"/>
  <c r="AB17" i="60"/>
  <c r="Y26" i="60"/>
  <c r="Z26" i="60"/>
  <c r="AE72" i="59"/>
  <c r="AC17" i="60"/>
  <c r="AF72" i="59"/>
  <c r="AA26" i="60"/>
  <c r="AD17" i="60"/>
  <c r="AG72" i="59"/>
  <c r="AB26" i="60"/>
  <c r="AC26" i="60"/>
  <c r="AE17" i="60"/>
  <c r="AH72" i="59"/>
  <c r="AF17" i="60"/>
  <c r="AI72" i="59"/>
  <c r="AG17" i="60"/>
  <c r="AJ72" i="59"/>
  <c r="AE26" i="60"/>
  <c r="AH17" i="60"/>
  <c r="AK72" i="59"/>
  <c r="AF26" i="60"/>
  <c r="AI17" i="60"/>
  <c r="AG26" i="60"/>
  <c r="AL72" i="59"/>
  <c r="AJ17" i="60"/>
  <c r="AM72" i="59"/>
  <c r="AK17" i="60"/>
  <c r="AH26" i="60"/>
  <c r="AN72" i="59"/>
  <c r="AL17" i="60"/>
  <c r="AI26" i="60"/>
  <c r="AM17" i="60"/>
  <c r="AO72" i="59"/>
  <c r="AN73" i="59"/>
  <c r="AN76" i="59"/>
  <c r="AJ26" i="60"/>
  <c r="AP72" i="59"/>
  <c r="AO73" i="59"/>
  <c r="AO76" i="59"/>
  <c r="AK26" i="60"/>
  <c r="AM26" i="60"/>
  <c r="AQ72" i="59"/>
  <c r="AP73" i="59"/>
  <c r="AP76" i="59"/>
  <c r="AL26" i="60"/>
  <c r="AQ73" i="59"/>
  <c r="AQ76" i="59"/>
  <c r="AR72" i="59"/>
  <c r="AS72" i="59"/>
  <c r="AR73" i="59"/>
  <c r="AR76" i="59"/>
  <c r="AT72" i="59"/>
  <c r="AS73" i="59"/>
  <c r="AS76" i="59"/>
  <c r="AU72" i="59"/>
  <c r="AT73" i="59"/>
  <c r="AT76" i="59"/>
  <c r="AV72" i="59"/>
  <c r="AU73" i="59"/>
  <c r="AU76" i="59"/>
  <c r="AW72" i="59"/>
  <c r="AV73" i="59"/>
  <c r="AV76" i="59"/>
  <c r="AX72" i="59"/>
  <c r="AW73" i="59"/>
  <c r="AW76" i="59"/>
  <c r="AY72" i="59"/>
  <c r="AX73" i="59"/>
  <c r="AX76" i="59"/>
  <c r="AY73" i="59"/>
  <c r="AY76" i="59"/>
  <c r="AZ72" i="59"/>
  <c r="AZ73" i="59"/>
  <c r="AZ76" i="59"/>
  <c r="BA72" i="59"/>
  <c r="BA73" i="59"/>
  <c r="BA76" i="59"/>
  <c r="BB72" i="59"/>
  <c r="BC72" i="59"/>
  <c r="BB73" i="59"/>
  <c r="BB76" i="59"/>
  <c r="BD72" i="59"/>
  <c r="BC73" i="59"/>
  <c r="BC76" i="59"/>
  <c r="BD73" i="59"/>
  <c r="BD76" i="59"/>
  <c r="BE72" i="59"/>
  <c r="BE73" i="59"/>
  <c r="BE76" i="59"/>
  <c r="BF72" i="59"/>
  <c r="BG72" i="59"/>
  <c r="BF73" i="59"/>
  <c r="BF76" i="59"/>
  <c r="Q21" i="60"/>
  <c r="R16" i="41"/>
  <c r="R21" i="60" s="1"/>
  <c r="AE76" i="41"/>
  <c r="AE89" i="41" s="1"/>
  <c r="AG9" i="57"/>
  <c r="AC76" i="41"/>
  <c r="AC89" i="41" s="1"/>
  <c r="AC6" i="56"/>
  <c r="AK6" i="56"/>
  <c r="Z76" i="41"/>
  <c r="Z89" i="41" s="1"/>
  <c r="AE16" i="60"/>
  <c r="R16" i="60"/>
  <c r="Z6" i="56"/>
  <c r="Z15" i="56" s="1"/>
  <c r="Z27" i="56" s="1"/>
  <c r="AI76" i="41"/>
  <c r="AI89" i="41" s="1"/>
  <c r="AG16" i="60"/>
  <c r="AC16" i="60"/>
  <c r="AD16" i="56" l="1"/>
  <c r="AD39" i="56" s="1"/>
  <c r="P14" i="56"/>
  <c r="P26" i="56" s="1"/>
  <c r="R16" i="56"/>
  <c r="R39" i="56" s="1"/>
  <c r="AH16" i="56"/>
  <c r="AH39" i="56" s="1"/>
  <c r="AK15" i="56"/>
  <c r="AK27" i="56" s="1"/>
  <c r="AC15" i="56"/>
  <c r="AC27" i="56" s="1"/>
  <c r="AB15" i="56"/>
  <c r="AB27" i="56" s="1"/>
  <c r="Q16" i="56"/>
  <c r="Q39" i="56" s="1"/>
  <c r="AF15" i="56"/>
  <c r="AF27" i="56" s="1"/>
  <c r="X15" i="56"/>
  <c r="X27" i="56" s="1"/>
  <c r="R4" i="41"/>
  <c r="S4" i="41" s="1"/>
  <c r="Q50" i="41"/>
  <c r="Q23" i="41"/>
  <c r="Q76" i="41" s="1"/>
  <c r="Q89" i="41" s="1"/>
  <c r="Q16" i="60"/>
  <c r="AJ88" i="41"/>
  <c r="AJ90" i="41"/>
  <c r="AF92" i="41"/>
  <c r="AF90" i="41"/>
  <c r="AB88" i="41"/>
  <c r="AB90" i="41"/>
  <c r="T90" i="41"/>
  <c r="T92" i="41"/>
  <c r="O67" i="41"/>
  <c r="P64" i="41" s="1"/>
  <c r="P65" i="41" s="1"/>
  <c r="P74" i="41" s="1"/>
  <c r="P87" i="41" s="1"/>
  <c r="O4" i="56"/>
  <c r="O13" i="56" s="1"/>
  <c r="O19" i="56" s="1"/>
  <c r="P47" i="56" s="1"/>
  <c r="T22" i="60"/>
  <c r="AA22" i="41"/>
  <c r="T69" i="41"/>
  <c r="T22" i="41"/>
  <c r="Y15" i="60"/>
  <c r="Y22" i="41"/>
  <c r="S16" i="41"/>
  <c r="T16" i="41" s="1"/>
  <c r="U16" i="41" s="1"/>
  <c r="AF89" i="41"/>
  <c r="Q18" i="41"/>
  <c r="Q23" i="60" s="1"/>
  <c r="AJ15" i="60"/>
  <c r="AJ22" i="41"/>
  <c r="AJ92" i="41"/>
  <c r="AB9" i="57"/>
  <c r="AB76" i="41"/>
  <c r="AB89" i="41" s="1"/>
  <c r="X92" i="41"/>
  <c r="X90" i="41"/>
  <c r="P25" i="60"/>
  <c r="W22" i="41"/>
  <c r="Q15" i="60"/>
  <c r="Q69" i="41"/>
  <c r="AJ6" i="56"/>
  <c r="AJ15" i="56" s="1"/>
  <c r="AJ27" i="56" s="1"/>
  <c r="AJ76" i="41"/>
  <c r="AJ89" i="41" s="1"/>
  <c r="AD51" i="41"/>
  <c r="AD26" i="60"/>
  <c r="P24" i="60"/>
  <c r="Q19" i="41"/>
  <c r="Q21" i="41" s="1"/>
  <c r="R69" i="41"/>
  <c r="AD16" i="60"/>
  <c r="P50" i="41"/>
  <c r="R50" i="41"/>
  <c r="V22" i="60"/>
  <c r="R22" i="60"/>
  <c r="X17" i="41"/>
  <c r="Y17" i="41" s="1"/>
  <c r="Y22" i="60" s="1"/>
  <c r="S22" i="60"/>
  <c r="U22" i="60"/>
  <c r="P8" i="57"/>
  <c r="T21" i="60"/>
  <c r="U21" i="60"/>
  <c r="V16" i="41"/>
  <c r="S21" i="60"/>
  <c r="P61" i="55"/>
  <c r="P64" i="55" s="1"/>
  <c r="AE9" i="57"/>
  <c r="AE6" i="56"/>
  <c r="AE15" i="56" s="1"/>
  <c r="AE27" i="56" s="1"/>
  <c r="X76" i="41"/>
  <c r="X89" i="41" s="1"/>
  <c r="X9" i="57"/>
  <c r="W9" i="57"/>
  <c r="W6" i="56"/>
  <c r="W15" i="56" s="1"/>
  <c r="W27" i="56" s="1"/>
  <c r="W76" i="41"/>
  <c r="W89" i="41" s="1"/>
  <c r="V9" i="57"/>
  <c r="V6" i="56"/>
  <c r="V15" i="56" s="1"/>
  <c r="V27" i="56" s="1"/>
  <c r="V76" i="41"/>
  <c r="V89" i="41" s="1"/>
  <c r="P9" i="57"/>
  <c r="P6" i="56"/>
  <c r="P15" i="56" s="1"/>
  <c r="P27" i="56" s="1"/>
  <c r="AH6" i="56"/>
  <c r="AH15" i="56" s="1"/>
  <c r="AH27" i="56" s="1"/>
  <c r="AL6" i="56"/>
  <c r="AL15" i="56" s="1"/>
  <c r="AL27" i="56" s="1"/>
  <c r="AL76" i="41"/>
  <c r="AL89" i="41" s="1"/>
  <c r="AJ9" i="57"/>
  <c r="AI9" i="57"/>
  <c r="AI6" i="56"/>
  <c r="AI15" i="56" s="1"/>
  <c r="AI27" i="56" s="1"/>
  <c r="AD9" i="57"/>
  <c r="Y23" i="41"/>
  <c r="U23" i="41"/>
  <c r="U69" i="41"/>
  <c r="T9" i="57"/>
  <c r="T6" i="56"/>
  <c r="T15" i="56" s="1"/>
  <c r="T27" i="56" s="1"/>
  <c r="T76" i="41"/>
  <c r="T89" i="41" s="1"/>
  <c r="R9" i="57"/>
  <c r="R6" i="56"/>
  <c r="R15" i="56" s="1"/>
  <c r="R27" i="56" s="1"/>
  <c r="R76" i="41"/>
  <c r="R89" i="41" s="1"/>
  <c r="AK9" i="57"/>
  <c r="AH9" i="57"/>
  <c r="AD6" i="56"/>
  <c r="AD15" i="56" s="1"/>
  <c r="AD27" i="56" s="1"/>
  <c r="AM23" i="41"/>
  <c r="AM16" i="60"/>
  <c r="AG6" i="56"/>
  <c r="AG15" i="56" s="1"/>
  <c r="AG27" i="56" s="1"/>
  <c r="AG76" i="41"/>
  <c r="AG89" i="41" s="1"/>
  <c r="AA9" i="57"/>
  <c r="AA76" i="41"/>
  <c r="AA89" i="41" s="1"/>
  <c r="T16" i="60"/>
  <c r="S76" i="41"/>
  <c r="S89" i="41" s="1"/>
  <c r="S6" i="56"/>
  <c r="S15" i="56" s="1"/>
  <c r="S27" i="56" s="1"/>
  <c r="Z17" i="41" l="1"/>
  <c r="Q9" i="57"/>
  <c r="R18" i="41"/>
  <c r="R19" i="41"/>
  <c r="Q24" i="60"/>
  <c r="Q6" i="56"/>
  <c r="Q15" i="56" s="1"/>
  <c r="Q27" i="56" s="1"/>
  <c r="T4" i="41"/>
  <c r="S50" i="41"/>
  <c r="X22" i="60"/>
  <c r="P52" i="41"/>
  <c r="P19" i="60" s="1"/>
  <c r="P65" i="55"/>
  <c r="P25" i="41" s="1"/>
  <c r="P27" i="41" s="1"/>
  <c r="P66" i="41" s="1"/>
  <c r="P67" i="41" s="1"/>
  <c r="Q64" i="41" s="1"/>
  <c r="Q61" i="55"/>
  <c r="Q64" i="55" s="1"/>
  <c r="Q8" i="57"/>
  <c r="Q25" i="60"/>
  <c r="Q5" i="56"/>
  <c r="Q14" i="56" s="1"/>
  <c r="Q26" i="56" s="1"/>
  <c r="AA17" i="41"/>
  <c r="Z22" i="60"/>
  <c r="R23" i="60"/>
  <c r="S18" i="41"/>
  <c r="W16" i="41"/>
  <c r="V21" i="60"/>
  <c r="AM6" i="56"/>
  <c r="AM15" i="56" s="1"/>
  <c r="AM27" i="56" s="1"/>
  <c r="AM9" i="57"/>
  <c r="AM76" i="41"/>
  <c r="AM89" i="41" s="1"/>
  <c r="U9" i="57"/>
  <c r="U6" i="56"/>
  <c r="U15" i="56" s="1"/>
  <c r="U27" i="56" s="1"/>
  <c r="U76" i="41"/>
  <c r="U89" i="41" s="1"/>
  <c r="Y6" i="56"/>
  <c r="Y15" i="56" s="1"/>
  <c r="Y27" i="56" s="1"/>
  <c r="Y9" i="57"/>
  <c r="Y76" i="41"/>
  <c r="Y89" i="41" s="1"/>
  <c r="P59" i="41"/>
  <c r="P62" i="41" s="1"/>
  <c r="P29" i="41"/>
  <c r="P18" i="60"/>
  <c r="R24" i="60" l="1"/>
  <c r="S19" i="41"/>
  <c r="U4" i="41"/>
  <c r="T50" i="41"/>
  <c r="R21" i="41"/>
  <c r="P41" i="41"/>
  <c r="Q52" i="41"/>
  <c r="Q19" i="60" s="1"/>
  <c r="Q65" i="55"/>
  <c r="Q25" i="41" s="1"/>
  <c r="Q27" i="41" s="1"/>
  <c r="AB17" i="41"/>
  <c r="AA22" i="60"/>
  <c r="W21" i="60"/>
  <c r="X16" i="41"/>
  <c r="T18" i="41"/>
  <c r="S23" i="60"/>
  <c r="S21" i="41"/>
  <c r="Q58" i="41"/>
  <c r="P49" i="41"/>
  <c r="P54" i="41" s="1"/>
  <c r="Q65" i="41"/>
  <c r="Q74" i="41" s="1"/>
  <c r="V4" i="41" l="1"/>
  <c r="U50" i="41"/>
  <c r="U42" i="41"/>
  <c r="S24" i="60"/>
  <c r="T19" i="41"/>
  <c r="R61" i="55"/>
  <c r="R64" i="55" s="1"/>
  <c r="R8" i="57"/>
  <c r="R5" i="56"/>
  <c r="R14" i="56" s="1"/>
  <c r="R26" i="56" s="1"/>
  <c r="R25" i="60"/>
  <c r="T23" i="60"/>
  <c r="U18" i="41"/>
  <c r="T21" i="41"/>
  <c r="R65" i="55"/>
  <c r="R25" i="41" s="1"/>
  <c r="R27" i="41" s="1"/>
  <c r="R52" i="41"/>
  <c r="R19" i="60" s="1"/>
  <c r="Y16" i="41"/>
  <c r="X21" i="60"/>
  <c r="AB22" i="60"/>
  <c r="AC17" i="41"/>
  <c r="Q29" i="41"/>
  <c r="Q59" i="41"/>
  <c r="Q66" i="41"/>
  <c r="Q67" i="41" s="1"/>
  <c r="R64" i="41" s="1"/>
  <c r="R65" i="41" s="1"/>
  <c r="R74" i="41" s="1"/>
  <c r="Q41" i="41"/>
  <c r="Q18" i="60"/>
  <c r="S61" i="55"/>
  <c r="S64" i="55" s="1"/>
  <c r="S5" i="56"/>
  <c r="S14" i="56" s="1"/>
  <c r="S26" i="56" s="1"/>
  <c r="S25" i="60"/>
  <c r="S8" i="57"/>
  <c r="Q61" i="41"/>
  <c r="Q62" i="41" s="1"/>
  <c r="P8" i="56"/>
  <c r="P17" i="56" s="1"/>
  <c r="P40" i="56" s="1"/>
  <c r="P78" i="41"/>
  <c r="P56" i="41"/>
  <c r="Q87" i="41"/>
  <c r="U19" i="41" l="1"/>
  <c r="T24" i="60"/>
  <c r="V50" i="41"/>
  <c r="W4" i="41"/>
  <c r="S52" i="41"/>
  <c r="S19" i="60" s="1"/>
  <c r="S65" i="55"/>
  <c r="S25" i="41" s="1"/>
  <c r="S27" i="41" s="1"/>
  <c r="V18" i="41"/>
  <c r="U23" i="60"/>
  <c r="U21" i="41"/>
  <c r="R41" i="41"/>
  <c r="R29" i="41"/>
  <c r="R66" i="41"/>
  <c r="R67" i="41" s="1"/>
  <c r="S64" i="41" s="1"/>
  <c r="R59" i="41"/>
  <c r="R18" i="60"/>
  <c r="AD17" i="41"/>
  <c r="AC22" i="60"/>
  <c r="Y21" i="60"/>
  <c r="Z16" i="41"/>
  <c r="T25" i="60"/>
  <c r="T8" i="57"/>
  <c r="T61" i="55"/>
  <c r="T64" i="55" s="1"/>
  <c r="T5" i="56"/>
  <c r="T14" i="56" s="1"/>
  <c r="T26" i="56" s="1"/>
  <c r="R87" i="41"/>
  <c r="P70" i="41"/>
  <c r="P71" i="41" s="1"/>
  <c r="P4" i="56"/>
  <c r="P13" i="56" s="1"/>
  <c r="P19" i="56" s="1"/>
  <c r="R58" i="41"/>
  <c r="Q49" i="41"/>
  <c r="Q54" i="41" s="1"/>
  <c r="P91" i="41"/>
  <c r="P93" i="41" s="1"/>
  <c r="P94" i="41" s="1"/>
  <c r="P80" i="41"/>
  <c r="P81" i="41" s="1"/>
  <c r="X4" i="41" l="1"/>
  <c r="W50" i="41"/>
  <c r="V19" i="41"/>
  <c r="U24" i="60"/>
  <c r="T65" i="55"/>
  <c r="T25" i="41" s="1"/>
  <c r="T27" i="41" s="1"/>
  <c r="T52" i="41"/>
  <c r="T19" i="60" s="1"/>
  <c r="S65" i="41"/>
  <c r="S74" i="41" s="1"/>
  <c r="S29" i="41"/>
  <c r="S66" i="41"/>
  <c r="S59" i="41"/>
  <c r="S18" i="60"/>
  <c r="S41" i="41"/>
  <c r="U8" i="57"/>
  <c r="U25" i="60"/>
  <c r="U61" i="55"/>
  <c r="U64" i="55" s="1"/>
  <c r="U5" i="56"/>
  <c r="U14" i="56" s="1"/>
  <c r="U26" i="56" s="1"/>
  <c r="Z21" i="60"/>
  <c r="AA16" i="41"/>
  <c r="AD22" i="60"/>
  <c r="AE17" i="41"/>
  <c r="W18" i="41"/>
  <c r="V23" i="60"/>
  <c r="V21" i="41"/>
  <c r="P20" i="56"/>
  <c r="Q47" i="56"/>
  <c r="R61" i="41"/>
  <c r="R62" i="41" s="1"/>
  <c r="S87" i="41"/>
  <c r="Q78" i="41"/>
  <c r="Q8" i="56"/>
  <c r="Q17" i="56" s="1"/>
  <c r="Q40" i="56" s="1"/>
  <c r="Q56" i="41"/>
  <c r="V24" i="60" l="1"/>
  <c r="W19" i="41"/>
  <c r="X50" i="41"/>
  <c r="Y4" i="41"/>
  <c r="U52" i="41"/>
  <c r="U65" i="55"/>
  <c r="U25" i="41" s="1"/>
  <c r="U27" i="41" s="1"/>
  <c r="AF17" i="41"/>
  <c r="AE22" i="60"/>
  <c r="T18" i="60"/>
  <c r="T59" i="41"/>
  <c r="T66" i="41"/>
  <c r="T41" i="41"/>
  <c r="T29" i="41"/>
  <c r="W23" i="60"/>
  <c r="X18" i="41"/>
  <c r="W21" i="41"/>
  <c r="AA21" i="60"/>
  <c r="AB16" i="41"/>
  <c r="V5" i="56"/>
  <c r="V14" i="56" s="1"/>
  <c r="V26" i="56" s="1"/>
  <c r="V25" i="60"/>
  <c r="V61" i="55"/>
  <c r="V64" i="55" s="1"/>
  <c r="V8" i="57"/>
  <c r="S67" i="41"/>
  <c r="T64" i="41" s="1"/>
  <c r="S58" i="41"/>
  <c r="R49" i="41"/>
  <c r="R54" i="41" s="1"/>
  <c r="Q4" i="56"/>
  <c r="Q13" i="56" s="1"/>
  <c r="Q19" i="56" s="1"/>
  <c r="Q70" i="41"/>
  <c r="Q71" i="41" s="1"/>
  <c r="Q91" i="41"/>
  <c r="Q93" i="41" s="1"/>
  <c r="Q94" i="41" s="1"/>
  <c r="Q80" i="41"/>
  <c r="Q81" i="41" s="1"/>
  <c r="P22" i="56"/>
  <c r="P57" i="56"/>
  <c r="X19" i="41" l="1"/>
  <c r="W24" i="60"/>
  <c r="Z4" i="41"/>
  <c r="Y50" i="41"/>
  <c r="V52" i="41"/>
  <c r="V19" i="60" s="1"/>
  <c r="V65" i="55"/>
  <c r="V25" i="41" s="1"/>
  <c r="V27" i="41" s="1"/>
  <c r="T65" i="41"/>
  <c r="T74" i="41" s="1"/>
  <c r="T67" i="41"/>
  <c r="U64" i="41" s="1"/>
  <c r="W5" i="56"/>
  <c r="W14" i="56" s="1"/>
  <c r="W26" i="56" s="1"/>
  <c r="W8" i="57"/>
  <c r="W25" i="60"/>
  <c r="W61" i="55"/>
  <c r="W64" i="55" s="1"/>
  <c r="AB21" i="60"/>
  <c r="AC16" i="41"/>
  <c r="X23" i="60"/>
  <c r="Y18" i="41"/>
  <c r="X21" i="41"/>
  <c r="AF22" i="60"/>
  <c r="AG17" i="41"/>
  <c r="U18" i="60"/>
  <c r="U41" i="41"/>
  <c r="U59" i="41"/>
  <c r="U29" i="41"/>
  <c r="U66" i="41"/>
  <c r="U45" i="41"/>
  <c r="U19" i="60"/>
  <c r="R47" i="56"/>
  <c r="Q20" i="56"/>
  <c r="P24" i="56"/>
  <c r="P53" i="56"/>
  <c r="P56" i="56" s="1"/>
  <c r="P58" i="56" s="1"/>
  <c r="P65" i="56" s="1"/>
  <c r="R78" i="41"/>
  <c r="R8" i="56"/>
  <c r="R17" i="56" s="1"/>
  <c r="R40" i="56" s="1"/>
  <c r="R56" i="41"/>
  <c r="S61" i="41"/>
  <c r="S62" i="41" s="1"/>
  <c r="AA4" i="41" l="1"/>
  <c r="Z50" i="41"/>
  <c r="U46" i="41"/>
  <c r="U28" i="60" s="1"/>
  <c r="Y19" i="41"/>
  <c r="X24" i="60"/>
  <c r="X25" i="60"/>
  <c r="X8" i="57"/>
  <c r="X61" i="55"/>
  <c r="X5" i="56"/>
  <c r="X14" i="56" s="1"/>
  <c r="X26" i="56" s="1"/>
  <c r="Y23" i="60"/>
  <c r="Z18" i="41"/>
  <c r="U65" i="41"/>
  <c r="V59" i="41"/>
  <c r="V29" i="41"/>
  <c r="V66" i="41"/>
  <c r="V18" i="60"/>
  <c r="V41" i="41"/>
  <c r="W65" i="55"/>
  <c r="W25" i="41" s="1"/>
  <c r="W27" i="41" s="1"/>
  <c r="W52" i="41"/>
  <c r="W19" i="60" s="1"/>
  <c r="X64" i="55"/>
  <c r="AG22" i="60"/>
  <c r="AH17" i="41"/>
  <c r="AC21" i="60"/>
  <c r="AD16" i="41"/>
  <c r="T87" i="41"/>
  <c r="S49" i="41"/>
  <c r="S54" i="41" s="1"/>
  <c r="T58" i="41"/>
  <c r="Q57" i="56"/>
  <c r="Q22" i="56"/>
  <c r="R91" i="41"/>
  <c r="R93" i="41" s="1"/>
  <c r="R94" i="41" s="1"/>
  <c r="R80" i="41"/>
  <c r="R81" i="41" s="1"/>
  <c r="P29" i="56"/>
  <c r="P10" i="57"/>
  <c r="P12" i="57" s="1"/>
  <c r="R70" i="41"/>
  <c r="R71" i="41" s="1"/>
  <c r="R4" i="56"/>
  <c r="R13" i="56" s="1"/>
  <c r="R19" i="56" s="1"/>
  <c r="Z19" i="41" l="1"/>
  <c r="Y24" i="60"/>
  <c r="Y21" i="41"/>
  <c r="Y5" i="56" s="1"/>
  <c r="Y14" i="56" s="1"/>
  <c r="Y26" i="56" s="1"/>
  <c r="U39" i="41"/>
  <c r="AA50" i="41"/>
  <c r="AB4" i="41"/>
  <c r="AD21" i="60"/>
  <c r="AE16" i="41"/>
  <c r="Z23" i="60"/>
  <c r="AA18" i="41"/>
  <c r="Z21" i="41"/>
  <c r="X52" i="41"/>
  <c r="X19" i="60" s="1"/>
  <c r="X65" i="55"/>
  <c r="X25" i="41" s="1"/>
  <c r="X27" i="41" s="1"/>
  <c r="U74" i="41"/>
  <c r="U67" i="41"/>
  <c r="V64" i="41" s="1"/>
  <c r="AH22" i="60"/>
  <c r="AI17" i="41"/>
  <c r="W59" i="41"/>
  <c r="W41" i="41"/>
  <c r="W66" i="41"/>
  <c r="W29" i="41"/>
  <c r="W18" i="60"/>
  <c r="Y25" i="60"/>
  <c r="Y8" i="57"/>
  <c r="Q53" i="56"/>
  <c r="Q56" i="56" s="1"/>
  <c r="Q58" i="56" s="1"/>
  <c r="Q65" i="56" s="1"/>
  <c r="Q24" i="56"/>
  <c r="P41" i="56"/>
  <c r="P33" i="56"/>
  <c r="P35" i="56" s="1"/>
  <c r="S47" i="56"/>
  <c r="R20" i="56"/>
  <c r="T61" i="41"/>
  <c r="T62" i="41" s="1"/>
  <c r="P24" i="57"/>
  <c r="P25" i="57" s="1"/>
  <c r="P28" i="56" s="1"/>
  <c r="P21" i="57"/>
  <c r="P22" i="57" s="1"/>
  <c r="Q19" i="57" s="1"/>
  <c r="S8" i="56"/>
  <c r="S17" i="56" s="1"/>
  <c r="S40" i="56" s="1"/>
  <c r="S78" i="41"/>
  <c r="S56" i="41"/>
  <c r="Y61" i="55" l="1"/>
  <c r="Y64" i="55" s="1"/>
  <c r="AC4" i="41"/>
  <c r="AB50" i="41"/>
  <c r="U27" i="60"/>
  <c r="AA42" i="41"/>
  <c r="AA19" i="41"/>
  <c r="Z24" i="60"/>
  <c r="Y65" i="55"/>
  <c r="Y25" i="41" s="1"/>
  <c r="Y27" i="41" s="1"/>
  <c r="Y52" i="41"/>
  <c r="Y19" i="60" s="1"/>
  <c r="AJ17" i="41"/>
  <c r="AI22" i="60"/>
  <c r="V65" i="41"/>
  <c r="AE21" i="60"/>
  <c r="AF16" i="41"/>
  <c r="U87" i="41"/>
  <c r="Z25" i="60"/>
  <c r="Z61" i="55"/>
  <c r="Z5" i="56"/>
  <c r="Z14" i="56" s="1"/>
  <c r="Z26" i="56" s="1"/>
  <c r="Z8" i="57"/>
  <c r="X59" i="41"/>
  <c r="X41" i="41"/>
  <c r="X18" i="60"/>
  <c r="X29" i="41"/>
  <c r="X66" i="41"/>
  <c r="AA23" i="60"/>
  <c r="AB18" i="41"/>
  <c r="AA21" i="41"/>
  <c r="S91" i="41"/>
  <c r="S93" i="41" s="1"/>
  <c r="S94" i="41" s="1"/>
  <c r="S80" i="41"/>
  <c r="S81" i="41" s="1"/>
  <c r="R22" i="56"/>
  <c r="R57" i="56"/>
  <c r="P43" i="56"/>
  <c r="P49" i="56" s="1"/>
  <c r="Q15" i="57"/>
  <c r="Q16" i="57"/>
  <c r="Q20" i="57" s="1"/>
  <c r="P30" i="56"/>
  <c r="T49" i="41"/>
  <c r="T54" i="41" s="1"/>
  <c r="U58" i="41"/>
  <c r="S4" i="56"/>
  <c r="S13" i="56" s="1"/>
  <c r="S19" i="56" s="1"/>
  <c r="S70" i="41"/>
  <c r="S71" i="41" s="1"/>
  <c r="Q10" i="57"/>
  <c r="Q12" i="57" s="1"/>
  <c r="Q29" i="56"/>
  <c r="Z64" i="55" l="1"/>
  <c r="Z52" i="41" s="1"/>
  <c r="Z19" i="60" s="1"/>
  <c r="AA24" i="60"/>
  <c r="AB19" i="41"/>
  <c r="AD4" i="41"/>
  <c r="AC50" i="41"/>
  <c r="Z65" i="55"/>
  <c r="Z25" i="41" s="1"/>
  <c r="Z27" i="41" s="1"/>
  <c r="AG16" i="41"/>
  <c r="AF21" i="60"/>
  <c r="AA5" i="56"/>
  <c r="AA14" i="56" s="1"/>
  <c r="AA26" i="56" s="1"/>
  <c r="AA8" i="57"/>
  <c r="AA61" i="55"/>
  <c r="AA64" i="55" s="1"/>
  <c r="AA25" i="60"/>
  <c r="AJ22" i="60"/>
  <c r="AK17" i="41"/>
  <c r="AB23" i="60"/>
  <c r="AC18" i="41"/>
  <c r="AB21" i="41"/>
  <c r="V74" i="41"/>
  <c r="V67" i="41"/>
  <c r="W64" i="41" s="1"/>
  <c r="Y18" i="60"/>
  <c r="Y59" i="41"/>
  <c r="Y29" i="41"/>
  <c r="Y66" i="41"/>
  <c r="Y41" i="41"/>
  <c r="R24" i="56"/>
  <c r="R53" i="56"/>
  <c r="R56" i="56" s="1"/>
  <c r="R58" i="56" s="1"/>
  <c r="R65" i="56" s="1"/>
  <c r="T8" i="56"/>
  <c r="T17" i="56" s="1"/>
  <c r="T40" i="56" s="1"/>
  <c r="T78" i="41"/>
  <c r="T56" i="41"/>
  <c r="P52" i="56"/>
  <c r="P54" i="56" s="1"/>
  <c r="P64" i="56" s="1"/>
  <c r="P38" i="56"/>
  <c r="P32" i="56"/>
  <c r="P34" i="56" s="1"/>
  <c r="P36" i="56" s="1"/>
  <c r="P61" i="56" s="1"/>
  <c r="Q21" i="57"/>
  <c r="Q22" i="57" s="1"/>
  <c r="R19" i="57" s="1"/>
  <c r="Q24" i="57"/>
  <c r="Q25" i="57" s="1"/>
  <c r="Q28" i="56" s="1"/>
  <c r="T47" i="56"/>
  <c r="S20" i="56"/>
  <c r="Q33" i="56"/>
  <c r="Q35" i="56" s="1"/>
  <c r="Q41" i="56"/>
  <c r="U61" i="41"/>
  <c r="U62" i="41" s="1"/>
  <c r="AE4" i="41" l="1"/>
  <c r="AD50" i="41"/>
  <c r="AB24" i="60"/>
  <c r="AC19" i="41"/>
  <c r="AA65" i="55"/>
  <c r="AA25" i="41" s="1"/>
  <c r="AA27" i="41" s="1"/>
  <c r="AA52" i="41"/>
  <c r="V87" i="41"/>
  <c r="AL17" i="41"/>
  <c r="AK22" i="60"/>
  <c r="AB8" i="57"/>
  <c r="AB25" i="60"/>
  <c r="AB5" i="56"/>
  <c r="AB14" i="56" s="1"/>
  <c r="AB26" i="56" s="1"/>
  <c r="AB61" i="55"/>
  <c r="AB64" i="55" s="1"/>
  <c r="Z29" i="41"/>
  <c r="Z41" i="41"/>
  <c r="Z66" i="41"/>
  <c r="Z18" i="60"/>
  <c r="Z59" i="41"/>
  <c r="AG21" i="60"/>
  <c r="AH16" i="41"/>
  <c r="AD18" i="41"/>
  <c r="AC23" i="60"/>
  <c r="AC21" i="41"/>
  <c r="W65" i="41"/>
  <c r="W74" i="41" s="1"/>
  <c r="R16" i="57"/>
  <c r="R20" i="57" s="1"/>
  <c r="R15" i="57"/>
  <c r="V58" i="41"/>
  <c r="U49" i="41"/>
  <c r="U54" i="41" s="1"/>
  <c r="Q43" i="56"/>
  <c r="Q49" i="56" s="1"/>
  <c r="P42" i="56"/>
  <c r="R29" i="56"/>
  <c r="R10" i="57"/>
  <c r="R12" i="57" s="1"/>
  <c r="T4" i="56"/>
  <c r="T13" i="56" s="1"/>
  <c r="T19" i="56" s="1"/>
  <c r="T70" i="41"/>
  <c r="T71" i="41" s="1"/>
  <c r="Q30" i="56"/>
  <c r="S57" i="56"/>
  <c r="S22" i="56"/>
  <c r="T91" i="41"/>
  <c r="T93" i="41" s="1"/>
  <c r="T94" i="41" s="1"/>
  <c r="T80" i="41"/>
  <c r="T81" i="41" s="1"/>
  <c r="AD19" i="41" l="1"/>
  <c r="AC24" i="60"/>
  <c r="AF4" i="41"/>
  <c r="AE50" i="41"/>
  <c r="AB65" i="55"/>
  <c r="AB25" i="41" s="1"/>
  <c r="AB27" i="41" s="1"/>
  <c r="AB52" i="41"/>
  <c r="AB19" i="60" s="1"/>
  <c r="AC8" i="57"/>
  <c r="AC61" i="55"/>
  <c r="AC64" i="55" s="1"/>
  <c r="AC5" i="56"/>
  <c r="AC14" i="56" s="1"/>
  <c r="AC26" i="56" s="1"/>
  <c r="AC25" i="60"/>
  <c r="AH21" i="60"/>
  <c r="AI16" i="41"/>
  <c r="W67" i="41"/>
  <c r="X64" i="41" s="1"/>
  <c r="AE18" i="41"/>
  <c r="AD23" i="60"/>
  <c r="AD21" i="41"/>
  <c r="AM17" i="41"/>
  <c r="AM22" i="60" s="1"/>
  <c r="AL22" i="60"/>
  <c r="AA45" i="41"/>
  <c r="AA19" i="60"/>
  <c r="W87" i="41"/>
  <c r="AA59" i="41"/>
  <c r="AA29" i="41"/>
  <c r="AA41" i="41"/>
  <c r="AA66" i="41"/>
  <c r="AA18" i="60"/>
  <c r="Q38" i="56"/>
  <c r="Q52" i="56"/>
  <c r="Q54" i="56" s="1"/>
  <c r="Q64" i="56" s="1"/>
  <c r="Q32" i="56"/>
  <c r="Q34" i="56" s="1"/>
  <c r="Q36" i="56" s="1"/>
  <c r="Q61" i="56" s="1"/>
  <c r="U47" i="56"/>
  <c r="T20" i="56"/>
  <c r="S53" i="56"/>
  <c r="S56" i="56" s="1"/>
  <c r="S58" i="56" s="1"/>
  <c r="S65" i="56" s="1"/>
  <c r="S24" i="56"/>
  <c r="P46" i="56"/>
  <c r="P48" i="56" s="1"/>
  <c r="P50" i="56" s="1"/>
  <c r="P63" i="56" s="1"/>
  <c r="P44" i="56"/>
  <c r="P62" i="56" s="1"/>
  <c r="U78" i="41"/>
  <c r="U8" i="56"/>
  <c r="U17" i="56" s="1"/>
  <c r="U40" i="56" s="1"/>
  <c r="U56" i="41"/>
  <c r="R24" i="57"/>
  <c r="R25" i="57" s="1"/>
  <c r="R28" i="56" s="1"/>
  <c r="R21" i="57"/>
  <c r="R22" i="57" s="1"/>
  <c r="S19" i="57" s="1"/>
  <c r="R33" i="56"/>
  <c r="R35" i="56" s="1"/>
  <c r="R41" i="56"/>
  <c r="V61" i="41"/>
  <c r="V62" i="41"/>
  <c r="AG4" i="41" l="1"/>
  <c r="AF50" i="41"/>
  <c r="AE19" i="41"/>
  <c r="AD24" i="60"/>
  <c r="AD25" i="60"/>
  <c r="AD8" i="57"/>
  <c r="AD5" i="56"/>
  <c r="AD14" i="56" s="1"/>
  <c r="AD26" i="56" s="1"/>
  <c r="AD61" i="55"/>
  <c r="AD64" i="55" s="1"/>
  <c r="AI21" i="60"/>
  <c r="AJ16" i="41"/>
  <c r="AF18" i="41"/>
  <c r="AE23" i="60"/>
  <c r="AC65" i="55"/>
  <c r="AC25" i="41" s="1"/>
  <c r="AC27" i="41" s="1"/>
  <c r="AC52" i="41"/>
  <c r="AC19" i="60" s="1"/>
  <c r="AA46" i="41"/>
  <c r="X65" i="41"/>
  <c r="X74" i="41" s="1"/>
  <c r="AB29" i="41"/>
  <c r="AB66" i="41"/>
  <c r="AB59" i="41"/>
  <c r="AB18" i="60"/>
  <c r="AB41" i="41"/>
  <c r="S16" i="57"/>
  <c r="S20" i="57" s="1"/>
  <c r="S15" i="57"/>
  <c r="U70" i="41"/>
  <c r="U71" i="41" s="1"/>
  <c r="U4" i="56"/>
  <c r="U13" i="56" s="1"/>
  <c r="U19" i="56" s="1"/>
  <c r="R43" i="56"/>
  <c r="R49" i="56" s="1"/>
  <c r="S29" i="56"/>
  <c r="S10" i="57"/>
  <c r="S12" i="57" s="1"/>
  <c r="U91" i="41"/>
  <c r="U93" i="41" s="1"/>
  <c r="U94" i="41" s="1"/>
  <c r="U80" i="41"/>
  <c r="U81" i="41" s="1"/>
  <c r="V49" i="41"/>
  <c r="V54" i="41" s="1"/>
  <c r="W58" i="41"/>
  <c r="R30" i="56"/>
  <c r="T22" i="56"/>
  <c r="T57" i="56"/>
  <c r="Q42" i="56"/>
  <c r="AF19" i="41" l="1"/>
  <c r="AE24" i="60"/>
  <c r="AE21" i="41"/>
  <c r="AE61" i="55" s="1"/>
  <c r="AE64" i="55" s="1"/>
  <c r="AH4" i="41"/>
  <c r="AG50" i="41"/>
  <c r="X67" i="41"/>
  <c r="Y64" i="41" s="1"/>
  <c r="Y65" i="41"/>
  <c r="Y74" i="41" s="1"/>
  <c r="Y67" i="41"/>
  <c r="Z64" i="41" s="1"/>
  <c r="AG18" i="41"/>
  <c r="AF23" i="60"/>
  <c r="AF21" i="41"/>
  <c r="X87" i="41"/>
  <c r="AC59" i="41"/>
  <c r="AC29" i="41"/>
  <c r="AC66" i="41"/>
  <c r="AC18" i="60"/>
  <c r="AC41" i="41"/>
  <c r="AJ21" i="60"/>
  <c r="AK16" i="41"/>
  <c r="AD65" i="55"/>
  <c r="AD25" i="41" s="1"/>
  <c r="AD27" i="41" s="1"/>
  <c r="AD52" i="41"/>
  <c r="AD19" i="60" s="1"/>
  <c r="AA28" i="60"/>
  <c r="AA39" i="41"/>
  <c r="AE25" i="60"/>
  <c r="AE8" i="57"/>
  <c r="Q44" i="56"/>
  <c r="Q62" i="56" s="1"/>
  <c r="Q46" i="56"/>
  <c r="Q48" i="56" s="1"/>
  <c r="Q50" i="56" s="1"/>
  <c r="Q63" i="56" s="1"/>
  <c r="T24" i="56"/>
  <c r="T53" i="56"/>
  <c r="T56" i="56" s="1"/>
  <c r="T58" i="56" s="1"/>
  <c r="T65" i="56" s="1"/>
  <c r="V8" i="56"/>
  <c r="V17" i="56" s="1"/>
  <c r="V40" i="56" s="1"/>
  <c r="V78" i="41"/>
  <c r="V56" i="41"/>
  <c r="V4" i="56" s="1"/>
  <c r="V13" i="56" s="1"/>
  <c r="V19" i="56" s="1"/>
  <c r="V20" i="56" s="1"/>
  <c r="S24" i="57"/>
  <c r="S25" i="57" s="1"/>
  <c r="S28" i="56" s="1"/>
  <c r="S21" i="57"/>
  <c r="S22" i="57" s="1"/>
  <c r="T19" i="57" s="1"/>
  <c r="V47" i="56"/>
  <c r="U20" i="56"/>
  <c r="W61" i="41"/>
  <c r="W62" i="41" s="1"/>
  <c r="R38" i="56"/>
  <c r="R32" i="56"/>
  <c r="R34" i="56" s="1"/>
  <c r="R36" i="56" s="1"/>
  <c r="R61" i="56" s="1"/>
  <c r="R52" i="56"/>
  <c r="R54" i="56" s="1"/>
  <c r="R64" i="56" s="1"/>
  <c r="S41" i="56"/>
  <c r="S33" i="56"/>
  <c r="S35" i="56" s="1"/>
  <c r="AH50" i="41" l="1"/>
  <c r="AI4" i="41"/>
  <c r="AE5" i="56"/>
  <c r="AE14" i="56" s="1"/>
  <c r="AE26" i="56" s="1"/>
  <c r="AG19" i="41"/>
  <c r="AF24" i="60"/>
  <c r="AE52" i="41"/>
  <c r="AE19" i="60" s="1"/>
  <c r="AE65" i="55"/>
  <c r="AE25" i="41" s="1"/>
  <c r="AE27" i="41" s="1"/>
  <c r="AA27" i="60"/>
  <c r="AG42" i="41"/>
  <c r="AL16" i="41"/>
  <c r="AK21" i="60"/>
  <c r="Z65" i="41"/>
  <c r="Z74" i="41" s="1"/>
  <c r="AH18" i="41"/>
  <c r="AG23" i="60"/>
  <c r="AF8" i="57"/>
  <c r="AF61" i="55"/>
  <c r="AF64" i="55" s="1"/>
  <c r="AF5" i="56"/>
  <c r="AF14" i="56" s="1"/>
  <c r="AF26" i="56" s="1"/>
  <c r="AF25" i="60"/>
  <c r="Y87" i="41"/>
  <c r="AD41" i="41"/>
  <c r="AD66" i="41"/>
  <c r="AD59" i="41"/>
  <c r="AD18" i="60"/>
  <c r="AD29" i="41"/>
  <c r="W49" i="41"/>
  <c r="W54" i="41" s="1"/>
  <c r="X58" i="41"/>
  <c r="T16" i="57"/>
  <c r="T20" i="57" s="1"/>
  <c r="T15" i="57"/>
  <c r="V22" i="56"/>
  <c r="V57" i="56"/>
  <c r="V91" i="41"/>
  <c r="V93" i="41" s="1"/>
  <c r="V94" i="41" s="1"/>
  <c r="V80" i="41"/>
  <c r="V81" i="41" s="1"/>
  <c r="R42" i="56"/>
  <c r="U22" i="56"/>
  <c r="U57" i="56"/>
  <c r="S30" i="56"/>
  <c r="S43" i="56"/>
  <c r="S49" i="56" s="1"/>
  <c r="W47" i="56"/>
  <c r="T10" i="57"/>
  <c r="T12" i="57" s="1"/>
  <c r="T29" i="56"/>
  <c r="AG24" i="60" l="1"/>
  <c r="AH19" i="41"/>
  <c r="AG21" i="41"/>
  <c r="AG5" i="56" s="1"/>
  <c r="AG14" i="56" s="1"/>
  <c r="AG26" i="56" s="1"/>
  <c r="AJ4" i="41"/>
  <c r="AI50" i="41"/>
  <c r="Z67" i="41"/>
  <c r="AA64" i="41" s="1"/>
  <c r="AF65" i="55"/>
  <c r="AF25" i="41" s="1"/>
  <c r="AF27" i="41" s="1"/>
  <c r="AF52" i="41"/>
  <c r="AF19" i="60" s="1"/>
  <c r="AA65" i="41"/>
  <c r="AA74" i="41" s="1"/>
  <c r="AI18" i="41"/>
  <c r="AH23" i="60"/>
  <c r="AH21" i="41"/>
  <c r="AG8" i="57"/>
  <c r="AG61" i="55"/>
  <c r="AG64" i="55" s="1"/>
  <c r="AG25" i="60"/>
  <c r="AM16" i="41"/>
  <c r="AL21" i="60"/>
  <c r="AE41" i="41"/>
  <c r="AE66" i="41"/>
  <c r="AE29" i="41"/>
  <c r="AE59" i="41"/>
  <c r="AE18" i="60"/>
  <c r="Z87" i="41"/>
  <c r="V24" i="56"/>
  <c r="V53" i="56"/>
  <c r="V56" i="56" s="1"/>
  <c r="V58" i="56" s="1"/>
  <c r="V65" i="56" s="1"/>
  <c r="T41" i="56"/>
  <c r="T33" i="56"/>
  <c r="T35" i="56" s="1"/>
  <c r="U24" i="56"/>
  <c r="U53" i="56"/>
  <c r="U56" i="56" s="1"/>
  <c r="U58" i="56" s="1"/>
  <c r="U65" i="56" s="1"/>
  <c r="T21" i="57"/>
  <c r="T22" i="57" s="1"/>
  <c r="U19" i="57" s="1"/>
  <c r="T24" i="57"/>
  <c r="T25" i="57" s="1"/>
  <c r="T28" i="56" s="1"/>
  <c r="S38" i="56"/>
  <c r="S52" i="56"/>
  <c r="S54" i="56" s="1"/>
  <c r="S64" i="56" s="1"/>
  <c r="S32" i="56"/>
  <c r="S34" i="56" s="1"/>
  <c r="S36" i="56" s="1"/>
  <c r="S61" i="56" s="1"/>
  <c r="R44" i="56"/>
  <c r="R62" i="56" s="1"/>
  <c r="R46" i="56"/>
  <c r="R48" i="56" s="1"/>
  <c r="R50" i="56" s="1"/>
  <c r="R63" i="56" s="1"/>
  <c r="X61" i="41"/>
  <c r="X62" i="41" s="1"/>
  <c r="W8" i="56"/>
  <c r="W17" i="56" s="1"/>
  <c r="W40" i="56" s="1"/>
  <c r="W78" i="41"/>
  <c r="W56" i="41"/>
  <c r="W4" i="56" s="1"/>
  <c r="W13" i="56" s="1"/>
  <c r="W19" i="56" s="1"/>
  <c r="AK4" i="41" l="1"/>
  <c r="AJ50" i="41"/>
  <c r="AH24" i="60"/>
  <c r="AI19" i="41"/>
  <c r="AG52" i="41"/>
  <c r="AG65" i="55"/>
  <c r="AG25" i="41" s="1"/>
  <c r="AG27" i="41" s="1"/>
  <c r="AM21" i="60"/>
  <c r="AA87" i="41"/>
  <c r="AJ18" i="41"/>
  <c r="AI23" i="60"/>
  <c r="AA67" i="41"/>
  <c r="AB64" i="41" s="1"/>
  <c r="AF18" i="60"/>
  <c r="AF29" i="41"/>
  <c r="AF66" i="41"/>
  <c r="AF59" i="41"/>
  <c r="AF41" i="41"/>
  <c r="AH61" i="55"/>
  <c r="AH64" i="55" s="1"/>
  <c r="AH8" i="57"/>
  <c r="AH25" i="60"/>
  <c r="AH5" i="56"/>
  <c r="AH14" i="56" s="1"/>
  <c r="AH26" i="56" s="1"/>
  <c r="U16" i="57"/>
  <c r="U20" i="57" s="1"/>
  <c r="U15" i="57"/>
  <c r="W91" i="41"/>
  <c r="W93" i="41" s="1"/>
  <c r="W94" i="41" s="1"/>
  <c r="W80" i="41"/>
  <c r="W81" i="41" s="1"/>
  <c r="X49" i="41"/>
  <c r="X54" i="41" s="1"/>
  <c r="Y58" i="41"/>
  <c r="V10" i="57"/>
  <c r="V12" i="57" s="1"/>
  <c r="V29" i="56"/>
  <c r="S42" i="56"/>
  <c r="U10" i="57"/>
  <c r="U12" i="57" s="1"/>
  <c r="U29" i="56"/>
  <c r="X47" i="56"/>
  <c r="W20" i="56"/>
  <c r="T30" i="56"/>
  <c r="T43" i="56"/>
  <c r="T49" i="56" s="1"/>
  <c r="AL4" i="41" l="1"/>
  <c r="AK50" i="41"/>
  <c r="AJ19" i="41"/>
  <c r="AI24" i="60"/>
  <c r="AI21" i="41"/>
  <c r="AH65" i="55"/>
  <c r="AH25" i="41" s="1"/>
  <c r="AH27" i="41" s="1"/>
  <c r="AH52" i="41"/>
  <c r="AH19" i="60" s="1"/>
  <c r="AG18" i="60"/>
  <c r="AG66" i="41"/>
  <c r="AG41" i="41"/>
  <c r="AG59" i="41"/>
  <c r="AG29" i="41"/>
  <c r="AI25" i="60"/>
  <c r="AI61" i="55"/>
  <c r="AI64" i="55" s="1"/>
  <c r="AI8" i="57"/>
  <c r="AI5" i="56"/>
  <c r="AI14" i="56" s="1"/>
  <c r="AI26" i="56" s="1"/>
  <c r="AJ23" i="60"/>
  <c r="AK18" i="41"/>
  <c r="AB65" i="41"/>
  <c r="AB74" i="41" s="1"/>
  <c r="AG45" i="41"/>
  <c r="AG19" i="60"/>
  <c r="W22" i="56"/>
  <c r="W57" i="56"/>
  <c r="T38" i="56"/>
  <c r="T32" i="56"/>
  <c r="T34" i="56" s="1"/>
  <c r="T36" i="56" s="1"/>
  <c r="T61" i="56" s="1"/>
  <c r="T52" i="56"/>
  <c r="T54" i="56" s="1"/>
  <c r="T64" i="56" s="1"/>
  <c r="U41" i="56"/>
  <c r="U33" i="56"/>
  <c r="U35" i="56" s="1"/>
  <c r="U21" i="57"/>
  <c r="U22" i="57" s="1"/>
  <c r="V19" i="57" s="1"/>
  <c r="U24" i="57"/>
  <c r="U25" i="57" s="1"/>
  <c r="U28" i="56" s="1"/>
  <c r="Y61" i="41"/>
  <c r="Y62" i="41" s="1"/>
  <c r="V33" i="56"/>
  <c r="V35" i="56" s="1"/>
  <c r="V41" i="56"/>
  <c r="X78" i="41"/>
  <c r="X8" i="56"/>
  <c r="X17" i="56" s="1"/>
  <c r="X40" i="56" s="1"/>
  <c r="X56" i="41"/>
  <c r="X4" i="56" s="1"/>
  <c r="X13" i="56" s="1"/>
  <c r="X19" i="56" s="1"/>
  <c r="S46" i="56"/>
  <c r="S48" i="56" s="1"/>
  <c r="S50" i="56" s="1"/>
  <c r="S63" i="56" s="1"/>
  <c r="S44" i="56"/>
  <c r="S62" i="56" s="1"/>
  <c r="V21" i="57"/>
  <c r="V24" i="57"/>
  <c r="V25" i="57" s="1"/>
  <c r="V28" i="56" s="1"/>
  <c r="AK19" i="41" l="1"/>
  <c r="AJ24" i="60"/>
  <c r="AJ21" i="41"/>
  <c r="AJ5" i="56" s="1"/>
  <c r="AJ14" i="56" s="1"/>
  <c r="AJ26" i="56" s="1"/>
  <c r="AM4" i="41"/>
  <c r="AL50" i="41"/>
  <c r="AG46" i="41"/>
  <c r="AG28" i="60" s="1"/>
  <c r="AB67" i="41"/>
  <c r="AC64" i="41" s="1"/>
  <c r="AB87" i="41"/>
  <c r="AH59" i="41"/>
  <c r="AH66" i="41"/>
  <c r="AH41" i="41"/>
  <c r="AH29" i="41"/>
  <c r="AH18" i="60"/>
  <c r="AG39" i="41"/>
  <c r="AJ25" i="60"/>
  <c r="AJ8" i="57"/>
  <c r="AI65" i="55"/>
  <c r="AI25" i="41" s="1"/>
  <c r="AI27" i="41" s="1"/>
  <c r="AI52" i="41"/>
  <c r="AI19" i="60" s="1"/>
  <c r="AK23" i="60"/>
  <c r="AL18" i="41"/>
  <c r="AK21" i="41"/>
  <c r="V16" i="57"/>
  <c r="V20" i="57"/>
  <c r="V22" i="57" s="1"/>
  <c r="W19" i="57" s="1"/>
  <c r="V15" i="57"/>
  <c r="U30" i="56"/>
  <c r="U43" i="56"/>
  <c r="U49" i="56" s="1"/>
  <c r="Z58" i="41"/>
  <c r="Y49" i="41"/>
  <c r="Y54" i="41" s="1"/>
  <c r="X91" i="41"/>
  <c r="X93" i="41" s="1"/>
  <c r="X94" i="41" s="1"/>
  <c r="X80" i="41"/>
  <c r="X81" i="41" s="1"/>
  <c r="W53" i="56"/>
  <c r="W56" i="56" s="1"/>
  <c r="W58" i="56" s="1"/>
  <c r="W65" i="56" s="1"/>
  <c r="W24" i="56"/>
  <c r="V30" i="56"/>
  <c r="V43" i="56"/>
  <c r="V49" i="56" s="1"/>
  <c r="Y47" i="56"/>
  <c r="X20" i="56"/>
  <c r="T42" i="56"/>
  <c r="O35" i="41" l="1"/>
  <c r="AM50" i="41"/>
  <c r="O34" i="41"/>
  <c r="AJ61" i="55"/>
  <c r="AJ64" i="55" s="1"/>
  <c r="AJ65" i="55" s="1"/>
  <c r="AJ25" i="41" s="1"/>
  <c r="AJ27" i="41" s="1"/>
  <c r="AK24" i="60"/>
  <c r="AL19" i="41"/>
  <c r="AL23" i="60"/>
  <c r="AM18" i="41"/>
  <c r="AL21" i="41"/>
  <c r="AG27" i="60"/>
  <c r="AM42" i="41"/>
  <c r="AK5" i="56"/>
  <c r="AK14" i="56" s="1"/>
  <c r="AK26" i="56" s="1"/>
  <c r="AK61" i="55"/>
  <c r="AK25" i="60"/>
  <c r="AK8" i="57"/>
  <c r="AI66" i="41"/>
  <c r="AI41" i="41"/>
  <c r="AI29" i="41"/>
  <c r="AI59" i="41"/>
  <c r="AI18" i="60"/>
  <c r="AC65" i="41"/>
  <c r="AC74" i="41" s="1"/>
  <c r="AC67" i="41"/>
  <c r="AD64" i="41" s="1"/>
  <c r="W16" i="57"/>
  <c r="W20" i="57" s="1"/>
  <c r="W15" i="57"/>
  <c r="T46" i="56"/>
  <c r="T48" i="56" s="1"/>
  <c r="T50" i="56" s="1"/>
  <c r="T63" i="56" s="1"/>
  <c r="T44" i="56"/>
  <c r="T62" i="56" s="1"/>
  <c r="W29" i="56"/>
  <c r="W10" i="57"/>
  <c r="W12" i="57" s="1"/>
  <c r="X22" i="56"/>
  <c r="X57" i="56"/>
  <c r="V38" i="56"/>
  <c r="V52" i="56"/>
  <c r="V54" i="56" s="1"/>
  <c r="V64" i="56" s="1"/>
  <c r="V32" i="56"/>
  <c r="V34" i="56" s="1"/>
  <c r="V36" i="56" s="1"/>
  <c r="V61" i="56" s="1"/>
  <c r="Y78" i="41"/>
  <c r="Y8" i="56"/>
  <c r="Y17" i="56" s="1"/>
  <c r="Y40" i="56" s="1"/>
  <c r="Y56" i="41"/>
  <c r="Y4" i="56" s="1"/>
  <c r="Y13" i="56" s="1"/>
  <c r="Y19" i="56" s="1"/>
  <c r="Z61" i="41"/>
  <c r="Z62" i="41"/>
  <c r="U38" i="56"/>
  <c r="U32" i="56"/>
  <c r="U34" i="56" s="1"/>
  <c r="U36" i="56" s="1"/>
  <c r="U61" i="56" s="1"/>
  <c r="U52" i="56"/>
  <c r="U54" i="56" s="1"/>
  <c r="U64" i="56" s="1"/>
  <c r="AK64" i="55" l="1"/>
  <c r="AJ52" i="41"/>
  <c r="AJ19" i="60" s="1"/>
  <c r="AL24" i="60"/>
  <c r="AM19" i="41"/>
  <c r="AM24" i="60" s="1"/>
  <c r="AK65" i="55"/>
  <c r="AK25" i="41" s="1"/>
  <c r="AK27" i="41" s="1"/>
  <c r="AK52" i="41"/>
  <c r="AK19" i="60" s="1"/>
  <c r="AD65" i="41"/>
  <c r="AD74" i="41" s="1"/>
  <c r="AJ18" i="60"/>
  <c r="AJ66" i="41"/>
  <c r="AJ41" i="41"/>
  <c r="AJ59" i="41"/>
  <c r="AJ29" i="41"/>
  <c r="AL5" i="56"/>
  <c r="AL14" i="56" s="1"/>
  <c r="AL26" i="56" s="1"/>
  <c r="AL25" i="60"/>
  <c r="AL8" i="57"/>
  <c r="AL61" i="55"/>
  <c r="AL64" i="55" s="1"/>
  <c r="AM23" i="60"/>
  <c r="AC87" i="41"/>
  <c r="U42" i="56"/>
  <c r="V42" i="56"/>
  <c r="W41" i="56"/>
  <c r="W33" i="56"/>
  <c r="W35" i="56" s="1"/>
  <c r="Y91" i="41"/>
  <c r="Y93" i="41" s="1"/>
  <c r="Y94" i="41" s="1"/>
  <c r="Y80" i="41"/>
  <c r="Y81" i="41" s="1"/>
  <c r="X53" i="56"/>
  <c r="X56" i="56" s="1"/>
  <c r="X58" i="56" s="1"/>
  <c r="X65" i="56" s="1"/>
  <c r="X24" i="56"/>
  <c r="AA58" i="41"/>
  <c r="Z49" i="41"/>
  <c r="Z54" i="41" s="1"/>
  <c r="Z47" i="56"/>
  <c r="Y20" i="56"/>
  <c r="W21" i="57"/>
  <c r="W22" i="57" s="1"/>
  <c r="X19" i="57" s="1"/>
  <c r="W24" i="57"/>
  <c r="W25" i="57" s="1"/>
  <c r="W28" i="56" s="1"/>
  <c r="AM21" i="41" l="1"/>
  <c r="AL52" i="41"/>
  <c r="AL19" i="60" s="1"/>
  <c r="AL65" i="55"/>
  <c r="AL25" i="41" s="1"/>
  <c r="AL27" i="41" s="1"/>
  <c r="AD87" i="41"/>
  <c r="AD67" i="41"/>
  <c r="AE64" i="41" s="1"/>
  <c r="AM61" i="55"/>
  <c r="AM64" i="55" s="1"/>
  <c r="AM25" i="60"/>
  <c r="AM8" i="57"/>
  <c r="AM5" i="56"/>
  <c r="AM14" i="56" s="1"/>
  <c r="AM26" i="56" s="1"/>
  <c r="AK66" i="41"/>
  <c r="AK29" i="41"/>
  <c r="AK41" i="41"/>
  <c r="AK59" i="41"/>
  <c r="AK18" i="60"/>
  <c r="V46" i="56"/>
  <c r="V48" i="56" s="1"/>
  <c r="V50" i="56" s="1"/>
  <c r="V63" i="56" s="1"/>
  <c r="V44" i="56"/>
  <c r="V62" i="56" s="1"/>
  <c r="W30" i="56"/>
  <c r="AA61" i="41"/>
  <c r="AA62" i="41" s="1"/>
  <c r="X15" i="57"/>
  <c r="X16" i="57"/>
  <c r="X20" i="57" s="1"/>
  <c r="X29" i="56"/>
  <c r="X10" i="57"/>
  <c r="X12" i="57" s="1"/>
  <c r="U44" i="56"/>
  <c r="U62" i="56" s="1"/>
  <c r="U46" i="56"/>
  <c r="U48" i="56" s="1"/>
  <c r="U50" i="56" s="1"/>
  <c r="U63" i="56" s="1"/>
  <c r="Y22" i="56"/>
  <c r="Y57" i="56"/>
  <c r="W43" i="56"/>
  <c r="W49" i="56" s="1"/>
  <c r="Z78" i="41"/>
  <c r="Z8" i="56"/>
  <c r="Z17" i="56" s="1"/>
  <c r="Z40" i="56" s="1"/>
  <c r="Z56" i="41"/>
  <c r="Z4" i="56" s="1"/>
  <c r="Z13" i="56" s="1"/>
  <c r="Z19" i="56" s="1"/>
  <c r="O36" i="41" l="1"/>
  <c r="AM65" i="55"/>
  <c r="AM25" i="41" s="1"/>
  <c r="AM27" i="41" s="1"/>
  <c r="AM52" i="41"/>
  <c r="AL59" i="41"/>
  <c r="AL18" i="60"/>
  <c r="AL66" i="41"/>
  <c r="AL41" i="41"/>
  <c r="AL29" i="41"/>
  <c r="AE65" i="41"/>
  <c r="AE74" i="41" s="1"/>
  <c r="AB58" i="41"/>
  <c r="AA49" i="41"/>
  <c r="AA54" i="41" s="1"/>
  <c r="X41" i="56"/>
  <c r="X33" i="56"/>
  <c r="X35" i="56" s="1"/>
  <c r="Z91" i="41"/>
  <c r="Z93" i="41" s="1"/>
  <c r="Z94" i="41" s="1"/>
  <c r="Z80" i="41"/>
  <c r="Z81" i="41" s="1"/>
  <c r="Y53" i="56"/>
  <c r="Y56" i="56" s="1"/>
  <c r="Y58" i="56" s="1"/>
  <c r="Y65" i="56" s="1"/>
  <c r="Y24" i="56"/>
  <c r="AA47" i="56"/>
  <c r="Z20" i="56"/>
  <c r="X21" i="57"/>
  <c r="X22" i="57" s="1"/>
  <c r="Y19" i="57" s="1"/>
  <c r="X24" i="57"/>
  <c r="X25" i="57" s="1"/>
  <c r="X28" i="56" s="1"/>
  <c r="W52" i="56"/>
  <c r="W54" i="56" s="1"/>
  <c r="W64" i="56" s="1"/>
  <c r="W32" i="56"/>
  <c r="W34" i="56" s="1"/>
  <c r="W36" i="56" s="1"/>
  <c r="W61" i="56" s="1"/>
  <c r="W38" i="56"/>
  <c r="AE67" i="41" l="1"/>
  <c r="AF64" i="41" s="1"/>
  <c r="AF65" i="41"/>
  <c r="AF74" i="41" s="1"/>
  <c r="AM19" i="60"/>
  <c r="AM45" i="41"/>
  <c r="AM29" i="41"/>
  <c r="O29" i="41" s="1"/>
  <c r="O37" i="41" s="1"/>
  <c r="AM41" i="41"/>
  <c r="AM66" i="41"/>
  <c r="AM59" i="41"/>
  <c r="AM18" i="60"/>
  <c r="AE87" i="41"/>
  <c r="Y16" i="57"/>
  <c r="Y20" i="57" s="1"/>
  <c r="Y15" i="57"/>
  <c r="X43" i="56"/>
  <c r="X49" i="56" s="1"/>
  <c r="AA8" i="56"/>
  <c r="AA17" i="56" s="1"/>
  <c r="AA40" i="56" s="1"/>
  <c r="AA78" i="41"/>
  <c r="AA56" i="41"/>
  <c r="AA4" i="56" s="1"/>
  <c r="AA13" i="56" s="1"/>
  <c r="AA19" i="56" s="1"/>
  <c r="X30" i="56"/>
  <c r="AB61" i="41"/>
  <c r="AB62" i="41" s="1"/>
  <c r="Z22" i="56"/>
  <c r="Z57" i="56"/>
  <c r="W42" i="56"/>
  <c r="Y10" i="57"/>
  <c r="Y12" i="57" s="1"/>
  <c r="Y29" i="56"/>
  <c r="AM46" i="41" l="1"/>
  <c r="AM28" i="60" s="1"/>
  <c r="AF87" i="41"/>
  <c r="AF67" i="41"/>
  <c r="AG64" i="41" s="1"/>
  <c r="AM39" i="41"/>
  <c r="AM27" i="60" s="1"/>
  <c r="AB49" i="41"/>
  <c r="AB54" i="41" s="1"/>
  <c r="AC58" i="41"/>
  <c r="AB47" i="56"/>
  <c r="AA20" i="56"/>
  <c r="Y41" i="56"/>
  <c r="Y33" i="56"/>
  <c r="Y35" i="56" s="1"/>
  <c r="AA91" i="41"/>
  <c r="AA93" i="41" s="1"/>
  <c r="AA94" i="41" s="1"/>
  <c r="AA80" i="41"/>
  <c r="AA81" i="41" s="1"/>
  <c r="Y21" i="57"/>
  <c r="Y22" i="57" s="1"/>
  <c r="Z19" i="57" s="1"/>
  <c r="Y24" i="57"/>
  <c r="Y25" i="57" s="1"/>
  <c r="Y28" i="56" s="1"/>
  <c r="Z53" i="56"/>
  <c r="Z56" i="56" s="1"/>
  <c r="Z58" i="56" s="1"/>
  <c r="Z65" i="56" s="1"/>
  <c r="Z24" i="56"/>
  <c r="X52" i="56"/>
  <c r="X54" i="56" s="1"/>
  <c r="X64" i="56" s="1"/>
  <c r="X38" i="56"/>
  <c r="X32" i="56"/>
  <c r="X34" i="56" s="1"/>
  <c r="X36" i="56" s="1"/>
  <c r="X61" i="56" s="1"/>
  <c r="W46" i="56"/>
  <c r="W48" i="56" s="1"/>
  <c r="W50" i="56" s="1"/>
  <c r="W63" i="56" s="1"/>
  <c r="W44" i="56"/>
  <c r="W62" i="56" s="1"/>
  <c r="AG65" i="41" l="1"/>
  <c r="AG74" i="41" s="1"/>
  <c r="Z15" i="57"/>
  <c r="Z16" i="57"/>
  <c r="Z20" i="57" s="1"/>
  <c r="Z29" i="56"/>
  <c r="Z10" i="57"/>
  <c r="Z12" i="57" s="1"/>
  <c r="Y43" i="56"/>
  <c r="Y49" i="56" s="1"/>
  <c r="AC61" i="41"/>
  <c r="AC62" i="41" s="1"/>
  <c r="Y30" i="56"/>
  <c r="AA22" i="56"/>
  <c r="AA57" i="56"/>
  <c r="AB78" i="41"/>
  <c r="AB8" i="56"/>
  <c r="AB17" i="56" s="1"/>
  <c r="AB40" i="56" s="1"/>
  <c r="AB56" i="41"/>
  <c r="AB4" i="56" s="1"/>
  <c r="AB13" i="56" s="1"/>
  <c r="AB19" i="56" s="1"/>
  <c r="X42" i="56"/>
  <c r="AG67" i="41" l="1"/>
  <c r="AH64" i="41" s="1"/>
  <c r="AH65" i="41" s="1"/>
  <c r="AG87" i="41"/>
  <c r="AD58" i="41"/>
  <c r="AC49" i="41"/>
  <c r="AC54" i="41" s="1"/>
  <c r="Y32" i="56"/>
  <c r="Y34" i="56" s="1"/>
  <c r="Y36" i="56" s="1"/>
  <c r="Y61" i="56" s="1"/>
  <c r="Y38" i="56"/>
  <c r="Y52" i="56"/>
  <c r="Y54" i="56" s="1"/>
  <c r="Y64" i="56" s="1"/>
  <c r="AA24" i="56"/>
  <c r="AA53" i="56"/>
  <c r="AA56" i="56" s="1"/>
  <c r="AA58" i="56" s="1"/>
  <c r="AA65" i="56" s="1"/>
  <c r="AB91" i="41"/>
  <c r="AB93" i="41" s="1"/>
  <c r="AB94" i="41" s="1"/>
  <c r="AB80" i="41"/>
  <c r="AB81" i="41" s="1"/>
  <c r="Z24" i="57"/>
  <c r="Z25" i="57" s="1"/>
  <c r="Z28" i="56" s="1"/>
  <c r="Z21" i="57"/>
  <c r="Z22" i="57" s="1"/>
  <c r="AA19" i="57" s="1"/>
  <c r="AC47" i="56"/>
  <c r="AB20" i="56"/>
  <c r="X46" i="56"/>
  <c r="X48" i="56" s="1"/>
  <c r="X50" i="56" s="1"/>
  <c r="X63" i="56" s="1"/>
  <c r="X44" i="56"/>
  <c r="X62" i="56" s="1"/>
  <c r="Z41" i="56"/>
  <c r="Z33" i="56"/>
  <c r="Z35" i="56" s="1"/>
  <c r="AH74" i="41" l="1"/>
  <c r="AH67" i="41"/>
  <c r="AI64" i="41" s="1"/>
  <c r="AI65" i="41"/>
  <c r="AH87" i="41"/>
  <c r="AA15" i="57"/>
  <c r="AA16" i="57"/>
  <c r="AA20" i="57"/>
  <c r="AA29" i="56"/>
  <c r="AA10" i="57"/>
  <c r="AA12" i="57" s="1"/>
  <c r="Z43" i="56"/>
  <c r="Z49" i="56" s="1"/>
  <c r="AB22" i="56"/>
  <c r="AB57" i="56"/>
  <c r="Z30" i="56"/>
  <c r="AC8" i="56"/>
  <c r="AC17" i="56" s="1"/>
  <c r="AC40" i="56" s="1"/>
  <c r="AC78" i="41"/>
  <c r="AC56" i="41"/>
  <c r="AC4" i="56" s="1"/>
  <c r="AC13" i="56" s="1"/>
  <c r="AC19" i="56" s="1"/>
  <c r="Y42" i="56"/>
  <c r="AD61" i="41"/>
  <c r="AD62" i="41" s="1"/>
  <c r="AI74" i="41" l="1"/>
  <c r="AI67" i="41"/>
  <c r="AJ64" i="41" s="1"/>
  <c r="Y44" i="56"/>
  <c r="Y62" i="56" s="1"/>
  <c r="Y46" i="56"/>
  <c r="Y48" i="56" s="1"/>
  <c r="Y50" i="56" s="1"/>
  <c r="Y63" i="56" s="1"/>
  <c r="AE58" i="41"/>
  <c r="AD49" i="41"/>
  <c r="AD54" i="41" s="1"/>
  <c r="Z32" i="56"/>
  <c r="Z34" i="56" s="1"/>
  <c r="Z36" i="56" s="1"/>
  <c r="Z61" i="56" s="1"/>
  <c r="Z38" i="56"/>
  <c r="Z52" i="56"/>
  <c r="Z54" i="56" s="1"/>
  <c r="Z64" i="56" s="1"/>
  <c r="AD47" i="56"/>
  <c r="AC20" i="56"/>
  <c r="AC91" i="41"/>
  <c r="AC93" i="41" s="1"/>
  <c r="AC94" i="41" s="1"/>
  <c r="AC80" i="41"/>
  <c r="AC81" i="41" s="1"/>
  <c r="AA21" i="57"/>
  <c r="AA22" i="57" s="1"/>
  <c r="AB19" i="57" s="1"/>
  <c r="AA24" i="57"/>
  <c r="AA25" i="57" s="1"/>
  <c r="AA28" i="56" s="1"/>
  <c r="AB53" i="56"/>
  <c r="AB56" i="56" s="1"/>
  <c r="AB58" i="56" s="1"/>
  <c r="AB65" i="56" s="1"/>
  <c r="AB24" i="56"/>
  <c r="AA33" i="56"/>
  <c r="AA35" i="56" s="1"/>
  <c r="AA41" i="56"/>
  <c r="AJ65" i="41" l="1"/>
  <c r="AI87" i="41"/>
  <c r="AB29" i="56"/>
  <c r="AB10" i="57"/>
  <c r="AB12" i="57" s="1"/>
  <c r="AA30" i="56"/>
  <c r="AE61" i="41"/>
  <c r="AE62" i="41" s="1"/>
  <c r="AD78" i="41"/>
  <c r="AD8" i="56"/>
  <c r="AD17" i="56" s="1"/>
  <c r="AD40" i="56" s="1"/>
  <c r="AD56" i="41"/>
  <c r="AD4" i="56" s="1"/>
  <c r="AD13" i="56" s="1"/>
  <c r="AD19" i="56" s="1"/>
  <c r="AA43" i="56"/>
  <c r="AA49" i="56" s="1"/>
  <c r="AB15" i="57"/>
  <c r="AB16" i="57"/>
  <c r="AB20" i="57" s="1"/>
  <c r="AC22" i="56"/>
  <c r="AC57" i="56"/>
  <c r="Z42" i="56"/>
  <c r="AJ74" i="41" l="1"/>
  <c r="AJ67" i="41"/>
  <c r="AK64" i="41" s="1"/>
  <c r="AE49" i="41"/>
  <c r="AE54" i="41" s="1"/>
  <c r="AF58" i="41"/>
  <c r="AC53" i="56"/>
  <c r="AC56" i="56" s="1"/>
  <c r="AC58" i="56" s="1"/>
  <c r="AC65" i="56" s="1"/>
  <c r="AC24" i="56"/>
  <c r="AE47" i="56"/>
  <c r="AD20" i="56"/>
  <c r="Z46" i="56"/>
  <c r="Z48" i="56" s="1"/>
  <c r="Z50" i="56" s="1"/>
  <c r="Z63" i="56" s="1"/>
  <c r="Z44" i="56"/>
  <c r="Z62" i="56" s="1"/>
  <c r="AA38" i="56"/>
  <c r="AA32" i="56"/>
  <c r="AA34" i="56" s="1"/>
  <c r="AA36" i="56" s="1"/>
  <c r="AA61" i="56" s="1"/>
  <c r="AA52" i="56"/>
  <c r="AA54" i="56" s="1"/>
  <c r="AA64" i="56" s="1"/>
  <c r="AB21" i="57"/>
  <c r="AB22" i="57" s="1"/>
  <c r="AC19" i="57" s="1"/>
  <c r="AB24" i="57"/>
  <c r="AB25" i="57" s="1"/>
  <c r="AB28" i="56" s="1"/>
  <c r="AD91" i="41"/>
  <c r="AD93" i="41" s="1"/>
  <c r="AD94" i="41" s="1"/>
  <c r="AD80" i="41"/>
  <c r="AD81" i="41" s="1"/>
  <c r="AB41" i="56"/>
  <c r="AB33" i="56"/>
  <c r="AB35" i="56" s="1"/>
  <c r="AK65" i="41" l="1"/>
  <c r="AK74" i="41" s="1"/>
  <c r="AK67" i="41"/>
  <c r="AL64" i="41" s="1"/>
  <c r="AJ87" i="41"/>
  <c r="AC15" i="57"/>
  <c r="AC16" i="57"/>
  <c r="AC20" i="57" s="1"/>
  <c r="AA42" i="56"/>
  <c r="AF61" i="41"/>
  <c r="AF62" i="41" s="1"/>
  <c r="AB43" i="56"/>
  <c r="AB49" i="56" s="1"/>
  <c r="AD57" i="56"/>
  <c r="AD22" i="56"/>
  <c r="AB30" i="56"/>
  <c r="AC10" i="57"/>
  <c r="AC12" i="57" s="1"/>
  <c r="AC29" i="56"/>
  <c r="AE8" i="56"/>
  <c r="AE17" i="56" s="1"/>
  <c r="AE40" i="56" s="1"/>
  <c r="AE78" i="41"/>
  <c r="AE56" i="41"/>
  <c r="AE4" i="56" s="1"/>
  <c r="AE13" i="56" s="1"/>
  <c r="AE19" i="56" s="1"/>
  <c r="AL65" i="41" l="1"/>
  <c r="AK87" i="41"/>
  <c r="AF47" i="56"/>
  <c r="AE20" i="56"/>
  <c r="AA46" i="56"/>
  <c r="AA48" i="56" s="1"/>
  <c r="AA50" i="56" s="1"/>
  <c r="AA63" i="56" s="1"/>
  <c r="AA44" i="56"/>
  <c r="AA62" i="56" s="1"/>
  <c r="AE91" i="41"/>
  <c r="AE93" i="41" s="1"/>
  <c r="AE94" i="41" s="1"/>
  <c r="AE80" i="41"/>
  <c r="AE81" i="41" s="1"/>
  <c r="AD53" i="56"/>
  <c r="AD56" i="56" s="1"/>
  <c r="AD58" i="56" s="1"/>
  <c r="AD65" i="56" s="1"/>
  <c r="AD24" i="56"/>
  <c r="AG58" i="41"/>
  <c r="AF49" i="41"/>
  <c r="AF54" i="41" s="1"/>
  <c r="AC21" i="57"/>
  <c r="AC22" i="57" s="1"/>
  <c r="AD19" i="57" s="1"/>
  <c r="AC24" i="57"/>
  <c r="AC25" i="57" s="1"/>
  <c r="AC28" i="56" s="1"/>
  <c r="AC41" i="56"/>
  <c r="AC33" i="56"/>
  <c r="AC35" i="56" s="1"/>
  <c r="AB32" i="56"/>
  <c r="AB34" i="56" s="1"/>
  <c r="AB36" i="56" s="1"/>
  <c r="AB61" i="56" s="1"/>
  <c r="AB52" i="56"/>
  <c r="AB54" i="56" s="1"/>
  <c r="AB64" i="56" s="1"/>
  <c r="AB38" i="56"/>
  <c r="AL74" i="41" l="1"/>
  <c r="AL67" i="41"/>
  <c r="AM64" i="41" s="1"/>
  <c r="AC30" i="56"/>
  <c r="AD16" i="57"/>
  <c r="AD20" i="57" s="1"/>
  <c r="AD15" i="57"/>
  <c r="AD29" i="56"/>
  <c r="AD10" i="57"/>
  <c r="AD12" i="57" s="1"/>
  <c r="AE22" i="56"/>
  <c r="AE57" i="56"/>
  <c r="AF78" i="41"/>
  <c r="AF8" i="56"/>
  <c r="AF17" i="56" s="1"/>
  <c r="AF40" i="56" s="1"/>
  <c r="AF56" i="41"/>
  <c r="AF4" i="56" s="1"/>
  <c r="AF13" i="56" s="1"/>
  <c r="AF19" i="56" s="1"/>
  <c r="AB42" i="56"/>
  <c r="AC43" i="56"/>
  <c r="AC49" i="56" s="1"/>
  <c r="AG61" i="41"/>
  <c r="AG62" i="41" s="1"/>
  <c r="AM65" i="41" l="1"/>
  <c r="AL87" i="41"/>
  <c r="AG47" i="56"/>
  <c r="AF20" i="56"/>
  <c r="AE53" i="56"/>
  <c r="AE56" i="56" s="1"/>
  <c r="AE58" i="56" s="1"/>
  <c r="AE65" i="56" s="1"/>
  <c r="AE24" i="56"/>
  <c r="AF91" i="41"/>
  <c r="AF93" i="41" s="1"/>
  <c r="AF94" i="41" s="1"/>
  <c r="AF80" i="41"/>
  <c r="AF81" i="41" s="1"/>
  <c r="AD41" i="56"/>
  <c r="AD33" i="56"/>
  <c r="AD35" i="56" s="1"/>
  <c r="AD24" i="57"/>
  <c r="AD25" i="57" s="1"/>
  <c r="AD28" i="56" s="1"/>
  <c r="AD21" i="57"/>
  <c r="AD22" i="57" s="1"/>
  <c r="AE19" i="57" s="1"/>
  <c r="AH58" i="41"/>
  <c r="AG49" i="41"/>
  <c r="AG54" i="41" s="1"/>
  <c r="AB46" i="56"/>
  <c r="AB48" i="56" s="1"/>
  <c r="AB50" i="56" s="1"/>
  <c r="AB63" i="56" s="1"/>
  <c r="AB44" i="56"/>
  <c r="AB62" i="56" s="1"/>
  <c r="AC52" i="56"/>
  <c r="AC54" i="56" s="1"/>
  <c r="AC64" i="56" s="1"/>
  <c r="AC32" i="56"/>
  <c r="AC34" i="56" s="1"/>
  <c r="AC36" i="56" s="1"/>
  <c r="AC61" i="56" s="1"/>
  <c r="AC38" i="56"/>
  <c r="AM74" i="41" l="1"/>
  <c r="AM67" i="41"/>
  <c r="AE15" i="57"/>
  <c r="AE16" i="57"/>
  <c r="AE20" i="57" s="1"/>
  <c r="AG8" i="56"/>
  <c r="AG17" i="56" s="1"/>
  <c r="AG40" i="56" s="1"/>
  <c r="AG78" i="41"/>
  <c r="AG56" i="41"/>
  <c r="AG4" i="56" s="1"/>
  <c r="AG13" i="56" s="1"/>
  <c r="AG19" i="56" s="1"/>
  <c r="AC42" i="56"/>
  <c r="AD30" i="56"/>
  <c r="AF57" i="56"/>
  <c r="AF22" i="56"/>
  <c r="AH61" i="41"/>
  <c r="AH62" i="41"/>
  <c r="AD43" i="56"/>
  <c r="AD49" i="56" s="1"/>
  <c r="AE29" i="56"/>
  <c r="AE10" i="57"/>
  <c r="AE12" i="57" s="1"/>
  <c r="AM87" i="41" l="1"/>
  <c r="AC44" i="56"/>
  <c r="AC62" i="56" s="1"/>
  <c r="AC46" i="56"/>
  <c r="AC48" i="56" s="1"/>
  <c r="AC50" i="56" s="1"/>
  <c r="AC63" i="56" s="1"/>
  <c r="AH47" i="56"/>
  <c r="AG20" i="56"/>
  <c r="AE21" i="57"/>
  <c r="AE22" i="57" s="1"/>
  <c r="AF19" i="57" s="1"/>
  <c r="AE24" i="57"/>
  <c r="AE25" i="57" s="1"/>
  <c r="AE28" i="56" s="1"/>
  <c r="AI58" i="41"/>
  <c r="AH49" i="41"/>
  <c r="AH54" i="41" s="1"/>
  <c r="AD32" i="56"/>
  <c r="AD34" i="56" s="1"/>
  <c r="AD36" i="56" s="1"/>
  <c r="AD61" i="56" s="1"/>
  <c r="AD38" i="56"/>
  <c r="AD52" i="56"/>
  <c r="AD54" i="56" s="1"/>
  <c r="AD64" i="56" s="1"/>
  <c r="AE33" i="56"/>
  <c r="AE35" i="56" s="1"/>
  <c r="AE41" i="56"/>
  <c r="AG91" i="41"/>
  <c r="AG93" i="41" s="1"/>
  <c r="AG94" i="41" s="1"/>
  <c r="AG80" i="41"/>
  <c r="AG81" i="41" s="1"/>
  <c r="AF53" i="56"/>
  <c r="AF56" i="56" s="1"/>
  <c r="AF58" i="56" s="1"/>
  <c r="AF65" i="56" s="1"/>
  <c r="AF24" i="56"/>
  <c r="AF16" i="57" l="1"/>
  <c r="AF20" i="57" s="1"/>
  <c r="AF15" i="57"/>
  <c r="AE30" i="56"/>
  <c r="AE43" i="56"/>
  <c r="AE49" i="56" s="1"/>
  <c r="AD42" i="56"/>
  <c r="AF10" i="57"/>
  <c r="AF12" i="57" s="1"/>
  <c r="AF29" i="56"/>
  <c r="AH78" i="41"/>
  <c r="AH8" i="56"/>
  <c r="AH17" i="56" s="1"/>
  <c r="AH40" i="56" s="1"/>
  <c r="AH56" i="41"/>
  <c r="AH4" i="56" s="1"/>
  <c r="AH13" i="56" s="1"/>
  <c r="AH19" i="56" s="1"/>
  <c r="AG57" i="56"/>
  <c r="AG22" i="56"/>
  <c r="AI61" i="41"/>
  <c r="AI62" i="41" s="1"/>
  <c r="AF33" i="56" l="1"/>
  <c r="AF35" i="56" s="1"/>
  <c r="AF41" i="56"/>
  <c r="AI47" i="56"/>
  <c r="AH20" i="56"/>
  <c r="AF21" i="57"/>
  <c r="AF22" i="57" s="1"/>
  <c r="AG19" i="57" s="1"/>
  <c r="AF24" i="57"/>
  <c r="AF25" i="57" s="1"/>
  <c r="AF28" i="56" s="1"/>
  <c r="AE32" i="56"/>
  <c r="AE34" i="56" s="1"/>
  <c r="AE36" i="56" s="1"/>
  <c r="AE61" i="56" s="1"/>
  <c r="AE52" i="56"/>
  <c r="AE54" i="56" s="1"/>
  <c r="AE64" i="56" s="1"/>
  <c r="AE38" i="56"/>
  <c r="AI49" i="41"/>
  <c r="AI54" i="41" s="1"/>
  <c r="AJ58" i="41"/>
  <c r="AG24" i="56"/>
  <c r="AG53" i="56"/>
  <c r="AG56" i="56" s="1"/>
  <c r="AG58" i="56" s="1"/>
  <c r="AG65" i="56" s="1"/>
  <c r="AH91" i="41"/>
  <c r="AH93" i="41" s="1"/>
  <c r="AH94" i="41" s="1"/>
  <c r="AH80" i="41"/>
  <c r="AH81" i="41" s="1"/>
  <c r="AD46" i="56"/>
  <c r="AD48" i="56" s="1"/>
  <c r="AD50" i="56" s="1"/>
  <c r="AD63" i="56" s="1"/>
  <c r="AD44" i="56"/>
  <c r="AD62" i="56" s="1"/>
  <c r="AG16" i="57" l="1"/>
  <c r="AG20" i="57" s="1"/>
  <c r="AG15" i="57"/>
  <c r="AF30" i="56"/>
  <c r="AI78" i="41"/>
  <c r="AI8" i="56"/>
  <c r="AI17" i="56" s="1"/>
  <c r="AI40" i="56" s="1"/>
  <c r="AI56" i="41"/>
  <c r="AI4" i="56" s="1"/>
  <c r="AI13" i="56" s="1"/>
  <c r="AI19" i="56" s="1"/>
  <c r="AE42" i="56"/>
  <c r="AF43" i="56"/>
  <c r="AF49" i="56" s="1"/>
  <c r="AG10" i="57"/>
  <c r="AG12" i="57" s="1"/>
  <c r="AG29" i="56"/>
  <c r="AH57" i="56"/>
  <c r="AH22" i="56"/>
  <c r="AJ61" i="41"/>
  <c r="AJ62" i="41" s="1"/>
  <c r="AK58" i="41" l="1"/>
  <c r="AJ49" i="41"/>
  <c r="AJ54" i="41" s="1"/>
  <c r="AG41" i="56"/>
  <c r="AG33" i="56"/>
  <c r="AG35" i="56" s="1"/>
  <c r="AE46" i="56"/>
  <c r="AE48" i="56" s="1"/>
  <c r="AE50" i="56" s="1"/>
  <c r="AE63" i="56" s="1"/>
  <c r="AE44" i="56"/>
  <c r="AE62" i="56" s="1"/>
  <c r="AI91" i="41"/>
  <c r="AI93" i="41" s="1"/>
  <c r="AI94" i="41" s="1"/>
  <c r="AI80" i="41"/>
  <c r="AI81" i="41" s="1"/>
  <c r="AF32" i="56"/>
  <c r="AF34" i="56" s="1"/>
  <c r="AF36" i="56" s="1"/>
  <c r="AF61" i="56" s="1"/>
  <c r="AF38" i="56"/>
  <c r="AF52" i="56"/>
  <c r="AF54" i="56" s="1"/>
  <c r="AF64" i="56" s="1"/>
  <c r="AG21" i="57"/>
  <c r="AG22" i="57" s="1"/>
  <c r="AH19" i="57" s="1"/>
  <c r="AG24" i="57"/>
  <c r="AG25" i="57" s="1"/>
  <c r="AG28" i="56" s="1"/>
  <c r="AH24" i="56"/>
  <c r="AH53" i="56"/>
  <c r="AH56" i="56" s="1"/>
  <c r="AH58" i="56" s="1"/>
  <c r="AH65" i="56" s="1"/>
  <c r="AJ47" i="56"/>
  <c r="AI20" i="56"/>
  <c r="AH15" i="57" l="1"/>
  <c r="AH16" i="57"/>
  <c r="AH20" i="57" s="1"/>
  <c r="AG43" i="56"/>
  <c r="AG49" i="56" s="1"/>
  <c r="AH10" i="57"/>
  <c r="AH12" i="57" s="1"/>
  <c r="AH29" i="56"/>
  <c r="AF42" i="56"/>
  <c r="AJ8" i="56"/>
  <c r="AJ17" i="56" s="1"/>
  <c r="AJ40" i="56" s="1"/>
  <c r="AJ78" i="41"/>
  <c r="AJ56" i="41"/>
  <c r="AJ4" i="56" s="1"/>
  <c r="AJ13" i="56" s="1"/>
  <c r="AJ19" i="56" s="1"/>
  <c r="AI22" i="56"/>
  <c r="AI57" i="56"/>
  <c r="AG30" i="56"/>
  <c r="AK61" i="41"/>
  <c r="AK62" i="41" s="1"/>
  <c r="AK49" i="41" l="1"/>
  <c r="AK54" i="41" s="1"/>
  <c r="AL58" i="41"/>
  <c r="AJ91" i="41"/>
  <c r="AJ93" i="41" s="1"/>
  <c r="AJ94" i="41" s="1"/>
  <c r="AJ80" i="41"/>
  <c r="AJ81" i="41" s="1"/>
  <c r="AH24" i="57"/>
  <c r="AH25" i="57" s="1"/>
  <c r="AH28" i="56" s="1"/>
  <c r="AH21" i="57"/>
  <c r="AH22" i="57" s="1"/>
  <c r="AI19" i="57" s="1"/>
  <c r="AH41" i="56"/>
  <c r="AH33" i="56"/>
  <c r="AH35" i="56" s="1"/>
  <c r="AI53" i="56"/>
  <c r="AI56" i="56" s="1"/>
  <c r="AI58" i="56" s="1"/>
  <c r="AI65" i="56" s="1"/>
  <c r="AI24" i="56"/>
  <c r="AG38" i="56"/>
  <c r="AG32" i="56"/>
  <c r="AG34" i="56" s="1"/>
  <c r="AG36" i="56" s="1"/>
  <c r="AG61" i="56" s="1"/>
  <c r="AG52" i="56"/>
  <c r="AG54" i="56" s="1"/>
  <c r="AG64" i="56" s="1"/>
  <c r="AK47" i="56"/>
  <c r="AJ20" i="56"/>
  <c r="AF44" i="56"/>
  <c r="AF62" i="56" s="1"/>
  <c r="AF46" i="56"/>
  <c r="AF48" i="56" s="1"/>
  <c r="AF50" i="56" s="1"/>
  <c r="AF63" i="56" s="1"/>
  <c r="AI15" i="57" l="1"/>
  <c r="AI16" i="57"/>
  <c r="AI20" i="57" s="1"/>
  <c r="AG42" i="56"/>
  <c r="AH43" i="56"/>
  <c r="AH49" i="56" s="1"/>
  <c r="AI29" i="56"/>
  <c r="AI10" i="57"/>
  <c r="AI12" i="57" s="1"/>
  <c r="AH30" i="56"/>
  <c r="AL61" i="41"/>
  <c r="AL62" i="41"/>
  <c r="AJ57" i="56"/>
  <c r="AJ22" i="56"/>
  <c r="AK8" i="56"/>
  <c r="AK17" i="56" s="1"/>
  <c r="AK40" i="56" s="1"/>
  <c r="AK78" i="41"/>
  <c r="AK56" i="41"/>
  <c r="AK4" i="56" s="1"/>
  <c r="AK13" i="56" s="1"/>
  <c r="AK19" i="56" s="1"/>
  <c r="AH38" i="56" l="1"/>
  <c r="AH52" i="56"/>
  <c r="AH54" i="56" s="1"/>
  <c r="AH64" i="56" s="1"/>
  <c r="AH32" i="56"/>
  <c r="AH34" i="56" s="1"/>
  <c r="AH36" i="56" s="1"/>
  <c r="AH61" i="56" s="1"/>
  <c r="AL47" i="56"/>
  <c r="AK20" i="56"/>
  <c r="AK91" i="41"/>
  <c r="AK93" i="41" s="1"/>
  <c r="AK94" i="41" s="1"/>
  <c r="AK80" i="41"/>
  <c r="AK81" i="41" s="1"/>
  <c r="AM58" i="41"/>
  <c r="AL49" i="41"/>
  <c r="AL54" i="41" s="1"/>
  <c r="AI24" i="57"/>
  <c r="AI25" i="57" s="1"/>
  <c r="AI28" i="56" s="1"/>
  <c r="AI21" i="57"/>
  <c r="AI22" i="57" s="1"/>
  <c r="AJ19" i="57" s="1"/>
  <c r="AJ53" i="56"/>
  <c r="AJ56" i="56" s="1"/>
  <c r="AJ58" i="56" s="1"/>
  <c r="AJ65" i="56" s="1"/>
  <c r="AJ24" i="56"/>
  <c r="AI33" i="56"/>
  <c r="AI35" i="56" s="1"/>
  <c r="AI41" i="56"/>
  <c r="AG46" i="56"/>
  <c r="AG48" i="56" s="1"/>
  <c r="AG50" i="56" s="1"/>
  <c r="AG63" i="56" s="1"/>
  <c r="AG44" i="56"/>
  <c r="AG62" i="56" s="1"/>
  <c r="AJ15" i="57" l="1"/>
  <c r="AJ16" i="57"/>
  <c r="AJ20" i="57" s="1"/>
  <c r="AI30" i="56"/>
  <c r="AL78" i="41"/>
  <c r="AL8" i="56"/>
  <c r="AL17" i="56" s="1"/>
  <c r="AL40" i="56" s="1"/>
  <c r="AL56" i="41"/>
  <c r="AL4" i="56" s="1"/>
  <c r="AL13" i="56" s="1"/>
  <c r="AL19" i="56" s="1"/>
  <c r="AK22" i="56"/>
  <c r="AK57" i="56"/>
  <c r="AM61" i="41"/>
  <c r="AM62" i="41" s="1"/>
  <c r="AM49" i="41" s="1"/>
  <c r="AM54" i="41" s="1"/>
  <c r="AH42" i="56"/>
  <c r="AJ10" i="57"/>
  <c r="AJ12" i="57" s="1"/>
  <c r="AJ29" i="56"/>
  <c r="AI43" i="56"/>
  <c r="AI49" i="56" s="1"/>
  <c r="AM78" i="41" l="1"/>
  <c r="AM8" i="56"/>
  <c r="AM17" i="56" s="1"/>
  <c r="AM40" i="56" s="1"/>
  <c r="AM56" i="41"/>
  <c r="AM4" i="56" s="1"/>
  <c r="AM13" i="56" s="1"/>
  <c r="AM19" i="56" s="1"/>
  <c r="AM20" i="56" s="1"/>
  <c r="AH46" i="56"/>
  <c r="AH48" i="56" s="1"/>
  <c r="AH50" i="56" s="1"/>
  <c r="AH63" i="56" s="1"/>
  <c r="AH44" i="56"/>
  <c r="AH62" i="56" s="1"/>
  <c r="AL91" i="41"/>
  <c r="AL93" i="41" s="1"/>
  <c r="AL94" i="41" s="1"/>
  <c r="AL80" i="41"/>
  <c r="AL81" i="41" s="1"/>
  <c r="AK53" i="56"/>
  <c r="AK56" i="56" s="1"/>
  <c r="AK58" i="56" s="1"/>
  <c r="AK65" i="56" s="1"/>
  <c r="AK24" i="56"/>
  <c r="AI52" i="56"/>
  <c r="AI54" i="56" s="1"/>
  <c r="AI64" i="56" s="1"/>
  <c r="AI38" i="56"/>
  <c r="AI32" i="56"/>
  <c r="AI34" i="56" s="1"/>
  <c r="AI36" i="56" s="1"/>
  <c r="AI61" i="56" s="1"/>
  <c r="AJ24" i="57"/>
  <c r="AJ25" i="57" s="1"/>
  <c r="AJ28" i="56" s="1"/>
  <c r="AJ21" i="57"/>
  <c r="AJ22" i="57" s="1"/>
  <c r="AK19" i="57" s="1"/>
  <c r="AJ41" i="56"/>
  <c r="AJ33" i="56"/>
  <c r="AJ35" i="56" s="1"/>
  <c r="AM47" i="56"/>
  <c r="AL20" i="56"/>
  <c r="AK15" i="57" l="1"/>
  <c r="AK16" i="57"/>
  <c r="AK20" i="57" s="1"/>
  <c r="AJ30" i="56"/>
  <c r="AK29" i="56"/>
  <c r="AK10" i="57"/>
  <c r="AK12" i="57" s="1"/>
  <c r="AL57" i="56"/>
  <c r="AL22" i="56"/>
  <c r="AJ43" i="56"/>
  <c r="AJ49" i="56" s="1"/>
  <c r="AI42" i="56"/>
  <c r="AM22" i="56"/>
  <c r="AM57" i="56"/>
  <c r="AM91" i="41"/>
  <c r="AM93" i="41" s="1"/>
  <c r="AM94" i="41" s="1"/>
  <c r="AM80" i="41"/>
  <c r="AM81" i="41" s="1"/>
  <c r="AK21" i="57" l="1"/>
  <c r="AK22" i="57" s="1"/>
  <c r="AL19" i="57" s="1"/>
  <c r="AK24" i="57"/>
  <c r="AK25" i="57" s="1"/>
  <c r="AK28" i="56" s="1"/>
  <c r="AI46" i="56"/>
  <c r="AI48" i="56" s="1"/>
  <c r="AI50" i="56" s="1"/>
  <c r="AI63" i="56" s="1"/>
  <c r="AI44" i="56"/>
  <c r="AI62" i="56" s="1"/>
  <c r="AM53" i="56"/>
  <c r="AM56" i="56" s="1"/>
  <c r="AM58" i="56" s="1"/>
  <c r="AM65" i="56" s="1"/>
  <c r="AM24" i="56"/>
  <c r="AK33" i="56"/>
  <c r="AK35" i="56" s="1"/>
  <c r="AK41" i="56"/>
  <c r="AL24" i="56"/>
  <c r="AL53" i="56"/>
  <c r="AL56" i="56" s="1"/>
  <c r="AL58" i="56" s="1"/>
  <c r="AL65" i="56" s="1"/>
  <c r="AJ38" i="56"/>
  <c r="AJ32" i="56"/>
  <c r="AJ34" i="56" s="1"/>
  <c r="AJ36" i="56" s="1"/>
  <c r="AJ61" i="56" s="1"/>
  <c r="AJ52" i="56"/>
  <c r="AJ54" i="56" s="1"/>
  <c r="AJ64" i="56" s="1"/>
  <c r="AL16" i="57" l="1"/>
  <c r="AL20" i="57" s="1"/>
  <c r="AL15" i="57"/>
  <c r="AM10" i="57"/>
  <c r="AM12" i="57" s="1"/>
  <c r="AM29" i="56"/>
  <c r="AK30" i="56"/>
  <c r="AJ42" i="56"/>
  <c r="AL29" i="56"/>
  <c r="AL10" i="57"/>
  <c r="AL12" i="57" s="1"/>
  <c r="AK43" i="56"/>
  <c r="AK49" i="56" s="1"/>
  <c r="AL21" i="57" l="1"/>
  <c r="AL22" i="57" s="1"/>
  <c r="AM19" i="57" s="1"/>
  <c r="AL24" i="57"/>
  <c r="AL25" i="57" s="1"/>
  <c r="AL28" i="56" s="1"/>
  <c r="AL33" i="56"/>
  <c r="AL35" i="56" s="1"/>
  <c r="AL41" i="56"/>
  <c r="AK32" i="56"/>
  <c r="AK34" i="56" s="1"/>
  <c r="AK36" i="56" s="1"/>
  <c r="AK61" i="56" s="1"/>
  <c r="AK38" i="56"/>
  <c r="AK52" i="56"/>
  <c r="AK54" i="56" s="1"/>
  <c r="AK64" i="56" s="1"/>
  <c r="AM41" i="56"/>
  <c r="AM33" i="56"/>
  <c r="AM35" i="56" s="1"/>
  <c r="AJ46" i="56"/>
  <c r="AJ48" i="56" s="1"/>
  <c r="AJ50" i="56" s="1"/>
  <c r="AJ63" i="56" s="1"/>
  <c r="AJ44" i="56"/>
  <c r="AJ62" i="56" s="1"/>
  <c r="AM24" i="57"/>
  <c r="AM25" i="57" s="1"/>
  <c r="AM28" i="56" s="1"/>
  <c r="AM21" i="57"/>
  <c r="AM15" i="57" l="1"/>
  <c r="AM16" i="57"/>
  <c r="AM20" i="57" s="1"/>
  <c r="AM22" i="57" s="1"/>
  <c r="AL30" i="56"/>
  <c r="AK42" i="56"/>
  <c r="AM30" i="56"/>
  <c r="AM43" i="56"/>
  <c r="AM49" i="56" s="1"/>
  <c r="AL43" i="56"/>
  <c r="AL49" i="56" s="1"/>
  <c r="AK44" i="56" l="1"/>
  <c r="AK62" i="56" s="1"/>
  <c r="AK46" i="56"/>
  <c r="AK48" i="56" s="1"/>
  <c r="AK50" i="56" s="1"/>
  <c r="AK63" i="56" s="1"/>
  <c r="AM38" i="56"/>
  <c r="AM52" i="56"/>
  <c r="AM54" i="56" s="1"/>
  <c r="AM64" i="56" s="1"/>
  <c r="AM32" i="56"/>
  <c r="AM34" i="56" s="1"/>
  <c r="AM36" i="56" s="1"/>
  <c r="AM61" i="56" s="1"/>
  <c r="AL52" i="56"/>
  <c r="AL54" i="56" s="1"/>
  <c r="AL64" i="56" s="1"/>
  <c r="AL38" i="56"/>
  <c r="AL32" i="56"/>
  <c r="AL34" i="56" s="1"/>
  <c r="AL36" i="56" s="1"/>
  <c r="AL61" i="56" s="1"/>
  <c r="AM42" i="56" l="1"/>
  <c r="AL42" i="56"/>
  <c r="AL46" i="56" l="1"/>
  <c r="AL48" i="56" s="1"/>
  <c r="AL50" i="56" s="1"/>
  <c r="AL63" i="56" s="1"/>
  <c r="AL44" i="56"/>
  <c r="AL62" i="56" s="1"/>
  <c r="AM46" i="56"/>
  <c r="AM48" i="56" s="1"/>
  <c r="AM50" i="56" s="1"/>
  <c r="AM63" i="56" s="1"/>
  <c r="AM44" i="56"/>
  <c r="AM62" i="56" s="1"/>
</calcChain>
</file>

<file path=xl/sharedStrings.xml><?xml version="1.0" encoding="utf-8"?>
<sst xmlns="http://schemas.openxmlformats.org/spreadsheetml/2006/main" count="547" uniqueCount="316">
  <si>
    <t>TRV</t>
  </si>
  <si>
    <t>Q</t>
  </si>
  <si>
    <t>CC</t>
  </si>
  <si>
    <t>DAV</t>
  </si>
  <si>
    <t>PA</t>
  </si>
  <si>
    <t>Inclusions of overspend in DAVt</t>
  </si>
  <si>
    <t>remaining average life</t>
  </si>
  <si>
    <t>Capex</t>
  </si>
  <si>
    <t>Cashflows</t>
  </si>
  <si>
    <t>Closing DAV</t>
  </si>
  <si>
    <t>Real Return pa</t>
  </si>
  <si>
    <t>Discount Factor (Yr End)</t>
  </si>
  <si>
    <t>Opex</t>
  </si>
  <si>
    <t>Allowed Revenue</t>
  </si>
  <si>
    <t>Discounted Cashflow</t>
  </si>
  <si>
    <t>Total Regulatory Value (TRV)</t>
  </si>
  <si>
    <t>Adjusted Cashflows</t>
  </si>
  <si>
    <t>Closing TRV (Incl Return)</t>
  </si>
  <si>
    <t>Calculated PA</t>
  </si>
  <si>
    <t>Volumes (therms '000)</t>
  </si>
  <si>
    <t>Capex Creditor</t>
  </si>
  <si>
    <t>Working Capital Adjustment</t>
  </si>
  <si>
    <t>£/therm</t>
  </si>
  <si>
    <t>Opening DAV (Incl Rolling Capex Incentive)</t>
  </si>
  <si>
    <t>Allowed Capex Overspend</t>
  </si>
  <si>
    <t>Volumes (Therms)</t>
  </si>
  <si>
    <t>P1</t>
  </si>
  <si>
    <t>P2</t>
  </si>
  <si>
    <t>Contract</t>
  </si>
  <si>
    <t>Q &amp; CC</t>
  </si>
  <si>
    <t>Core asset depreciation</t>
  </si>
  <si>
    <t>PMICR</t>
  </si>
  <si>
    <t>Tax</t>
  </si>
  <si>
    <t>Interest</t>
  </si>
  <si>
    <t>Losses</t>
  </si>
  <si>
    <t>Debt</t>
  </si>
  <si>
    <t>Average debt</t>
  </si>
  <si>
    <t>Average TRV</t>
  </si>
  <si>
    <t>Opening:</t>
  </si>
  <si>
    <t>Return on in year cashflow:</t>
  </si>
  <si>
    <t>Return on in year opening:</t>
  </si>
  <si>
    <t>Closing:</t>
  </si>
  <si>
    <t>Cashflow</t>
  </si>
  <si>
    <t>Opening TRV incl. return</t>
  </si>
  <si>
    <t xml:space="preserve">DAV </t>
  </si>
  <si>
    <t xml:space="preserve">PA </t>
  </si>
  <si>
    <t>Domestic/Very Small IC</t>
  </si>
  <si>
    <t>V Dom/Very Small IC Tariff (&lt;2,500 tpa) (P1)</t>
  </si>
  <si>
    <t>V Small/Med Tariff IC (2,500 - 25k tpa) (P2)</t>
  </si>
  <si>
    <t>Small/Medium IC</t>
  </si>
  <si>
    <t>V Large Tariff (25k tpa - 75k tpa) (P3)</t>
  </si>
  <si>
    <t>V Contract IC (&gt;75k tpa) (P4)</t>
  </si>
  <si>
    <t>P Dom/Very Small IC Tariff (&lt;2,500 tpa) (P1)</t>
  </si>
  <si>
    <t>P Small/Med Tariff IC (2,500 - 25k tpa) (P2)</t>
  </si>
  <si>
    <t>P Large Tariff (25k tpa - 75k tpa) (P3)</t>
  </si>
  <si>
    <t>P Contract IC (&gt;75k tpa) (P4)</t>
  </si>
  <si>
    <t xml:space="preserve">Large IC </t>
  </si>
  <si>
    <t>P3</t>
  </si>
  <si>
    <t>P4</t>
  </si>
  <si>
    <t>Real Return</t>
  </si>
  <si>
    <t>Year</t>
  </si>
  <si>
    <t>Opening DAV/TRV (2023)</t>
  </si>
  <si>
    <t>TRV GD17 debt adjusted WACC adjustment</t>
  </si>
  <si>
    <t xml:space="preserve">Rolling </t>
  </si>
  <si>
    <t>Opening DAV (excl Rolling Capex Incentive)</t>
  </si>
  <si>
    <t>Total Volume</t>
  </si>
  <si>
    <t>GD23 Allowed Revenue</t>
  </si>
  <si>
    <t>Profile adjustment movement</t>
  </si>
  <si>
    <t>Financial Year Corporation Tax Rate:</t>
  </si>
  <si>
    <t>Calendar Year Corporation Tax Rate:</t>
  </si>
  <si>
    <t>Revenue:</t>
  </si>
  <si>
    <t>Less opex:</t>
  </si>
  <si>
    <t>Less interest:</t>
  </si>
  <si>
    <t>Less capital allowances:</t>
  </si>
  <si>
    <t>Profits attributable to corporation tax:</t>
  </si>
  <si>
    <t>Total For Capital Allowances</t>
  </si>
  <si>
    <t>Capital Allowances Pro-Rata Percentages</t>
  </si>
  <si>
    <t>Plant &amp; Machinery (inc ECA) 18%</t>
  </si>
  <si>
    <t>Long Life Assets - Plant &amp; Machinery 6%</t>
  </si>
  <si>
    <t>Structures &amp; Buildings Allowance 2%</t>
  </si>
  <si>
    <t>Assets qualifying as 'IRE'</t>
  </si>
  <si>
    <t>Assets qualifying as 'DRE'</t>
  </si>
  <si>
    <t>Assets not qualifying for capital allowances or revenue deductions</t>
  </si>
  <si>
    <t>GENERAL POOL</t>
  </si>
  <si>
    <t>General Pool Brought Forward</t>
  </si>
  <si>
    <t>Total</t>
  </si>
  <si>
    <t>Capital Allowances at 18%</t>
  </si>
  <si>
    <t>General Pool Closing Balance</t>
  </si>
  <si>
    <t>SUPER DEDUCTION POOL</t>
  </si>
  <si>
    <t>Additions</t>
  </si>
  <si>
    <t>Capital Allowances at 130%</t>
  </si>
  <si>
    <t>LONG LIFE ASSET POOL</t>
  </si>
  <si>
    <t>Long Life Pool Brought Forward</t>
  </si>
  <si>
    <t>Capital Allowances at 6%</t>
  </si>
  <si>
    <t>LLA Closing Balance</t>
  </si>
  <si>
    <t>Total Allowances</t>
  </si>
  <si>
    <t>Losses brought forward</t>
  </si>
  <si>
    <t>Losses used in the period</t>
  </si>
  <si>
    <t>Losses carried forward</t>
  </si>
  <si>
    <t>Adjusted profit</t>
  </si>
  <si>
    <t>Revenue</t>
  </si>
  <si>
    <t>Funds from operations (FFO)</t>
  </si>
  <si>
    <t>FFO</t>
  </si>
  <si>
    <t>FFO Excluding Interest</t>
  </si>
  <si>
    <t>FFO Interest Cover</t>
  </si>
  <si>
    <t>Post Maintenance FFO</t>
  </si>
  <si>
    <t>Net Debt</t>
  </si>
  <si>
    <t>FFO / Net Debt</t>
  </si>
  <si>
    <t>RCV</t>
  </si>
  <si>
    <t>Gearing</t>
  </si>
  <si>
    <t>Financeability Summary</t>
  </si>
  <si>
    <t>Operating  costs</t>
  </si>
  <si>
    <t>General</t>
  </si>
  <si>
    <t>Long life</t>
  </si>
  <si>
    <t>Tax Assumptions</t>
  </si>
  <si>
    <t>General Pool Opening Balance</t>
  </si>
  <si>
    <t>Long Life Pool Opening Balance</t>
  </si>
  <si>
    <t xml:space="preserve">Assets Qualifying for 100% FYA </t>
  </si>
  <si>
    <t>SBA Pool Opening Balance</t>
  </si>
  <si>
    <t>Discounted DAV2046</t>
  </si>
  <si>
    <t>Discounted Capital Creditors (CC2046)</t>
  </si>
  <si>
    <t>Discounted Working Capital Adjustment (Q2046)</t>
  </si>
  <si>
    <t>Assets Qualifying for 100% AIA</t>
  </si>
  <si>
    <t>Annual Investment Allowance</t>
  </si>
  <si>
    <t>Special Rate Pool</t>
  </si>
  <si>
    <t>Contributions</t>
  </si>
  <si>
    <t>Remaining balance for pools</t>
  </si>
  <si>
    <t>Capital Allowances at 50%</t>
  </si>
  <si>
    <t>Addback remaining balance from SR Pool</t>
  </si>
  <si>
    <t>Super Deduction Pool</t>
  </si>
  <si>
    <t>SR Pool</t>
  </si>
  <si>
    <t>TOTAL ALLOWANCES</t>
  </si>
  <si>
    <t>Total Capex</t>
  </si>
  <si>
    <t>Capex 40 Year</t>
  </si>
  <si>
    <t>Capex 15 Year</t>
  </si>
  <si>
    <t>Capex 5 Year</t>
  </si>
  <si>
    <t>Capex 35 Year - Services</t>
  </si>
  <si>
    <t>Capex 40 Year - TMA</t>
  </si>
  <si>
    <t>Annual Depreciation Capex 40 Year</t>
  </si>
  <si>
    <t>Annual Depreciation Capex 15 Year</t>
  </si>
  <si>
    <t>Annual Depreciation Capex 5 Year</t>
  </si>
  <si>
    <t>Annual Depreciation Capex 35 Year - Services</t>
  </si>
  <si>
    <t>Annual Depreciation Capex 40 Year - TMA</t>
  </si>
  <si>
    <t>Depreciation Capex 40 Year</t>
  </si>
  <si>
    <t>Depreciation Capex 15 Year</t>
  </si>
  <si>
    <t>Depreciation Capex 5 Year</t>
  </si>
  <si>
    <t>Depreciation Capex 35 Year - Services</t>
  </si>
  <si>
    <t>Depreciation Capex 40 Year - TMA</t>
  </si>
  <si>
    <t>Depreciation Opening DAV</t>
  </si>
  <si>
    <t>Depreciation Overspend</t>
  </si>
  <si>
    <t>Opening DAV</t>
  </si>
  <si>
    <t>GD17 UM Adjusted - 2014 Prices</t>
  </si>
  <si>
    <t>UM Adjusted  - 2020 Prices</t>
  </si>
  <si>
    <t>GD14 UM Adjusted  - 2012 Prices</t>
  </si>
  <si>
    <t>Actual Capex - 2020 Prices</t>
  </si>
  <si>
    <t>Capex for DAV</t>
  </si>
  <si>
    <t>Underspend /  Overspend</t>
  </si>
  <si>
    <t>Depreciation Years</t>
  </si>
  <si>
    <t>Annual Depreciation</t>
  </si>
  <si>
    <t>Calculation to add to DAV in 5 years</t>
  </si>
  <si>
    <t>Input from Previous controls  - £</t>
  </si>
  <si>
    <t>Input from Previous controls  - years</t>
  </si>
  <si>
    <t>Overspend 2012 onwards</t>
  </si>
  <si>
    <t>Total overspend depreciation</t>
  </si>
  <si>
    <t>Overspend Calculations</t>
  </si>
  <si>
    <t>Depreciation years</t>
  </si>
  <si>
    <t>Q - Working Capital (£2020)</t>
  </si>
  <si>
    <t>Q - Working Capital Movement</t>
  </si>
  <si>
    <t>CC - Capital Creditors (£2020)</t>
  </si>
  <si>
    <t>CC - Capital Creditors Movement</t>
  </si>
  <si>
    <t>m</t>
  </si>
  <si>
    <t>n</t>
  </si>
  <si>
    <t>q</t>
  </si>
  <si>
    <t>RPI</t>
  </si>
  <si>
    <t>Designated Parameters</t>
  </si>
  <si>
    <t>Determined Values</t>
  </si>
  <si>
    <t>i = 1</t>
  </si>
  <si>
    <t>i = 2</t>
  </si>
  <si>
    <t>i = 3</t>
  </si>
  <si>
    <t>i = 4</t>
  </si>
  <si>
    <t>t =</t>
  </si>
  <si>
    <t>Assumed Geaing</t>
  </si>
  <si>
    <t>Nominal Cost of Debt</t>
  </si>
  <si>
    <t>Contributions (Capital) (Based on total Figure)</t>
  </si>
  <si>
    <r>
      <t>Additions (Based on Net Figure</t>
    </r>
    <r>
      <rPr>
        <sz val="10"/>
        <rFont val="Arial Narrow"/>
        <family val="2"/>
      </rPr>
      <t>)</t>
    </r>
  </si>
  <si>
    <t>Additional TRV and PA calculations on an annual basis</t>
  </si>
  <si>
    <t xml:space="preserve">PNGL </t>
  </si>
  <si>
    <t>GD23</t>
  </si>
  <si>
    <t>GDN</t>
  </si>
  <si>
    <t>Price Control</t>
  </si>
  <si>
    <t>Determination</t>
  </si>
  <si>
    <t>Nominal interest rate</t>
  </si>
  <si>
    <t>GENERAL POOL ALLOCATIONS FOR SPECIALS</t>
  </si>
  <si>
    <t>Additions Total</t>
  </si>
  <si>
    <t>Allocate to super deduction pool</t>
  </si>
  <si>
    <t>Allocate remaninder to general pool</t>
  </si>
  <si>
    <t>Super Deduction Pool Allocation %</t>
  </si>
  <si>
    <t>Tax Losses B/F (Nominal)</t>
  </si>
  <si>
    <t>SPECIAL RATE POOL ALLOCATIONS FOR SPECIALS</t>
  </si>
  <si>
    <t>Allocate to additional 50% SR pool</t>
  </si>
  <si>
    <t>Allocate remaninder direct to special rate pool</t>
  </si>
  <si>
    <t>General Pool Capex Allocation %</t>
  </si>
  <si>
    <t>Special Rate Pool Capex Allocation %</t>
  </si>
  <si>
    <t>First 5m allowable loss</t>
  </si>
  <si>
    <t>50% Profits exceeding 5m available for loss</t>
  </si>
  <si>
    <t>Total Profits available for loss relief</t>
  </si>
  <si>
    <t>Losses unused in the period</t>
  </si>
  <si>
    <t>SBA Pool Capex Allocation %</t>
  </si>
  <si>
    <t>Non Qualifying Capex Allocation %</t>
  </si>
  <si>
    <t>General Pool Allowance %</t>
  </si>
  <si>
    <t xml:space="preserve">Special Rate Pool FYA Allocation % </t>
  </si>
  <si>
    <t>Super Deduction Pool Allowance %</t>
  </si>
  <si>
    <t>Long Life Pool Allowance %</t>
  </si>
  <si>
    <t>SR Pool Allowance %</t>
  </si>
  <si>
    <t>Structures &amp; Buildings Allowance %</t>
  </si>
  <si>
    <t>TRV indexation</t>
  </si>
  <si>
    <t>Nominal Post Maintenance FFO</t>
  </si>
  <si>
    <t>Nominal PMICR</t>
  </si>
  <si>
    <t>Totex</t>
  </si>
  <si>
    <t>Totex to TRV</t>
  </si>
  <si>
    <t>Tariff allocation relative to P1</t>
  </si>
  <si>
    <t>Solved</t>
  </si>
  <si>
    <t>Depreciation Rates</t>
  </si>
  <si>
    <t>Uncertainty Mechanism Depreciation years</t>
  </si>
  <si>
    <t>Q&amp; CC one off</t>
  </si>
  <si>
    <t>Housing Association one off</t>
  </si>
  <si>
    <t>Greater Belfast one off</t>
  </si>
  <si>
    <t>Q&amp; CC RoR</t>
  </si>
  <si>
    <t>GD14 Final</t>
  </si>
  <si>
    <t>Capex Roller</t>
  </si>
  <si>
    <t>UM adjusted allowances</t>
  </si>
  <si>
    <t>Determined Depreciation - GD17 FD</t>
  </si>
  <si>
    <t>Separate excel cal</t>
  </si>
  <si>
    <t>GD17 FD</t>
  </si>
  <si>
    <t>Retro DAV tab</t>
  </si>
  <si>
    <t>One off</t>
  </si>
  <si>
    <t>Depreciation on UM Adjusted Allowances</t>
  </si>
  <si>
    <t>Dav Pi</t>
  </si>
  <si>
    <t>GD17 UM</t>
  </si>
  <si>
    <t>GD14 UM</t>
  </si>
  <si>
    <t>UM</t>
  </si>
  <si>
    <t>Inflation factor</t>
  </si>
  <si>
    <t>Opex incl ROR</t>
  </si>
  <si>
    <t>Capex RoR only</t>
  </si>
  <si>
    <t xml:space="preserve">Pre-tax, Real (CPI) </t>
  </si>
  <si>
    <t>Historical Index</t>
  </si>
  <si>
    <t>RPI (Year End)</t>
  </si>
  <si>
    <t>RPI (Sept)</t>
  </si>
  <si>
    <t>2020 RPI</t>
  </si>
  <si>
    <t>Overspend in CPI</t>
  </si>
  <si>
    <t>Depreciation in CPI</t>
  </si>
  <si>
    <t>Inflation</t>
  </si>
  <si>
    <t>2020 Prices</t>
  </si>
  <si>
    <t>Nominal Prices</t>
  </si>
  <si>
    <t>Operating costs</t>
  </si>
  <si>
    <t>Core Asset depreciation</t>
  </si>
  <si>
    <t>Profile Adjustment</t>
  </si>
  <si>
    <t xml:space="preserve">Annual Inflation </t>
  </si>
  <si>
    <t>Act</t>
  </si>
  <si>
    <t>Forecast</t>
  </si>
  <si>
    <t>CPIH (Sept)</t>
  </si>
  <si>
    <t>CPIH (Year End)</t>
  </si>
  <si>
    <t>RPI  to CPIH Switch</t>
  </si>
  <si>
    <t>Rate of return</t>
  </si>
  <si>
    <t>Trigger for review</t>
  </si>
  <si>
    <t>Trigger for previous review</t>
  </si>
  <si>
    <t>Forecasting horizon</t>
  </si>
  <si>
    <t>Indexation base</t>
  </si>
  <si>
    <r>
      <t>r</t>
    </r>
    <r>
      <rPr>
        <i/>
        <vertAlign val="subscript"/>
        <sz val="10"/>
        <rFont val="Arial Narrow"/>
        <family val="2"/>
      </rPr>
      <t>t</t>
    </r>
  </si>
  <si>
    <t>CPIH</t>
  </si>
  <si>
    <r>
      <t>V</t>
    </r>
    <r>
      <rPr>
        <i/>
        <vertAlign val="subscript"/>
        <sz val="10"/>
        <rFont val="Arial Narrow"/>
        <family val="2"/>
      </rPr>
      <t>E,I,t</t>
    </r>
  </si>
  <si>
    <r>
      <t>C</t>
    </r>
    <r>
      <rPr>
        <i/>
        <vertAlign val="subscript"/>
        <sz val="10"/>
        <rFont val="Arial Narrow"/>
        <family val="2"/>
      </rPr>
      <t>E,t</t>
    </r>
  </si>
  <si>
    <r>
      <t>O</t>
    </r>
    <r>
      <rPr>
        <i/>
        <vertAlign val="subscript"/>
        <sz val="10"/>
        <rFont val="Arial Narrow"/>
        <family val="2"/>
      </rPr>
      <t>E,t</t>
    </r>
  </si>
  <si>
    <r>
      <t>D</t>
    </r>
    <r>
      <rPr>
        <i/>
        <vertAlign val="subscript"/>
        <sz val="10"/>
        <rFont val="Arial Narrow"/>
        <family val="2"/>
      </rPr>
      <t>E,t</t>
    </r>
  </si>
  <si>
    <r>
      <t>F</t>
    </r>
    <r>
      <rPr>
        <i/>
        <vertAlign val="subscript"/>
        <sz val="10"/>
        <rFont val="Arial Narrow"/>
        <family val="2"/>
      </rPr>
      <t>E,t</t>
    </r>
  </si>
  <si>
    <r>
      <t>P</t>
    </r>
    <r>
      <rPr>
        <i/>
        <vertAlign val="subscript"/>
        <sz val="10"/>
        <rFont val="Arial Narrow"/>
        <family val="2"/>
      </rPr>
      <t>E,I,t</t>
    </r>
  </si>
  <si>
    <r>
      <t>R</t>
    </r>
    <r>
      <rPr>
        <i/>
        <vertAlign val="subscript"/>
        <sz val="10"/>
        <rFont val="Arial Narrow"/>
        <family val="2"/>
      </rPr>
      <t>E,t</t>
    </r>
  </si>
  <si>
    <r>
      <t>DAV</t>
    </r>
    <r>
      <rPr>
        <i/>
        <vertAlign val="subscript"/>
        <sz val="10"/>
        <rFont val="Arial Narrow"/>
        <family val="2"/>
      </rPr>
      <t>E,t</t>
    </r>
  </si>
  <si>
    <r>
      <t>TRV</t>
    </r>
    <r>
      <rPr>
        <i/>
        <vertAlign val="subscript"/>
        <sz val="10"/>
        <rFont val="Arial Narrow"/>
        <family val="2"/>
      </rPr>
      <t>E,m</t>
    </r>
  </si>
  <si>
    <r>
      <t>PA</t>
    </r>
    <r>
      <rPr>
        <i/>
        <vertAlign val="subscript"/>
        <sz val="10"/>
        <rFont val="Arial Narrow"/>
        <family val="2"/>
      </rPr>
      <t>E,m</t>
    </r>
  </si>
  <si>
    <r>
      <t>Q</t>
    </r>
    <r>
      <rPr>
        <i/>
        <vertAlign val="subscript"/>
        <sz val="10"/>
        <rFont val="Arial Narrow"/>
        <family val="2"/>
      </rPr>
      <t>E,t</t>
    </r>
  </si>
  <si>
    <r>
      <t>CC</t>
    </r>
    <r>
      <rPr>
        <i/>
        <vertAlign val="subscript"/>
        <sz val="10"/>
        <rFont val="Arial Narrow"/>
        <family val="2"/>
      </rPr>
      <t>E,t</t>
    </r>
  </si>
  <si>
    <t>Volume (therms)</t>
  </si>
  <si>
    <t>Capital Expenditure</t>
  </si>
  <si>
    <t>Operarting Expenditure</t>
  </si>
  <si>
    <t>Depreciation</t>
  </si>
  <si>
    <t>Revenue per unit</t>
  </si>
  <si>
    <t>Total Revenue</t>
  </si>
  <si>
    <t>Depreciated Asset Value</t>
  </si>
  <si>
    <t>Total Regulated Value</t>
  </si>
  <si>
    <t>Working Capital</t>
  </si>
  <si>
    <t>Capita Creditors</t>
  </si>
  <si>
    <t>Value</t>
  </si>
  <si>
    <t>Description</t>
  </si>
  <si>
    <t>GD23 inputs</t>
  </si>
  <si>
    <t xml:space="preserve">Opening DAV and TRV </t>
  </si>
  <si>
    <t>Other</t>
  </si>
  <si>
    <r>
      <t xml:space="preserve">Goal Seek to 0 by running Macro -  </t>
    </r>
    <r>
      <rPr>
        <b/>
        <sz val="10"/>
        <color rgb="FF0066FF"/>
        <rFont val="Arial Narrow"/>
        <family val="2"/>
      </rPr>
      <t>Ctrl + p</t>
    </r>
  </si>
  <si>
    <t>2020 CPIH</t>
  </si>
  <si>
    <t>Profile Adjustment Movement</t>
  </si>
  <si>
    <t>Opening TRV</t>
  </si>
  <si>
    <t>Closing TRV</t>
  </si>
  <si>
    <t>Return on TRV</t>
  </si>
  <si>
    <t>Cashflow:</t>
  </si>
  <si>
    <t>Return on</t>
  </si>
  <si>
    <t>TRV x WACC</t>
  </si>
  <si>
    <t>Return of</t>
  </si>
  <si>
    <t>DAV depreciation</t>
  </si>
  <si>
    <t xml:space="preserve">Opex </t>
  </si>
  <si>
    <t>tax</t>
  </si>
  <si>
    <t>included in WACC i.e. Return on</t>
  </si>
  <si>
    <t>Capex Roller Adjustments to DAV</t>
  </si>
  <si>
    <t>REVENUE</t>
  </si>
  <si>
    <t>check</t>
  </si>
  <si>
    <t>Gearing for Debt purposes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</si>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</sst>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#,##0.0"/>
    <numFmt numFmtId="169" formatCode="_-[$€-2]* #,##0.00_-;\-[$€-2]* #,##0.00_-;_-[$€-2]* &quot;-&quot;??_-"/>
    <numFmt numFmtId="170" formatCode="0.0000"/>
    <numFmt numFmtId="171" formatCode="#,##0;\(#,##0\)"/>
    <numFmt numFmtId="172" formatCode="[$$-409]#,##0.00"/>
    <numFmt numFmtId="173" formatCode="#,##0.0\ ;\(#,##0.0\)"/>
    <numFmt numFmtId="174" formatCode="&quot;$&quot;#,##0.00_);[Red]\(&quot;$&quot;#,##0.00\)"/>
    <numFmt numFmtId="175" formatCode="#,##0_);[Red]\(#,##0\);&quot;-&quot;"/>
    <numFmt numFmtId="176" formatCode="mmmm\ d\,\ yyyy"/>
    <numFmt numFmtId="177" formatCode="_(&quot;$&quot;#,##0_)&quot;millions&quot;;\(&quot;$&quot;#,##0\)&quot; millions&quot;"/>
    <numFmt numFmtId="178" formatCode="&quot;$&quot;#,##0.00_)\ \ \ ;\(&quot;$&quot;#,##0.00\)\ \ \ "/>
    <numFmt numFmtId="179" formatCode="&quot;$&quot;#,##0.00&quot;*&quot;\ \ ;\(&quot;$&quot;#,##0.00\)&quot;*&quot;\ \ "/>
    <numFmt numFmtId="180" formatCode="&quot;$&quot;#,##0.00\A_)\ ;\(&quot;$&quot;#,##0.00\A\)\ \ "/>
    <numFmt numFmtId="181" formatCode="&quot;$&quot;@\ "/>
    <numFmt numFmtId="182" formatCode="[$-809]d\ mmmm\ yyyy;@"/>
    <numFmt numFmtId="183" formatCode="000\-00\-0000\ "/>
    <numFmt numFmtId="184" formatCode="0.0%"/>
    <numFmt numFmtId="185" formatCode="_(* #,##0_);_(* \(#,##0\);_(* &quot;-&quot;_);_(@_)"/>
    <numFmt numFmtId="186" formatCode="_(* #,##0_);_(* \(#,##0\);_(* &quot;0&quot;_);_(@_)"/>
    <numFmt numFmtId="187" formatCode="#,##0.0_);\(#,##0.0\)"/>
    <numFmt numFmtId="188" formatCode="&quot;$&quot;_(#,##0.00_);&quot;$&quot;\(#,##0.00\)"/>
    <numFmt numFmtId="189" formatCode="_-&quot;$&quot;* #,##0.0_-;\-&quot;$&quot;* #,##0.0_-;_-&quot;$&quot;* &quot;-&quot;??_-;_-@_-"/>
    <numFmt numFmtId="190" formatCode="#,##0_);\(#,##0\);&quot;-  &quot;;&quot; &quot;@&quot; &quot;"/>
    <numFmt numFmtId="191" formatCode="#,##0.0_)\x;\(#,##0.0\)\x"/>
    <numFmt numFmtId="192" formatCode="&quot;$&quot;#,##0"/>
    <numFmt numFmtId="193" formatCode="#,##0.0_)_x;\(#,##0.0\)_x"/>
    <numFmt numFmtId="194" formatCode="_(&quot;$&quot;* #,##0_);_(&quot;$&quot;* \(#,##0\);_(&quot;$&quot;* &quot;-&quot;??_);_(@_)"/>
    <numFmt numFmtId="195" formatCode="0.0_)\%;\(0.0\)\%"/>
    <numFmt numFmtId="196" formatCode="_-* #,##0.000_-;\-* #,##0.000_-;_-* &quot;-&quot;??_-;_-@_-"/>
    <numFmt numFmtId="197" formatCode="#,##0.0_)_%;\(#,##0.0\)_%"/>
    <numFmt numFmtId="198" formatCode="_(&quot;$&quot;* #,##0.0_);_(&quot;$&quot;* \(#,##0.0\);_(&quot;$&quot;* &quot;-&quot;?_);_(@_)"/>
    <numFmt numFmtId="199" formatCode="#,##0.0_);[Red]\(#,##0.0\)"/>
    <numFmt numFmtId="200" formatCode="_-&quot;£&quot;* #,##0.0_-;_-&quot;£&quot;* \(#,##0.0\)"/>
    <numFmt numFmtId="201" formatCode="\£\ #,##0_);[Red]\(\£\ #,##0\)"/>
    <numFmt numFmtId="202" formatCode="#,##0.00;[Red]\(#,##0.00\);\-"/>
    <numFmt numFmtId="203" formatCode="\¥\ #,##0_);[Red]\(\¥\ #,##0\)"/>
    <numFmt numFmtId="204" formatCode="_-\€* #,##0.0_-;_-\€* \(#,##0.0\)"/>
    <numFmt numFmtId="205" formatCode="0;[Red]\(0\);\-"/>
    <numFmt numFmtId="206" formatCode="#,##0;[Red]\(#,##0\);\-"/>
    <numFmt numFmtId="207" formatCode="#,##0,_);[Red]\(#,##0,\)"/>
    <numFmt numFmtId="208" formatCode="0.0;\(0.0\);\-"/>
    <numFmt numFmtId="209" formatCode="0.00;\(0.00\);\-"/>
    <numFmt numFmtId="210" formatCode="0.00;[Red]\(0.00\);\-"/>
    <numFmt numFmtId="211" formatCode="0.000;\(0.000\);\-"/>
    <numFmt numFmtId="212" formatCode="_-&quot;£&quot;* #,##0.000_-;\-&quot;£&quot;* #,##0.000_-;_-&quot;£&quot;* &quot;-&quot;??_-;_-@_-"/>
    <numFmt numFmtId="213" formatCode="0\A"/>
    <numFmt numFmtId="214" formatCode="m\-d\-yy"/>
    <numFmt numFmtId="215" formatCode="0.0_)"/>
    <numFmt numFmtId="216" formatCode="#,##0;[Red]\-#,##0;\-"/>
    <numFmt numFmtId="217" formatCode="_ &quot;R&quot;\ * #,##0_ ;_ &quot;R&quot;\ * \-#,##0_ ;_ &quot;R&quot;\ * &quot;-&quot;_ ;_ @_ "/>
    <numFmt numFmtId="218" formatCode="0.00\ "/>
    <numFmt numFmtId="219" formatCode="#,##0.0,,,&quot;bn&quot;"/>
    <numFmt numFmtId="220" formatCode="0.0%_);[Red]\(0.0%\)"/>
    <numFmt numFmtId="221" formatCode="0.0%;\(0.0\)%"/>
    <numFmt numFmtId="222" formatCode="0&quot; bp&quot;"/>
    <numFmt numFmtId="223" formatCode="#,##0;&quot;(&quot;#,##0&quot;)&quot;;&quot;-&quot;"/>
    <numFmt numFmtId="224" formatCode="_(* #,##0.0_);_(* \(#,##0.0\);_(* &quot;-&quot;?_);@_)"/>
    <numFmt numFmtId="225" formatCode="\•\ \ @"/>
    <numFmt numFmtId="226" formatCode="#,##0_);[Red]\(#,##0\);&quot;-&quot;_);[Blue]&quot;Error-&quot;@"/>
    <numFmt numFmtId="227" formatCode="#,##0.0_);[Red]\(#,##0.0\);&quot;-&quot;_);[Blue]&quot;Error-&quot;@"/>
    <numFmt numFmtId="228" formatCode="#,##0.00_);[Red]\(#,##0.00\);&quot;-&quot;_);[Blue]&quot;Error-&quot;@"/>
    <numFmt numFmtId="229" formatCode="&quot;£&quot;* #,##0_);[Red]&quot;£&quot;* \(#,##0\);&quot;£&quot;* &quot;-&quot;_);[Blue]&quot;Error-&quot;@"/>
    <numFmt numFmtId="230" formatCode="&quot;£&quot;* #,##0.0_);[Red]&quot;£&quot;* \(#,##0.0\);&quot;£&quot;* &quot;-&quot;_);[Blue]&quot;Error-&quot;@"/>
    <numFmt numFmtId="231" formatCode="&quot;£&quot;* #,##0.00_);[Red]&quot;£&quot;* \(#,##0.00\);&quot;£&quot;* &quot;-&quot;_);[Blue]&quot;Error-&quot;@"/>
    <numFmt numFmtId="232" formatCode="dd\ mmm\ yyyy_)"/>
    <numFmt numFmtId="233" formatCode="dd/mm/yy_)"/>
    <numFmt numFmtId="234" formatCode="0%_);[Red]\-0%_);0%_);[Blue]&quot;Error-&quot;@"/>
    <numFmt numFmtId="235" formatCode="0.0%_);[Red]\-0.0%_);0.0%_);[Blue]&quot;Error-&quot;@"/>
    <numFmt numFmtId="236" formatCode="0.00%_);[Red]\-0.00%_);0.00%_);[Blue]&quot;Error-&quot;@"/>
    <numFmt numFmtId="237" formatCode="_-* #,##0_-;* \(#,##0\)_-;_-@_-"/>
    <numFmt numFmtId="238" formatCode="dd\-mmm\-yyyy"/>
    <numFmt numFmtId="239" formatCode="&quot;£&quot;#,###_);[Red]\(&quot;£&quot;#,###\);&quot;£&quot;0"/>
    <numFmt numFmtId="240" formatCode="&quot;£&quot;#,###_);[Red]\(&quot;£&quot;#,###\);"/>
    <numFmt numFmtId="241" formatCode="&quot;£&quot;#,##0.00_);[Red]\(&quot;£&quot;#,##0.00\);&quot;£&quot;0.00"/>
    <numFmt numFmtId="242" formatCode="&quot;£&quot;#,##0.00_);[Red]\(&quot;£&quot;#,##0.00\);"/>
    <numFmt numFmtId="243" formatCode="0.0"/>
    <numFmt numFmtId="244" formatCode="0.000_)"/>
    <numFmt numFmtId="245" formatCode="#,###_);[Red]\(#,###\);0"/>
    <numFmt numFmtId="246" formatCode="#,###_);[Red]\(#,###\);"/>
    <numFmt numFmtId="247" formatCode="##,##0.00_);[Red]\(##,##0.00\);0.00"/>
    <numFmt numFmtId="248" formatCode="#,##0.00_);[Red]\(#,##0.00\);&quot;- &quot;"/>
    <numFmt numFmtId="249" formatCode="#,##0.00_);[Red]\(#,##0.00\);&quot;Nil &quot;"/>
    <numFmt numFmtId="250" formatCode="#,##0.00_);[Red]\(#,##0.00\);"/>
    <numFmt numFmtId="251" formatCode="#,##0_);[Red]\(#,##0\);"/>
    <numFmt numFmtId="252" formatCode="#,##0.000;[Red]\(#,##0.000\);\-"/>
    <numFmt numFmtId="253" formatCode="#,##0_%_);\(#,##0\)_%;**;@_%_)"/>
    <numFmt numFmtId="254" formatCode="#,##0.000_ ;\-#,##0.000\ "/>
    <numFmt numFmtId="255" formatCode="\$#,##0.0,,,&quot;bn&quot;"/>
    <numFmt numFmtId="256" formatCode="_-* #,##0.0000_-;\-* #,##0.0000_-;_-* &quot;-&quot;??_-;_-@_-"/>
    <numFmt numFmtId="257" formatCode="0.0_x_)_);&quot;NM&quot;_x_)_);0.0_x_)_);@_%_)"/>
    <numFmt numFmtId="258" formatCode="0.0\ \x;\(0.0\ \x\)"/>
    <numFmt numFmtId="259" formatCode="#,##0_);[Red]\(#,##0\);&quot;- &quot;"/>
    <numFmt numFmtId="260" formatCode="#,##0_);[Red]\(#,##0\);&quot;Nil &quot;"/>
    <numFmt numFmtId="261" formatCode="0.0_ ;\(0.0\)_ \ "/>
    <numFmt numFmtId="262" formatCode="#,##0.0_);\(#,##0.0\);&quot;--&quot;_)"/>
    <numFmt numFmtId="263" formatCode="#,##0.00_);\(#,##0.00\);&quot;--&quot;_)"/>
    <numFmt numFmtId="264" formatCode="General_)"/>
    <numFmt numFmtId="265" formatCode="0.000;[Red]\-0.000;\-"/>
    <numFmt numFmtId="266" formatCode="#&quot; mins&quot;"/>
    <numFmt numFmtId="267" formatCode="&quot;$&quot;#,##0_);[Red]\(&quot;$&quot;#,##0\)"/>
    <numFmt numFmtId="268" formatCode="&quot;£&quot;#,##0.00_);[Red]\(&quot;£&quot;#,##0.00\);&quot;£&quot;0.00_)"/>
    <numFmt numFmtId="269" formatCode="&quot;£&quot;#,##0.00_);[Red]\(&quot;£&quot;#,##0.00\);&quot;- &quot;"/>
    <numFmt numFmtId="270" formatCode="&quot;£&quot;#,##0.00_);[Red]\(&quot;£&quot;#,##0.00\);&quot;Nil &quot;"/>
    <numFmt numFmtId="271" formatCode="&quot;£&quot;#,##0_);[Red]\(&quot;£&quot;#,##0\);"/>
    <numFmt numFmtId="272" formatCode="_(&quot;$&quot;* #,##0_);_(&quot;$&quot;* \(#,##0\);_(&quot;$&quot;* &quot;-&quot;_);_(@_)"/>
    <numFmt numFmtId="273" formatCode="&quot;£&quot;#,##0.00;\(&quot;£&quot;#,##0.00\)"/>
    <numFmt numFmtId="274" formatCode="m/d"/>
    <numFmt numFmtId="275" formatCode="&quot;£&quot;#,##0_);[Red]\(&quot;£&quot;#,##0\);&quot;- &quot;"/>
    <numFmt numFmtId="276" formatCode="&quot;£&quot;#,##0_);[Red]\(&quot;£&quot;#,##0\);&quot;Nil &quot;"/>
    <numFmt numFmtId="277" formatCode="0.0\ \ \x\ ;\(0.0\)\ \ \x\ "/>
    <numFmt numFmtId="278" formatCode="@\ \ \ \ \ "/>
    <numFmt numFmtId="279" formatCode="\ \ _•\–\ \ \ \ @"/>
    <numFmt numFmtId="280" formatCode="0.00_ ;[Red]\-0.00\ "/>
    <numFmt numFmtId="281" formatCode="000"/>
    <numFmt numFmtId="282" formatCode="#,##0.0;[Red]\(#,##0.0\);\-"/>
    <numFmt numFmtId="283" formatCode="d\-mmm\-yyyy"/>
    <numFmt numFmtId="284" formatCode="&quot;$&quot;#,##0.0;[Red]&quot;$&quot;#,##0.0"/>
    <numFmt numFmtId="285" formatCode="dd/mm/yyyy;;&quot;-&quot;"/>
    <numFmt numFmtId="286" formatCode="dd/mmm/yyyy_);;&quot;-  &quot;;&quot; &quot;@"/>
    <numFmt numFmtId="287" formatCode="dd/mmm/yy_);;&quot;-  &quot;;&quot; &quot;@"/>
    <numFmt numFmtId="288" formatCode="0.00,,;[Red]\(0.00,,\);\-"/>
    <numFmt numFmtId="289" formatCode="_-* #,##0\ _D_M_-;\-* #,##0\ _D_M_-;_-* &quot;-&quot;\ _D_M_-;_-@_-"/>
    <numFmt numFmtId="290" formatCode="_-* #,##0.00\ _D_M_-;\-* #,##0.00\ _D_M_-;_-* &quot;-&quot;??\ _D_M_-;_-@_-"/>
    <numFmt numFmtId="291" formatCode="#,##0.00_)\ \ \ \ \ ;\(#,##0.00\)\ \ \ \ \ "/>
    <numFmt numFmtId="292" formatCode="&quot;$&quot;#,##0.00_)\ \ \ \ \ ;\(&quot;$&quot;#,##0.00\)\ \ \ \ \ "/>
    <numFmt numFmtId="293" formatCode="&quot;$&quot;#,##0.00\A\ \ \ \ ;\(&quot;$&quot;#,##0.00\A\)\ \ \ \ "/>
    <numFmt numFmtId="294" formatCode="&quot;$&quot;#,##0.00&quot;E&quot;\ \ \ \ ;\(&quot;$&quot;#,##0.00&quot;E&quot;\)\ \ \ \ "/>
    <numFmt numFmtId="295" formatCode="#,##0.00\A\ \ \ \ ;\(#,##0.00\A\)\ \ \ \ "/>
    <numFmt numFmtId="296" formatCode="#,##0.00&quot;E&quot;\ \ \ \ ;\(#,##0.00&quot;E&quot;\)\ \ \ \ "/>
    <numFmt numFmtId="297" formatCode="\€#,##0.0,,,&quot;bn&quot;"/>
    <numFmt numFmtId="298" formatCode="\€#,##0.0,,&quot;m&quot;"/>
    <numFmt numFmtId="299" formatCode="\€#,##0.0,&quot;k&quot;"/>
    <numFmt numFmtId="300" formatCode="[Magenta]&quot;Err&quot;;[Magenta]&quot;Err&quot;;[Blue]&quot;OK&quot;"/>
    <numFmt numFmtId="301" formatCode="#,##0.0000_);\(#,##0.0000\);&quot;-  &quot;;&quot; &quot;@"/>
    <numFmt numFmtId="302" formatCode="0;0;&quot;&quot;"/>
    <numFmt numFmtId="303" formatCode="\ ;\ ;"/>
    <numFmt numFmtId="304" formatCode="_-#,##0&quot; hours&quot;"/>
    <numFmt numFmtId="305" formatCode="0.000"/>
    <numFmt numFmtId="306" formatCode="#,##0_);[Red]\(#,##0\);\-_)"/>
    <numFmt numFmtId="307" formatCode="0,&quot; K&quot;_);[Red]\(0,&quot; K&quot;\)"/>
    <numFmt numFmtId="308" formatCode="0.00,&quot; K&quot;_);[Red]\(0.00,&quot; K&quot;\)"/>
    <numFmt numFmtId="309" formatCode="0,,&quot; M&quot;_);[Red]\(0,,&quot; M&quot;\)"/>
    <numFmt numFmtId="310" formatCode="0.00,,&quot; M&quot;_);[Red]\(0.00,,&quot; M&quot;\)"/>
    <numFmt numFmtId="311" formatCode="_-#,##0.0&quot; max&quot;"/>
    <numFmt numFmtId="312" formatCode="_ * #,##0_ ;_ * \-#,##0_ ;_ * &quot;-&quot;_ ;_ @_ "/>
    <numFmt numFmtId="313" formatCode="_ * #,##0.00_ ;_ * \-#,##0.00_ ;_ * &quot;-&quot;??_ ;_ @_ "/>
    <numFmt numFmtId="314" formatCode="&quot;£&quot;#,##0,,&quot;M&quot;_);[Red]\(&quot;£&quot;#,##0,,&quot;M&quot;\);&quot;£&quot;0,,&quot;M&quot;_)"/>
    <numFmt numFmtId="315" formatCode="&quot;£&quot;#,##0.00,,&quot;M&quot;_);[Red]\(&quot;£&quot;#,##0.00,,&quot;M&quot;\);&quot;£&quot;0.00,,&quot;M&quot;_)"/>
    <numFmt numFmtId="316" formatCode="_ &quot;R&quot;\ * #,##0.00_ ;_ &quot;R&quot;\ * \-#,##0.00_ ;_ &quot;R&quot;\ * &quot;-&quot;??_ ;_ @_ "/>
    <numFmt numFmtId="317" formatCode="_-#,##0&quot; months&quot;"/>
    <numFmt numFmtId="318" formatCode="_-#,##0&quot;MW&quot;"/>
    <numFmt numFmtId="319" formatCode="_-#,##0&quot;MWth&quot;"/>
    <numFmt numFmtId="320" formatCode="0.00_)"/>
    <numFmt numFmtId="321" formatCode="##_);[Red]\(##\);0"/>
    <numFmt numFmtId="322" formatCode="##_);[Red]\(##\);"/>
    <numFmt numFmtId="323" formatCode="##0.00_);[Red]\(##0.00\);0.00"/>
    <numFmt numFmtId="324" formatCode="###0.00_);[Red]\(###0.00\);"/>
    <numFmt numFmtId="325" formatCode="_-* #,##0\ ;* \(#,##0\);_-* &quot;-&quot;_-;_-@_-"/>
    <numFmt numFmtId="326" formatCode="#,##0_);[Red]\(#,##0\);\-_0_)"/>
    <numFmt numFmtId="327" formatCode="d\ mmm\ yy"/>
    <numFmt numFmtId="328" formatCode="#,##0.0,,_);[Red]\(#,##0.0,,\);\-_0_)"/>
    <numFmt numFmtId="329" formatCode="&quot;£&quot;#,##0.0,,_)&quot;m&quot;;[Red]\(&quot;£&quot;#,##0.0,,_)&quot;m&quot;\);&quot;£&quot;\-_0_)\ &quot;m&quot;"/>
    <numFmt numFmtId="330" formatCode="#,##0.000,,_);[Red]\(#,##0.000,,\);\-_0_)"/>
    <numFmt numFmtId="331" formatCode="#,##0.0,_);[Red]\(#,##0.0,\);\-_0_)"/>
    <numFmt numFmtId="332" formatCode="dd\ mmm\ yy"/>
    <numFmt numFmtId="333" formatCode="mmm\ yy"/>
    <numFmt numFmtId="334" formatCode="#,##0.0,;\(#,##0.0,\);\-_)_0"/>
    <numFmt numFmtId="335" formatCode="0.00%;\(0.00%\)"/>
    <numFmt numFmtId="336" formatCode="0%;\-0%;&quot;-&quot;"/>
    <numFmt numFmtId="337" formatCode="#,##0.00\x_);\(#,##0.00\x\);&quot;-  &quot;;&quot;  &quot;@"/>
    <numFmt numFmtId="338" formatCode="0.0000%"/>
    <numFmt numFmtId="339" formatCode="m/d/yy\ h:mm:ss"/>
    <numFmt numFmtId="340" formatCode="_(* #,##0.00%_);_(* \(#,##0.00%\);_(* #,##0.00%_);_(@_)"/>
    <numFmt numFmtId="341" formatCode="_-#,##0&quot; t&quot;"/>
    <numFmt numFmtId="342" formatCode="&quot;£&quot;#,##0,&quot;K&quot;_);[Red]\(&quot;£&quot;#,##0,&quot;K&quot;\);&quot;£&quot;0,&quot;K&quot;_)"/>
    <numFmt numFmtId="343" formatCode="&quot;£&quot;#,##0.00,&quot;K&quot;_);[Red]\(&quot;£&quot;#,##0.00,&quot;K&quot;\);&quot;£&quot;0.00,&quot;K&quot;_)"/>
    <numFmt numFmtId="344" formatCode="_-* #,##0\ &quot;TL&quot;_-;\-* #,##0\ &quot;TL&quot;_-;_-* &quot;-&quot;\ &quot;TL&quot;_-;_-@_-"/>
    <numFmt numFmtId="345" formatCode="_-* #,##0.00\ &quot;TL&quot;_-;\-* #,##0.00\ &quot;TL&quot;_-;_-* &quot;-&quot;??\ &quot;TL&quot;_-;_-@_-"/>
    <numFmt numFmtId="346" formatCode="0.00%;[Red]\-0.00%;0.00%"/>
    <numFmt numFmtId="347" formatCode="yyyy"/>
    <numFmt numFmtId="348" formatCode="_-#,##0&quot; years&quot;"/>
    <numFmt numFmtId="349" formatCode="&quot;yes&quot;;&quot;ERROR&quot;;&quot;no&quot;"/>
  </numFmts>
  <fonts count="1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Tms Rmn"/>
    </font>
    <font>
      <sz val="10"/>
      <name val="GillSans"/>
      <family val="2"/>
    </font>
    <font>
      <sz val="10"/>
      <name val="Times New Roman"/>
      <family val="1"/>
    </font>
    <font>
      <sz val="11"/>
      <name val="CG Omega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b/>
      <sz val="10"/>
      <name val="Garamond"/>
      <family val="1"/>
    </font>
    <font>
      <sz val="9"/>
      <name val="Times"/>
      <family val="1"/>
    </font>
    <font>
      <sz val="10"/>
      <name val="Helv"/>
      <charset val="204"/>
    </font>
    <font>
      <sz val="10"/>
      <name val="MS Sans Serif"/>
      <family val="2"/>
    </font>
    <font>
      <sz val="10"/>
      <name val="Geneva"/>
      <family val="2"/>
    </font>
    <font>
      <sz val="11"/>
      <name val="Arial"/>
      <family val="2"/>
    </font>
    <font>
      <sz val="10"/>
      <name val="Helv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8"/>
      <name val="Arial"/>
      <family val="2"/>
    </font>
    <font>
      <sz val="10"/>
      <name val="Trebuchet MS"/>
      <family val="2"/>
    </font>
    <font>
      <sz val="10"/>
      <color indexed="12"/>
      <name val="Tms Rmn"/>
    </font>
    <font>
      <b/>
      <sz val="10"/>
      <color indexed="12"/>
      <name val="Tms Rmn"/>
    </font>
    <font>
      <b/>
      <sz val="12"/>
      <name val="Arial"/>
      <family val="2"/>
    </font>
    <font>
      <b/>
      <sz val="14"/>
      <name val="Arial"/>
      <family val="2"/>
    </font>
    <font>
      <sz val="10"/>
      <name val="Tms Rmn"/>
    </font>
    <font>
      <sz val="10"/>
      <name val="Times"/>
      <family val="1"/>
    </font>
    <font>
      <sz val="10"/>
      <color indexed="8"/>
      <name val="Arial"/>
      <family val="2"/>
    </font>
    <font>
      <sz val="10"/>
      <color indexed="8"/>
      <name val="Trebuchet MS"/>
      <family val="2"/>
    </font>
    <font>
      <sz val="10"/>
      <color indexed="12"/>
      <name val="Times"/>
      <family val="1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Trebuchet MS"/>
      <family val="2"/>
    </font>
    <font>
      <b/>
      <sz val="8"/>
      <name val="Tms Rmn"/>
    </font>
    <font>
      <sz val="8"/>
      <name val="Trebuchet MS"/>
      <family val="2"/>
    </font>
    <font>
      <sz val="10"/>
      <name val="Courier New"/>
      <family val="3"/>
    </font>
    <font>
      <b/>
      <sz val="9"/>
      <name val="Helv"/>
    </font>
    <font>
      <sz val="11"/>
      <name val="Times New Roman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rgb="FF9C0006"/>
      <name val="Verdana"/>
      <family val="2"/>
    </font>
    <font>
      <sz val="10"/>
      <color indexed="20"/>
      <name val="Verdana"/>
      <family val="2"/>
    </font>
    <font>
      <sz val="10"/>
      <color indexed="20"/>
      <name val="Trebuchet MS"/>
      <family val="2"/>
    </font>
    <font>
      <b/>
      <sz val="12"/>
      <color indexed="13"/>
      <name val="Arial"/>
      <family val="2"/>
    </font>
    <font>
      <sz val="8"/>
      <color indexed="13"/>
      <name val="Arial"/>
      <family val="2"/>
    </font>
    <font>
      <b/>
      <sz val="8"/>
      <color indexed="9"/>
      <name val="Arial"/>
      <family val="2"/>
    </font>
    <font>
      <sz val="8"/>
      <color indexed="12"/>
      <name val="Trebuchet MS"/>
      <family val="2"/>
    </font>
    <font>
      <b/>
      <sz val="9"/>
      <color indexed="12"/>
      <name val="Arial"/>
      <family val="2"/>
    </font>
    <font>
      <sz val="12"/>
      <name val="Tms Rmn"/>
    </font>
    <font>
      <b/>
      <sz val="12"/>
      <name val="Times New Roman"/>
      <family val="1"/>
    </font>
    <font>
      <i/>
      <sz val="8"/>
      <color indexed="12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indexed="8"/>
      <name val="Times New Roman"/>
      <family val="1"/>
    </font>
    <font>
      <sz val="12"/>
      <name val="±¼¸²Ã¼"/>
      <charset val="129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6"/>
      <color indexed="10"/>
      <name val="Trebuchet MS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sz val="8"/>
      <name val="Palatino"/>
      <family val="1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"/>
      <color indexed="8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b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62"/>
      <name val="Arial"/>
      <family val="2"/>
    </font>
    <font>
      <sz val="10"/>
      <color indexed="62"/>
      <name val="Book Antiqua"/>
      <family val="1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Palatino"/>
      <family val="1"/>
    </font>
    <font>
      <sz val="10"/>
      <name val="Times New Roman CE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43"/>
      <name val="Times New Roman"/>
      <family val="1"/>
    </font>
    <font>
      <sz val="10"/>
      <color indexed="62"/>
      <name val="Times New Roman"/>
      <family val="1"/>
    </font>
    <font>
      <sz val="10"/>
      <color indexed="12"/>
      <name val="Times New Roman"/>
      <family val="1"/>
    </font>
    <font>
      <b/>
      <sz val="12"/>
      <color indexed="9"/>
      <name val="Arial"/>
      <family val="2"/>
    </font>
    <font>
      <b/>
      <sz val="12"/>
      <color indexed="9"/>
      <name val="Trebuchet MS"/>
      <family val="2"/>
    </font>
    <font>
      <b/>
      <sz val="10"/>
      <color indexed="9"/>
      <name val="Arial"/>
      <family val="2"/>
    </font>
    <font>
      <b/>
      <sz val="14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9"/>
      <name val="Arial"/>
      <family val="2"/>
    </font>
    <font>
      <sz val="10"/>
      <color indexed="20"/>
      <name val="Times New Roman"/>
      <family val="1"/>
    </font>
    <font>
      <sz val="10"/>
      <name val="Stone Sans"/>
      <family val="2"/>
    </font>
    <font>
      <sz val="10"/>
      <name val="Optim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62"/>
      <name val="Arial"/>
      <family val="2"/>
    </font>
    <font>
      <sz val="8"/>
      <color indexed="20"/>
      <name val="Arial"/>
      <family val="2"/>
    </font>
    <font>
      <sz val="8"/>
      <color indexed="56"/>
      <name val="Arial"/>
      <family val="2"/>
    </font>
    <font>
      <b/>
      <sz val="8"/>
      <name val="Times New Roman"/>
      <family val="1"/>
    </font>
    <font>
      <b/>
      <sz val="18"/>
      <color indexed="18"/>
      <name val="Arial"/>
      <family val="2"/>
    </font>
    <font>
      <sz val="12"/>
      <name val="Optima"/>
      <family val="2"/>
    </font>
    <font>
      <b/>
      <i/>
      <sz val="16"/>
      <name val="Helv"/>
    </font>
    <font>
      <sz val="10"/>
      <color rgb="FF000000"/>
      <name val="Verdana"/>
      <family val="2"/>
    </font>
    <font>
      <sz val="10"/>
      <color indexed="14"/>
      <name val="Arial"/>
      <family val="2"/>
    </font>
    <font>
      <b/>
      <sz val="12"/>
      <name val="Stone Sans"/>
      <family val="2"/>
    </font>
    <font>
      <b/>
      <sz val="18"/>
      <name val="Arial"/>
      <family val="2"/>
    </font>
    <font>
      <b/>
      <sz val="14"/>
      <name val="Stone Sans"/>
      <family val="2"/>
    </font>
    <font>
      <sz val="10"/>
      <name val="Stone Sans"/>
    </font>
    <font>
      <b/>
      <sz val="10"/>
      <name val="Antique Olive"/>
      <family val="2"/>
    </font>
    <font>
      <sz val="10"/>
      <name val="Antique Olive"/>
      <family val="2"/>
    </font>
    <font>
      <b/>
      <sz val="14"/>
      <name val="Antique Olive"/>
      <family val="2"/>
    </font>
    <font>
      <i/>
      <sz val="10"/>
      <name val="Antique Olive"/>
      <family val="2"/>
    </font>
    <font>
      <b/>
      <sz val="18"/>
      <name val="Antique Olive"/>
      <family val="2"/>
    </font>
    <font>
      <sz val="10"/>
      <color indexed="12"/>
      <name val="Arial"/>
      <family val="2"/>
    </font>
    <font>
      <b/>
      <sz val="10"/>
      <color indexed="32"/>
      <name val="Palatino"/>
      <family val="1"/>
    </font>
    <font>
      <i/>
      <sz val="8"/>
      <color indexed="60"/>
      <name val="Times New Roman"/>
      <family val="1"/>
    </font>
    <font>
      <sz val="12"/>
      <color indexed="8"/>
      <name val="Times New Roman"/>
      <family val="1"/>
    </font>
    <font>
      <sz val="14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color indexed="9"/>
      <name val="Book Antiqua"/>
      <family val="1"/>
    </font>
    <font>
      <b/>
      <sz val="18"/>
      <color indexed="62"/>
      <name val="Cambria"/>
      <family val="2"/>
    </font>
    <font>
      <b/>
      <sz val="20"/>
      <color indexed="10"/>
      <name val="Arial"/>
      <family val="2"/>
    </font>
    <font>
      <sz val="12"/>
      <color indexed="10"/>
      <name val="Times New Roman"/>
      <family val="1"/>
    </font>
    <font>
      <b/>
      <sz val="10"/>
      <color indexed="62"/>
      <name val="Arial"/>
      <family val="2"/>
    </font>
    <font>
      <b/>
      <sz val="12"/>
      <color indexed="12"/>
      <name val="Arial"/>
      <family val="2"/>
    </font>
    <font>
      <sz val="11"/>
      <color indexed="17"/>
      <name val="Arial"/>
      <family val="2"/>
    </font>
    <font>
      <b/>
      <sz val="10"/>
      <color indexed="9"/>
      <name val="Book Antiqua"/>
      <family val="1"/>
    </font>
    <font>
      <b/>
      <i/>
      <sz val="10"/>
      <name val="Arial"/>
      <family val="2"/>
    </font>
    <font>
      <i/>
      <sz val="10"/>
      <color indexed="62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b/>
      <sz val="10"/>
      <name val="Helv"/>
    </font>
    <font>
      <b/>
      <sz val="10"/>
      <color indexed="4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u/>
      <sz val="10"/>
      <name val="Arial Narrow"/>
      <family val="2"/>
    </font>
    <font>
      <u/>
      <sz val="10"/>
      <color theme="1"/>
      <name val="Arial Narrow"/>
      <family val="2"/>
    </font>
    <font>
      <i/>
      <vertAlign val="subscript"/>
      <sz val="10"/>
      <name val="Arial Narrow"/>
      <family val="2"/>
    </font>
    <font>
      <b/>
      <sz val="10"/>
      <color rgb="FF0066FF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0"/>
      <color theme="0"/>
      <name val="Arial Narrow"/>
      <family val="2"/>
    </font>
  </fonts>
  <fills count="8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indexed="21"/>
        <bgColor indexed="2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1"/>
        <bgColor indexed="61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628">
    <xf numFmtId="0" fontId="0" fillId="0" borderId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20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8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8" fillId="0" borderId="0">
      <alignment vertical="top"/>
    </xf>
    <xf numFmtId="172" fontId="18" fillId="0" borderId="0">
      <alignment vertical="top"/>
    </xf>
    <xf numFmtId="173" fontId="23" fillId="0" borderId="0"/>
    <xf numFmtId="174" fontId="24" fillId="4" borderId="2">
      <alignment horizontal="center"/>
      <protection locked="0"/>
    </xf>
    <xf numFmtId="175" fontId="18" fillId="0" borderId="0"/>
    <xf numFmtId="175" fontId="18" fillId="0" borderId="0"/>
    <xf numFmtId="175" fontId="18" fillId="0" borderId="0"/>
    <xf numFmtId="175" fontId="18" fillId="0" borderId="0"/>
    <xf numFmtId="175" fontId="18" fillId="0" borderId="0"/>
    <xf numFmtId="172" fontId="25" fillId="0" borderId="0"/>
    <xf numFmtId="173" fontId="23" fillId="0" borderId="0"/>
    <xf numFmtId="175" fontId="18" fillId="0" borderId="0"/>
    <xf numFmtId="175" fontId="18" fillId="0" borderId="0"/>
    <xf numFmtId="175" fontId="18" fillId="0" borderId="0"/>
    <xf numFmtId="175" fontId="18" fillId="0" borderId="0"/>
    <xf numFmtId="175" fontId="18" fillId="0" borderId="0"/>
    <xf numFmtId="176" fontId="26" fillId="0" borderId="0" applyFont="0" applyFill="0" applyBorder="0" applyAlignment="0" applyProtection="0">
      <protection locked="0"/>
    </xf>
    <xf numFmtId="177" fontId="25" fillId="0" borderId="0">
      <alignment horizontal="right"/>
    </xf>
    <xf numFmtId="178" fontId="25" fillId="5" borderId="0"/>
    <xf numFmtId="179" fontId="25" fillId="5" borderId="0"/>
    <xf numFmtId="180" fontId="25" fillId="5" borderId="0"/>
    <xf numFmtId="181" fontId="25" fillId="5" borderId="0">
      <alignment horizontal="right"/>
    </xf>
    <xf numFmtId="0" fontId="18" fillId="0" borderId="0"/>
    <xf numFmtId="0" fontId="27" fillId="0" borderId="0"/>
    <xf numFmtId="182" fontId="27" fillId="0" borderId="0"/>
    <xf numFmtId="182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169" fontId="18" fillId="0" borderId="0"/>
    <xf numFmtId="169" fontId="18" fillId="0" borderId="0"/>
    <xf numFmtId="0" fontId="18" fillId="0" borderId="0"/>
    <xf numFmtId="173" fontId="18" fillId="0" borderId="0"/>
    <xf numFmtId="179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172" fontId="18" fillId="0" borderId="0"/>
    <xf numFmtId="0" fontId="18" fillId="0" borderId="0"/>
    <xf numFmtId="172" fontId="27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8" fillId="6" borderId="0" applyBorder="0">
      <alignment vertical="center"/>
    </xf>
    <xf numFmtId="0" fontId="18" fillId="0" borderId="0"/>
    <xf numFmtId="0" fontId="18" fillId="0" borderId="0"/>
    <xf numFmtId="172" fontId="27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27" fillId="0" borderId="0"/>
    <xf numFmtId="172" fontId="27" fillId="0" borderId="0"/>
    <xf numFmtId="0" fontId="18" fillId="0" borderId="0"/>
    <xf numFmtId="0" fontId="18" fillId="0" borderId="0"/>
    <xf numFmtId="0" fontId="18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172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172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172" fontId="18" fillId="0" borderId="0" applyBorder="0"/>
    <xf numFmtId="184" fontId="28" fillId="6" borderId="0" applyBorder="0">
      <alignment vertical="center"/>
    </xf>
    <xf numFmtId="172" fontId="29" fillId="0" borderId="0" applyNumberFormat="0" applyFont="0" applyFill="0" applyBorder="0" applyAlignment="0" applyProtection="0"/>
    <xf numFmtId="9" fontId="18" fillId="0" borderId="0">
      <alignment horizontal="center"/>
    </xf>
    <xf numFmtId="185" fontId="18" fillId="0" borderId="0" applyFont="0" applyFill="0" applyBorder="0" applyAlignment="0" applyProtection="0"/>
    <xf numFmtId="172" fontId="30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32" fillId="0" borderId="0">
      <alignment horizontal="right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2" fontId="33" fillId="0" borderId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72" fontId="33" fillId="0" borderId="0"/>
    <xf numFmtId="172" fontId="18" fillId="0" borderId="0" applyFont="0" applyFill="0" applyBorder="0" applyAlignment="0" applyProtection="0"/>
    <xf numFmtId="172" fontId="33" fillId="0" borderId="0"/>
    <xf numFmtId="172" fontId="33" fillId="0" borderId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 applyFont="0" applyFill="0" applyBorder="0" applyAlignment="0" applyProtection="0"/>
    <xf numFmtId="0" fontId="33" fillId="0" borderId="0"/>
    <xf numFmtId="172" fontId="18" fillId="0" borderId="0"/>
    <xf numFmtId="172" fontId="18" fillId="0" borderId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8" fontId="34" fillId="0" borderId="0" applyFont="0" applyFill="0" applyBorder="0" applyAlignment="0" applyProtection="0"/>
    <xf numFmtId="187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87" fontId="18" fillId="0" borderId="0" applyFont="0" applyFill="0" applyBorder="0" applyAlignment="0" applyProtection="0"/>
    <xf numFmtId="172" fontId="18" fillId="0" borderId="0"/>
    <xf numFmtId="172" fontId="18" fillId="0" borderId="0"/>
    <xf numFmtId="0" fontId="18" fillId="0" borderId="0"/>
    <xf numFmtId="172" fontId="33" fillId="0" borderId="0"/>
    <xf numFmtId="0" fontId="18" fillId="0" borderId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5" fillId="0" borderId="0"/>
    <xf numFmtId="0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89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18" fillId="0" borderId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/>
    <xf numFmtId="172" fontId="33" fillId="0" borderId="0"/>
    <xf numFmtId="172" fontId="30" fillId="0" borderId="0"/>
    <xf numFmtId="172" fontId="30" fillId="0" borderId="0"/>
    <xf numFmtId="38" fontId="34" fillId="0" borderId="0" applyAlignment="0" applyProtection="0"/>
    <xf numFmtId="38" fontId="34" fillId="0" borderId="0" applyFont="0" applyBorder="0" applyAlignment="0" applyProtection="0"/>
    <xf numFmtId="190" fontId="18" fillId="0" borderId="0" applyFont="0" applyFill="0" applyBorder="0" applyProtection="0">
      <alignment vertical="top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33" fillId="0" borderId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72" fontId="33" fillId="0" borderId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/>
    <xf numFmtId="38" fontId="36" fillId="0" borderId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Protection="0">
      <alignment vertical="top"/>
    </xf>
    <xf numFmtId="38" fontId="36" fillId="0" borderId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0" fontId="18" fillId="0" borderId="0"/>
    <xf numFmtId="172" fontId="33" fillId="0" borderId="0"/>
    <xf numFmtId="191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33" fillId="0" borderId="0"/>
    <xf numFmtId="172" fontId="33" fillId="0" borderId="0"/>
    <xf numFmtId="172" fontId="18" fillId="0" borderId="0"/>
    <xf numFmtId="0" fontId="18" fillId="0" borderId="0" applyFont="0" applyFill="0" applyBorder="0" applyAlignment="0" applyProtection="0"/>
    <xf numFmtId="172" fontId="33" fillId="0" borderId="0"/>
    <xf numFmtId="38" fontId="36" fillId="0" borderId="0" applyAlignment="0" applyProtection="0"/>
    <xf numFmtId="0" fontId="35" fillId="0" borderId="0"/>
    <xf numFmtId="0" fontId="35" fillId="0" borderId="0"/>
    <xf numFmtId="172" fontId="18" fillId="0" borderId="0"/>
    <xf numFmtId="172" fontId="18" fillId="0" borderId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95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96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98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72" fontId="37" fillId="0" borderId="0"/>
    <xf numFmtId="172" fontId="37" fillId="0" borderId="0"/>
    <xf numFmtId="172" fontId="37" fillId="0" borderId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/>
    <xf numFmtId="0" fontId="35" fillId="0" borderId="0"/>
    <xf numFmtId="0" fontId="35" fillId="0" borderId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38" fillId="0" borderId="0" applyNumberFormat="0" applyFill="0" applyBorder="0" applyProtection="0">
      <alignment horizontal="left"/>
    </xf>
    <xf numFmtId="172" fontId="39" fillId="0" borderId="0" applyNumberFormat="0" applyFill="0" applyBorder="0" applyProtection="0">
      <alignment horizontal="centerContinuous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37" fillId="0" borderId="0"/>
    <xf numFmtId="172" fontId="37" fillId="0" borderId="0"/>
    <xf numFmtId="199" fontId="40" fillId="0" borderId="0"/>
    <xf numFmtId="172" fontId="30" fillId="0" borderId="0"/>
    <xf numFmtId="172" fontId="30" fillId="0" borderId="0"/>
    <xf numFmtId="172" fontId="37" fillId="0" borderId="0"/>
    <xf numFmtId="172" fontId="37" fillId="0" borderId="0"/>
    <xf numFmtId="172" fontId="37" fillId="0" borderId="0"/>
    <xf numFmtId="0" fontId="18" fillId="0" borderId="0" applyFont="0" applyFill="0" applyBorder="0" applyAlignment="0" applyProtection="0"/>
    <xf numFmtId="172" fontId="18" fillId="0" borderId="0"/>
    <xf numFmtId="172" fontId="33" fillId="0" borderId="0"/>
    <xf numFmtId="199" fontId="4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30" fillId="0" borderId="0" applyFont="0" applyFill="0" applyBorder="0" applyAlignment="0" applyProtection="0"/>
    <xf numFmtId="202" fontId="42" fillId="0" borderId="0"/>
    <xf numFmtId="203" fontId="30" fillId="0" borderId="0" applyFont="0" applyFill="0" applyBorder="0" applyAlignment="0" applyProtection="0"/>
    <xf numFmtId="204" fontId="41" fillId="0" borderId="0" applyFont="0" applyFill="0" applyBorder="0" applyAlignment="0" applyProtection="0"/>
    <xf numFmtId="0" fontId="27" fillId="0" borderId="0"/>
    <xf numFmtId="0" fontId="18" fillId="0" borderId="0"/>
    <xf numFmtId="0" fontId="18" fillId="0" borderId="0"/>
    <xf numFmtId="0" fontId="18" fillId="0" borderId="0"/>
    <xf numFmtId="169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0" fontId="27" fillId="0" borderId="0">
      <alignment vertical="justify"/>
    </xf>
    <xf numFmtId="172" fontId="18" fillId="0" borderId="0"/>
    <xf numFmtId="171" fontId="18" fillId="0" borderId="0" applyBorder="0"/>
    <xf numFmtId="0" fontId="18" fillId="0" borderId="0"/>
    <xf numFmtId="0" fontId="18" fillId="0" borderId="0"/>
    <xf numFmtId="172" fontId="18" fillId="0" borderId="0" applyBorder="0"/>
    <xf numFmtId="171" fontId="18" fillId="0" borderId="0" applyBorder="0"/>
    <xf numFmtId="199" fontId="40" fillId="0" borderId="0"/>
    <xf numFmtId="205" fontId="42" fillId="0" borderId="0"/>
    <xf numFmtId="205" fontId="43" fillId="0" borderId="0"/>
    <xf numFmtId="206" fontId="42" fillId="0" borderId="0"/>
    <xf numFmtId="207" fontId="26" fillId="0" borderId="0" applyFont="0" applyFill="0" applyBorder="0" applyAlignment="0" applyProtection="0"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08" fontId="46" fillId="0" borderId="0"/>
    <xf numFmtId="172" fontId="43" fillId="0" borderId="0"/>
    <xf numFmtId="208" fontId="47" fillId="0" borderId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48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9" fontId="49" fillId="8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8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169" fontId="49" fillId="10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48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169" fontId="49" fillId="12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9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4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69" fontId="49" fillId="16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48" fillId="1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169" fontId="49" fillId="17" borderId="0" applyNumberFormat="0" applyBorder="0" applyAlignment="0" applyProtection="0"/>
    <xf numFmtId="209" fontId="42" fillId="0" borderId="0"/>
    <xf numFmtId="210" fontId="43" fillId="0" borderId="0"/>
    <xf numFmtId="209" fontId="50" fillId="0" borderId="0"/>
    <xf numFmtId="0" fontId="18" fillId="0" borderId="0"/>
    <xf numFmtId="0" fontId="18" fillId="0" borderId="0"/>
    <xf numFmtId="211" fontId="42" fillId="0" borderId="0"/>
    <xf numFmtId="0" fontId="12" fillId="2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2" fillId="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169" fontId="49" fillId="15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169" fontId="49" fillId="9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48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69" fontId="49" fillId="20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9" fontId="49" fillId="14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8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169" fontId="49" fillId="15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8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69" fontId="49" fillId="22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1" fillId="18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169" fontId="53" fillId="23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169" fontId="53" fillId="9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169" fontId="53" fillId="20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1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169" fontId="53" fillId="24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18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69" fontId="53" fillId="25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1" fillId="17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169" fontId="53" fillId="26" borderId="0" applyNumberFormat="0" applyBorder="0" applyAlignment="0" applyProtection="0"/>
    <xf numFmtId="0" fontId="23" fillId="0" borderId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169" fontId="53" fillId="33" borderId="0" applyNumberFormat="0" applyBorder="0" applyAlignment="0" applyProtection="0"/>
    <xf numFmtId="0" fontId="20" fillId="27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169" fontId="53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38" borderId="0" applyNumberFormat="0" applyBorder="0" applyAlignment="0" applyProtection="0"/>
    <xf numFmtId="0" fontId="20" fillId="27" borderId="0" applyNumberFormat="0" applyBorder="0" applyAlignment="0" applyProtection="0"/>
    <xf numFmtId="0" fontId="20" fillId="39" borderId="0" applyNumberFormat="0" applyBorder="0" applyAlignment="0" applyProtection="0"/>
    <xf numFmtId="0" fontId="52" fillId="30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35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169" fontId="53" fillId="19" borderId="0" applyNumberFormat="0" applyBorder="0" applyAlignment="0" applyProtection="0"/>
    <xf numFmtId="0" fontId="20" fillId="27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5" borderId="0" applyNumberFormat="0" applyBorder="0" applyAlignment="0" applyProtection="0"/>
    <xf numFmtId="0" fontId="52" fillId="30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40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169" fontId="53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27" borderId="0" applyNumberFormat="0" applyBorder="0" applyAlignment="0" applyProtection="0"/>
    <xf numFmtId="0" fontId="20" fillId="42" borderId="0" applyNumberFormat="0" applyBorder="0" applyAlignment="0" applyProtection="0"/>
    <xf numFmtId="0" fontId="52" fillId="31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43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69" fontId="53" fillId="25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27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169" fontId="53" fillId="47" borderId="0" applyNumberFormat="0" applyBorder="0" applyAlignment="0" applyProtection="0"/>
    <xf numFmtId="212" fontId="18" fillId="48" borderId="3" applyFont="0" applyFill="0" applyBorder="0" applyAlignment="0" applyProtection="0"/>
    <xf numFmtId="213" fontId="54" fillId="0" borderId="4">
      <alignment horizontal="centerContinuous"/>
    </xf>
    <xf numFmtId="214" fontId="22" fillId="49" borderId="5">
      <alignment horizontal="center" vertical="center"/>
    </xf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35" fillId="0" borderId="0"/>
    <xf numFmtId="199" fontId="55" fillId="0" borderId="0" applyNumberFormat="0" applyFont="0" applyFill="0" applyBorder="0" applyProtection="0">
      <alignment horizontal="center"/>
    </xf>
    <xf numFmtId="215" fontId="56" fillId="0" borderId="0">
      <alignment horizontal="left"/>
    </xf>
    <xf numFmtId="0" fontId="46" fillId="0" borderId="0"/>
    <xf numFmtId="0" fontId="57" fillId="0" borderId="6">
      <alignment horizontal="center" vertical="center"/>
    </xf>
    <xf numFmtId="216" fontId="26" fillId="50" borderId="7" applyNumberFormat="0" applyFont="0" applyAlignment="0" applyProtection="0">
      <alignment vertical="center"/>
    </xf>
    <xf numFmtId="217" fontId="58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1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1" fillId="3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169" fontId="61" fillId="3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169" fontId="63" fillId="10" borderId="0" applyNumberFormat="0" applyBorder="0" applyAlignment="0" applyProtection="0"/>
    <xf numFmtId="218" fontId="64" fillId="52" borderId="8" applyNumberFormat="0" applyBorder="0" applyAlignment="0">
      <alignment horizontal="centerContinuous" vertical="center"/>
      <protection hidden="1"/>
    </xf>
    <xf numFmtId="1" fontId="65" fillId="53" borderId="3" applyNumberFormat="0" applyBorder="0" applyAlignment="0">
      <alignment horizontal="center" vertical="top" wrapText="1"/>
      <protection hidden="1"/>
    </xf>
    <xf numFmtId="219" fontId="18" fillId="0" borderId="0" applyFont="0" applyFill="0" applyBorder="0" applyAlignment="0" applyProtection="0"/>
    <xf numFmtId="187" fontId="18" fillId="0" borderId="0" applyNumberFormat="0" applyFont="0" applyAlignment="0" applyProtection="0"/>
    <xf numFmtId="216" fontId="26" fillId="54" borderId="9" applyNumberFormat="0" applyFont="0" applyAlignment="0" applyProtection="0">
      <alignment vertical="center"/>
    </xf>
    <xf numFmtId="172" fontId="66" fillId="55" borderId="0">
      <alignment horizontal="left"/>
    </xf>
    <xf numFmtId="220" fontId="67" fillId="0" borderId="0" applyFill="0" applyBorder="0" applyAlignment="0" applyProtection="0"/>
    <xf numFmtId="2" fontId="68" fillId="56" borderId="10" applyProtection="0">
      <alignment horizontal="left"/>
      <protection locked="0"/>
    </xf>
    <xf numFmtId="172" fontId="22" fillId="49" borderId="0" applyNumberFormat="0" applyFont="0" applyAlignment="0">
      <alignment horizontal="center"/>
    </xf>
    <xf numFmtId="221" fontId="44" fillId="49" borderId="0" applyFont="0" applyFill="0" applyBorder="0" applyAlignment="0" applyProtection="0"/>
    <xf numFmtId="172" fontId="69" fillId="0" borderId="0" applyNumberFormat="0" applyFill="0" applyBorder="0" applyAlignment="0" applyProtection="0"/>
    <xf numFmtId="172" fontId="70" fillId="0" borderId="4" applyNumberFormat="0" applyFill="0" applyAlignment="0" applyProtection="0"/>
    <xf numFmtId="172" fontId="42" fillId="0" borderId="0"/>
    <xf numFmtId="222" fontId="71" fillId="6" borderId="0" applyFont="0" applyFill="0" applyBorder="0" applyAlignment="0" applyProtection="0"/>
    <xf numFmtId="223" fontId="18" fillId="0" borderId="0" applyFont="0" applyFill="0" applyBorder="0" applyAlignment="0" applyProtection="0"/>
    <xf numFmtId="224" fontId="23" fillId="0" borderId="0" applyAlignment="0" applyProtection="0"/>
    <xf numFmtId="49" fontId="40" fillId="0" borderId="0" applyNumberFormat="0" applyAlignment="0" applyProtection="0">
      <alignment horizontal="left"/>
    </xf>
    <xf numFmtId="49" fontId="72" fillId="0" borderId="11" applyNumberFormat="0" applyAlignment="0" applyProtection="0">
      <alignment horizontal="left" wrapText="1"/>
    </xf>
    <xf numFmtId="49" fontId="73" fillId="0" borderId="0" applyAlignment="0" applyProtection="0">
      <alignment horizontal="left"/>
    </xf>
    <xf numFmtId="225" fontId="30" fillId="0" borderId="0" applyFont="0" applyFill="0" applyBorder="0" applyAlignment="0" applyProtection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4" fillId="0" borderId="0"/>
    <xf numFmtId="172" fontId="75" fillId="0" borderId="0"/>
    <xf numFmtId="226" fontId="23" fillId="0" borderId="0"/>
    <xf numFmtId="227" fontId="23" fillId="0" borderId="0"/>
    <xf numFmtId="228" fontId="23" fillId="0" borderId="0"/>
    <xf numFmtId="226" fontId="23" fillId="0" borderId="12"/>
    <xf numFmtId="227" fontId="23" fillId="0" borderId="12"/>
    <xf numFmtId="227" fontId="23" fillId="0" borderId="12"/>
    <xf numFmtId="228" fontId="23" fillId="0" borderId="12"/>
    <xf numFmtId="228" fontId="23" fillId="0" borderId="12"/>
    <xf numFmtId="226" fontId="23" fillId="0" borderId="12"/>
    <xf numFmtId="229" fontId="23" fillId="0" borderId="0"/>
    <xf numFmtId="172" fontId="26" fillId="0" borderId="0" applyFill="0" applyBorder="0" applyAlignment="0"/>
    <xf numFmtId="230" fontId="23" fillId="0" borderId="0"/>
    <xf numFmtId="231" fontId="23" fillId="0" borderId="0"/>
    <xf numFmtId="229" fontId="23" fillId="0" borderId="12"/>
    <xf numFmtId="230" fontId="23" fillId="0" borderId="12"/>
    <xf numFmtId="230" fontId="23" fillId="0" borderId="12"/>
    <xf numFmtId="231" fontId="23" fillId="0" borderId="12"/>
    <xf numFmtId="231" fontId="23" fillId="0" borderId="12"/>
    <xf numFmtId="229" fontId="23" fillId="0" borderId="12"/>
    <xf numFmtId="232" fontId="23" fillId="0" borderId="0">
      <alignment horizontal="right"/>
      <protection locked="0"/>
    </xf>
    <xf numFmtId="233" fontId="23" fillId="0" borderId="0">
      <alignment horizontal="right"/>
      <protection locked="0"/>
    </xf>
    <xf numFmtId="234" fontId="23" fillId="0" borderId="0"/>
    <xf numFmtId="235" fontId="23" fillId="0" borderId="0"/>
    <xf numFmtId="236" fontId="23" fillId="0" borderId="0"/>
    <xf numFmtId="234" fontId="23" fillId="0" borderId="12"/>
    <xf numFmtId="235" fontId="23" fillId="0" borderId="12"/>
    <xf numFmtId="235" fontId="23" fillId="0" borderId="12"/>
    <xf numFmtId="236" fontId="23" fillId="0" borderId="12"/>
    <xf numFmtId="236" fontId="23" fillId="0" borderId="12"/>
    <xf numFmtId="234" fontId="23" fillId="0" borderId="12"/>
    <xf numFmtId="0" fontId="18" fillId="0" borderId="0"/>
    <xf numFmtId="0" fontId="18" fillId="0" borderId="0" applyBorder="0"/>
    <xf numFmtId="2" fontId="18" fillId="0" borderId="0"/>
    <xf numFmtId="170" fontId="18" fillId="0" borderId="0"/>
    <xf numFmtId="237" fontId="18" fillId="5" borderId="0"/>
    <xf numFmtId="172" fontId="18" fillId="0" borderId="0">
      <alignment vertical="center"/>
    </xf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6" fillId="57" borderId="13" applyNumberFormat="0" applyAlignment="0" applyProtection="0"/>
    <xf numFmtId="0" fontId="77" fillId="21" borderId="13" applyNumberFormat="0" applyAlignment="0" applyProtection="0"/>
    <xf numFmtId="238" fontId="26" fillId="0" borderId="9" applyAlignment="0">
      <alignment vertical="center"/>
    </xf>
    <xf numFmtId="239" fontId="18" fillId="0" borderId="14" applyFont="0" applyFill="0" applyBorder="0" applyAlignment="0" applyProtection="0"/>
    <xf numFmtId="240" fontId="18" fillId="0" borderId="14" applyFont="0" applyFill="0" applyBorder="0" applyAlignment="0" applyProtection="0"/>
    <xf numFmtId="241" fontId="18" fillId="0" borderId="15" applyFont="0" applyFill="0" applyBorder="0" applyAlignment="0" applyProtection="0"/>
    <xf numFmtId="242" fontId="18" fillId="0" borderId="14" applyFont="0" applyFill="0" applyBorder="0" applyAlignment="0" applyProtection="0"/>
    <xf numFmtId="38" fontId="78" fillId="0" borderId="0" applyNumberFormat="0" applyFill="0" applyBorder="0" applyAlignment="0" applyProtection="0"/>
    <xf numFmtId="0" fontId="79" fillId="35" borderId="16" applyNumberFormat="0" applyAlignment="0" applyProtection="0"/>
    <xf numFmtId="0" fontId="79" fillId="58" borderId="16" applyNumberFormat="0" applyAlignment="0" applyProtection="0"/>
    <xf numFmtId="38" fontId="18" fillId="0" borderId="0" applyNumberFormat="0" applyFill="0" applyBorder="0" applyAlignment="0" applyProtection="0">
      <protection locked="0"/>
    </xf>
    <xf numFmtId="38" fontId="18" fillId="0" borderId="0" applyNumberFormat="0" applyFill="0" applyBorder="0" applyAlignment="0" applyProtection="0">
      <protection locked="0"/>
    </xf>
    <xf numFmtId="38" fontId="18" fillId="0" borderId="0" applyNumberFormat="0" applyFill="0" applyBorder="0" applyAlignment="0" applyProtection="0">
      <protection locked="0"/>
    </xf>
    <xf numFmtId="37" fontId="22" fillId="0" borderId="4">
      <alignment horizontal="center"/>
    </xf>
    <xf numFmtId="37" fontId="22" fillId="0" borderId="0">
      <alignment horizontal="center" vertical="center" wrapText="1"/>
    </xf>
    <xf numFmtId="1" fontId="80" fillId="0" borderId="17">
      <alignment vertical="top"/>
    </xf>
    <xf numFmtId="243" fontId="81" fillId="0" borderId="0" applyBorder="0">
      <alignment horizontal="right"/>
    </xf>
    <xf numFmtId="243" fontId="81" fillId="0" borderId="1" applyAlignment="0">
      <alignment horizontal="right"/>
    </xf>
    <xf numFmtId="244" fontId="30" fillId="0" borderId="0"/>
    <xf numFmtId="244" fontId="30" fillId="0" borderId="0"/>
    <xf numFmtId="244" fontId="30" fillId="0" borderId="0"/>
    <xf numFmtId="244" fontId="30" fillId="0" borderId="0"/>
    <xf numFmtId="244" fontId="30" fillId="0" borderId="0"/>
    <xf numFmtId="244" fontId="30" fillId="0" borderId="0"/>
    <xf numFmtId="244" fontId="30" fillId="0" borderId="0"/>
    <xf numFmtId="244" fontId="30" fillId="0" borderId="0"/>
    <xf numFmtId="38" fontId="18" fillId="0" borderId="0" applyFont="0" applyFill="0" applyBorder="0" applyAlignment="0" applyProtection="0"/>
    <xf numFmtId="245" fontId="18" fillId="0" borderId="14" applyFont="0" applyFill="0" applyBorder="0" applyAlignment="0" applyProtection="0"/>
    <xf numFmtId="246" fontId="18" fillId="0" borderId="14" applyFont="0" applyFill="0" applyBorder="0" applyAlignment="0" applyProtection="0"/>
    <xf numFmtId="199" fontId="26" fillId="0" borderId="0" applyFont="0" applyFill="0" applyBorder="0" applyAlignment="0" applyProtection="0">
      <protection locked="0"/>
    </xf>
    <xf numFmtId="40" fontId="26" fillId="0" borderId="0" applyFont="0" applyFill="0" applyBorder="0" applyAlignment="0" applyProtection="0">
      <protection locked="0"/>
    </xf>
    <xf numFmtId="247" fontId="18" fillId="0" borderId="14" applyFont="0" applyFill="0" applyBorder="0" applyAlignment="0" applyProtection="0"/>
    <xf numFmtId="248" fontId="26" fillId="0" borderId="0" applyFont="0" applyFill="0" applyBorder="0" applyAlignment="0" applyProtection="0"/>
    <xf numFmtId="249" fontId="26" fillId="0" borderId="0" applyFont="0" applyFill="0" applyBorder="0" applyAlignment="0" applyProtection="0"/>
    <xf numFmtId="247" fontId="18" fillId="0" borderId="14" applyFont="0" applyFill="0" applyBorder="0" applyAlignment="0" applyProtection="0"/>
    <xf numFmtId="250" fontId="18" fillId="0" borderId="14" applyFont="0" applyFill="0" applyBorder="0" applyAlignment="0" applyProtection="0"/>
    <xf numFmtId="251" fontId="26" fillId="0" borderId="0" applyFont="0" applyFill="0" applyBorder="0" applyAlignment="0" applyProtection="0"/>
    <xf numFmtId="0" fontId="18" fillId="0" borderId="0" applyNumberFormat="0" applyFont="0" applyBorder="0" applyAlignment="0"/>
    <xf numFmtId="202" fontId="42" fillId="0" borderId="0"/>
    <xf numFmtId="252" fontId="46" fillId="0" borderId="0"/>
    <xf numFmtId="172" fontId="82" fillId="0" borderId="0" applyFont="0" applyFill="0" applyBorder="0" applyAlignment="0" applyProtection="0">
      <alignment horizontal="right"/>
    </xf>
    <xf numFmtId="253" fontId="82" fillId="0" borderId="0" applyFont="0" applyFill="0" applyBorder="0" applyAlignment="0" applyProtection="0"/>
    <xf numFmtId="172" fontId="82" fillId="0" borderId="0" applyFont="0" applyFill="0" applyBorder="0" applyAlignment="0" applyProtection="0">
      <alignment horizontal="right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25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254" fontId="27" fillId="0" borderId="0" applyFont="0" applyFill="0" applyBorder="0" applyAlignment="0" applyProtection="0"/>
    <xf numFmtId="255" fontId="27" fillId="0" borderId="0" applyFont="0" applyFill="0" applyBorder="0" applyAlignment="0" applyProtection="0"/>
    <xf numFmtId="255" fontId="27" fillId="0" borderId="0" applyFont="0" applyFill="0" applyBorder="0" applyAlignment="0" applyProtection="0"/>
    <xf numFmtId="2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256" fontId="27" fillId="0" borderId="0" applyFont="0" applyFill="0" applyBorder="0" applyAlignment="0" applyProtection="0"/>
    <xf numFmtId="256" fontId="27" fillId="0" borderId="0" applyFont="0" applyFill="0" applyBorder="0" applyAlignment="0" applyProtection="0"/>
    <xf numFmtId="256" fontId="27" fillId="0" borderId="0" applyFont="0" applyFill="0" applyBorder="0" applyAlignment="0" applyProtection="0"/>
    <xf numFmtId="243" fontId="27" fillId="0" borderId="0" applyFont="0" applyFill="0" applyBorder="0" applyAlignment="0" applyProtection="0"/>
    <xf numFmtId="24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18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257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258" fontId="1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59" fontId="26" fillId="0" borderId="0" applyFont="0" applyFill="0" applyBorder="0" applyAlignment="0" applyProtection="0"/>
    <xf numFmtId="260" fontId="26" fillId="0" borderId="0" applyFont="0" applyFill="0" applyBorder="0" applyAlignment="0" applyProtection="0"/>
    <xf numFmtId="261" fontId="18" fillId="0" borderId="0" applyFont="0" applyFill="0" applyBorder="0" applyAlignment="0" applyProtection="0"/>
    <xf numFmtId="38" fontId="30" fillId="0" borderId="0" applyFill="0" applyBorder="0" applyProtection="0">
      <alignment horizontal="center"/>
    </xf>
    <xf numFmtId="172" fontId="85" fillId="0" borderId="0">
      <protection locked="0"/>
    </xf>
    <xf numFmtId="262" fontId="18" fillId="0" borderId="0" applyBorder="0"/>
    <xf numFmtId="263" fontId="40" fillId="0" borderId="0" applyBorder="0"/>
    <xf numFmtId="172" fontId="86" fillId="0" borderId="0"/>
    <xf numFmtId="264" fontId="18" fillId="0" borderId="0" applyFill="0" applyBorder="0">
      <alignment horizontal="left"/>
    </xf>
    <xf numFmtId="172" fontId="87" fillId="0" borderId="0" applyNumberFormat="0" applyAlignment="0">
      <alignment horizontal="left"/>
    </xf>
    <xf numFmtId="37" fontId="18" fillId="59" borderId="0" applyFont="0" applyBorder="0" applyAlignment="0" applyProtection="0"/>
    <xf numFmtId="187" fontId="37" fillId="59" borderId="0" applyFont="0" applyBorder="0" applyAlignment="0" applyProtection="0"/>
    <xf numFmtId="39" fontId="37" fillId="59" borderId="0" applyFont="0" applyBorder="0" applyAlignment="0" applyProtection="0"/>
    <xf numFmtId="168" fontId="88" fillId="0" borderId="0"/>
    <xf numFmtId="265" fontId="26" fillId="0" borderId="0" applyFont="0" applyFill="0" applyBorder="0" applyProtection="0">
      <alignment horizontal="right" vertical="center"/>
    </xf>
    <xf numFmtId="266" fontId="18" fillId="0" borderId="0" applyFont="0" applyFill="0" applyBorder="0" applyAlignment="0" applyProtection="0"/>
    <xf numFmtId="267" fontId="26" fillId="0" borderId="0" applyFont="0" applyFill="0" applyBorder="0" applyAlignment="0" applyProtection="0">
      <protection locked="0"/>
    </xf>
    <xf numFmtId="174" fontId="26" fillId="0" borderId="0" applyFont="0" applyFill="0" applyBorder="0" applyAlignment="0" applyProtection="0">
      <protection locked="0"/>
    </xf>
    <xf numFmtId="268" fontId="26" fillId="0" borderId="0" applyFont="0" applyFill="0" applyBorder="0" applyAlignment="0" applyProtection="0"/>
    <xf numFmtId="269" fontId="26" fillId="0" borderId="0" applyFont="0" applyFill="0" applyBorder="0" applyAlignment="0" applyProtection="0"/>
    <xf numFmtId="270" fontId="26" fillId="0" borderId="0" applyFont="0" applyFill="0" applyBorder="0" applyAlignment="0" applyProtection="0"/>
    <xf numFmtId="242" fontId="26" fillId="0" borderId="0" applyFont="0" applyFill="0" applyBorder="0" applyAlignment="0" applyProtection="0"/>
    <xf numFmtId="271" fontId="26" fillId="0" borderId="0" applyFont="0" applyFill="0" applyBorder="0" applyAlignment="0" applyProtection="0"/>
    <xf numFmtId="272" fontId="18" fillId="0" borderId="0">
      <alignment horizontal="right"/>
    </xf>
    <xf numFmtId="171" fontId="89" fillId="0" borderId="0" applyFill="0" applyBorder="0">
      <protection locked="0"/>
    </xf>
    <xf numFmtId="273" fontId="18" fillId="0" borderId="0" applyFill="0" applyBorder="0"/>
    <xf numFmtId="273" fontId="89" fillId="0" borderId="0" applyFill="0" applyBorder="0">
      <protection locked="0"/>
    </xf>
    <xf numFmtId="172" fontId="82" fillId="0" borderId="0" applyFont="0" applyFill="0" applyBorder="0" applyAlignment="0" applyProtection="0">
      <alignment horizontal="right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274" fontId="18" fillId="0" borderId="0" applyFont="0" applyFill="0" applyBorder="0" applyAlignment="0" applyProtection="0"/>
    <xf numFmtId="172" fontId="82" fillId="0" borderId="0" applyFont="0" applyFill="0" applyBorder="0" applyAlignment="0" applyProtection="0">
      <alignment horizontal="right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2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12" fillId="0" borderId="0" applyFont="0" applyFill="0" applyBorder="0" applyAlignment="0" applyProtection="0"/>
    <xf numFmtId="275" fontId="26" fillId="0" borderId="0" applyFont="0" applyFill="0" applyBorder="0" applyAlignment="0" applyProtection="0"/>
    <xf numFmtId="276" fontId="26" fillId="0" borderId="0" applyFont="0" applyFill="0" applyBorder="0" applyAlignment="0" applyProtection="0"/>
    <xf numFmtId="277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278" fontId="25" fillId="5" borderId="10">
      <alignment horizontal="right"/>
    </xf>
    <xf numFmtId="279" fontId="30" fillId="0" borderId="0" applyFont="0" applyFill="0" applyBorder="0" applyAlignment="0" applyProtection="0"/>
    <xf numFmtId="226" fontId="23" fillId="6" borderId="6">
      <protection locked="0"/>
    </xf>
    <xf numFmtId="227" fontId="23" fillId="6" borderId="6">
      <protection locked="0"/>
    </xf>
    <xf numFmtId="228" fontId="23" fillId="6" borderId="6">
      <protection locked="0"/>
    </xf>
    <xf numFmtId="229" fontId="23" fillId="6" borderId="6">
      <protection locked="0"/>
    </xf>
    <xf numFmtId="230" fontId="23" fillId="6" borderId="6">
      <protection locked="0"/>
    </xf>
    <xf numFmtId="231" fontId="23" fillId="6" borderId="6">
      <protection locked="0"/>
    </xf>
    <xf numFmtId="232" fontId="23" fillId="60" borderId="6">
      <alignment horizontal="right"/>
      <protection locked="0"/>
    </xf>
    <xf numFmtId="233" fontId="23" fillId="60" borderId="6">
      <alignment horizontal="right"/>
      <protection locked="0"/>
    </xf>
    <xf numFmtId="0" fontId="90" fillId="6" borderId="7">
      <alignment horizontal="right"/>
    </xf>
    <xf numFmtId="280" fontId="23" fillId="61" borderId="6">
      <alignment horizontal="left"/>
      <protection locked="0"/>
    </xf>
    <xf numFmtId="49" fontId="23" fillId="62" borderId="6">
      <alignment horizontal="left" vertical="top" wrapText="1"/>
      <protection locked="0"/>
    </xf>
    <xf numFmtId="234" fontId="23" fillId="6" borderId="6">
      <protection locked="0"/>
    </xf>
    <xf numFmtId="235" fontId="23" fillId="6" borderId="6">
      <protection locked="0"/>
    </xf>
    <xf numFmtId="236" fontId="23" fillId="6" borderId="6">
      <protection locked="0"/>
    </xf>
    <xf numFmtId="0" fontId="44" fillId="0" borderId="0"/>
    <xf numFmtId="49" fontId="23" fillId="62" borderId="6">
      <alignment horizontal="left"/>
      <protection locked="0"/>
    </xf>
    <xf numFmtId="281" fontId="23" fillId="6" borderId="6">
      <alignment horizontal="left" indent="1"/>
      <protection locked="0"/>
    </xf>
    <xf numFmtId="282" fontId="91" fillId="6" borderId="7">
      <protection locked="0"/>
    </xf>
    <xf numFmtId="283" fontId="18" fillId="0" borderId="0" applyFill="0" applyBorder="0"/>
    <xf numFmtId="283" fontId="18" fillId="0" borderId="0" applyFill="0" applyBorder="0"/>
    <xf numFmtId="172" fontId="82" fillId="0" borderId="0" applyFont="0" applyFill="0" applyBorder="0" applyAlignment="0" applyProtection="0"/>
    <xf numFmtId="284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5" fontId="92" fillId="63" borderId="7">
      <alignment horizontal="center" vertical="center"/>
    </xf>
    <xf numFmtId="172" fontId="81" fillId="56" borderId="0">
      <alignment horizontal="left"/>
    </xf>
    <xf numFmtId="15" fontId="89" fillId="0" borderId="0" applyFill="0" applyBorder="0">
      <protection locked="0"/>
    </xf>
    <xf numFmtId="283" fontId="18" fillId="0" borderId="0" applyFill="0" applyBorder="0"/>
    <xf numFmtId="285" fontId="18" fillId="0" borderId="0" applyFont="0" applyFill="0" applyBorder="0" applyAlignment="0" applyProtection="0"/>
    <xf numFmtId="15" fontId="93" fillId="0" borderId="0"/>
    <xf numFmtId="286" fontId="18" fillId="0" borderId="0" applyFont="0" applyFill="0" applyBorder="0" applyAlignment="0" applyProtection="0"/>
    <xf numFmtId="287" fontId="18" fillId="0" borderId="0" applyFont="0" applyFill="0" applyBorder="0" applyAlignment="0" applyProtection="0"/>
    <xf numFmtId="206" fontId="46" fillId="0" borderId="0">
      <alignment horizontal="right"/>
    </xf>
    <xf numFmtId="202" fontId="46" fillId="0" borderId="0">
      <alignment horizontal="right"/>
      <protection locked="0"/>
    </xf>
    <xf numFmtId="202" fontId="46" fillId="0" borderId="0"/>
    <xf numFmtId="288" fontId="46" fillId="0" borderId="0">
      <alignment horizontal="right"/>
      <protection locked="0"/>
    </xf>
    <xf numFmtId="202" fontId="47" fillId="0" borderId="0"/>
    <xf numFmtId="1" fontId="18" fillId="0" borderId="0" applyFill="0" applyBorder="0">
      <alignment horizontal="right"/>
    </xf>
    <xf numFmtId="2" fontId="18" fillId="0" borderId="0" applyFill="0" applyBorder="0">
      <alignment horizontal="right"/>
    </xf>
    <xf numFmtId="2" fontId="89" fillId="0" borderId="0" applyFill="0" applyBorder="0">
      <protection locked="0"/>
    </xf>
    <xf numFmtId="170" fontId="18" fillId="0" borderId="0" applyFill="0" applyBorder="0">
      <alignment horizontal="right"/>
    </xf>
    <xf numFmtId="170" fontId="89" fillId="0" borderId="0" applyFill="0" applyBorder="0">
      <protection locked="0"/>
    </xf>
    <xf numFmtId="289" fontId="18" fillId="0" borderId="0" applyFont="0" applyFill="0" applyBorder="0" applyAlignment="0" applyProtection="0"/>
    <xf numFmtId="290" fontId="18" fillId="0" borderId="0" applyFont="0" applyFill="0" applyBorder="0" applyAlignment="0" applyProtection="0"/>
    <xf numFmtId="199" fontId="55" fillId="5" borderId="0" applyNumberFormat="0" applyFont="0" applyBorder="0" applyAlignment="0" applyProtection="0"/>
    <xf numFmtId="174" fontId="30" fillId="0" borderId="0" applyFill="0" applyBorder="0" applyProtection="0">
      <alignment horizontal="center"/>
    </xf>
    <xf numFmtId="267" fontId="30" fillId="0" borderId="0">
      <alignment horizontal="center"/>
    </xf>
    <xf numFmtId="174" fontId="30" fillId="0" borderId="0" applyFill="0" applyBorder="0" applyProtection="0">
      <alignment horizontal="center"/>
    </xf>
    <xf numFmtId="264" fontId="94" fillId="0" borderId="0">
      <alignment horizontal="center"/>
    </xf>
    <xf numFmtId="172" fontId="82" fillId="0" borderId="18" applyNumberFormat="0" applyFont="0" applyFill="0" applyAlignment="0" applyProtection="0"/>
    <xf numFmtId="171" fontId="95" fillId="0" borderId="12"/>
    <xf numFmtId="205" fontId="46" fillId="0" borderId="0"/>
    <xf numFmtId="9" fontId="96" fillId="6" borderId="15">
      <alignment horizontal="center"/>
    </xf>
    <xf numFmtId="9" fontId="96" fillId="6" borderId="19">
      <alignment horizontal="center"/>
    </xf>
    <xf numFmtId="9" fontId="96" fillId="6" borderId="19">
      <alignment horizontal="center"/>
    </xf>
    <xf numFmtId="38" fontId="34" fillId="0" borderId="0" applyFont="0" applyFill="0" applyBorder="0" applyAlignment="0" applyProtection="0"/>
    <xf numFmtId="172" fontId="97" fillId="0" borderId="0" applyFont="0" applyFill="0" applyBorder="0" applyAlignment="0" applyProtection="0"/>
    <xf numFmtId="0" fontId="98" fillId="64" borderId="0" applyNumberFormat="0" applyBorder="0" applyAlignment="0" applyProtection="0"/>
    <xf numFmtId="0" fontId="98" fillId="65" borderId="0" applyNumberFormat="0" applyBorder="0" applyAlignment="0" applyProtection="0"/>
    <xf numFmtId="0" fontId="98" fillId="66" borderId="0" applyNumberFormat="0" applyBorder="0" applyAlignment="0" applyProtection="0"/>
    <xf numFmtId="172" fontId="99" fillId="0" borderId="0" applyNumberFormat="0" applyAlignment="0">
      <alignment horizontal="left"/>
    </xf>
    <xf numFmtId="291" fontId="25" fillId="0" borderId="0"/>
    <xf numFmtId="292" fontId="25" fillId="0" borderId="0"/>
    <xf numFmtId="293" fontId="25" fillId="0" borderId="0"/>
    <xf numFmtId="294" fontId="25" fillId="0" borderId="0"/>
    <xf numFmtId="295" fontId="25" fillId="0" borderId="0"/>
    <xf numFmtId="296" fontId="25" fillId="0" borderId="0"/>
    <xf numFmtId="169" fontId="26" fillId="0" borderId="0" applyFont="0" applyFill="0" applyBorder="0" applyAlignment="0" applyProtection="0"/>
    <xf numFmtId="169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8" fontId="18" fillId="0" borderId="0" applyFont="0" applyFill="0" applyBorder="0" applyAlignment="0" applyProtection="0"/>
    <xf numFmtId="29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30" fillId="58" borderId="0" applyNumberFormat="0" applyFont="0" applyBorder="0" applyAlignment="0" applyProtection="0"/>
    <xf numFmtId="172" fontId="102" fillId="0" borderId="0" applyNumberFormat="0" applyFill="0" applyBorder="0" applyAlignment="0" applyProtection="0"/>
    <xf numFmtId="300" fontId="103" fillId="0" borderId="0" applyFill="0" applyBorder="0"/>
    <xf numFmtId="15" fontId="48" fillId="0" borderId="0" applyFill="0" applyBorder="0" applyProtection="0">
      <alignment horizontal="center"/>
    </xf>
    <xf numFmtId="172" fontId="30" fillId="10" borderId="0" applyNumberFormat="0" applyFont="0" applyBorder="0" applyAlignment="0" applyProtection="0"/>
    <xf numFmtId="301" fontId="18" fillId="0" borderId="0" applyFont="0" applyFill="0" applyBorder="0" applyAlignment="0" applyProtection="0"/>
    <xf numFmtId="302" fontId="104" fillId="67" borderId="0" applyBorder="0" applyAlignment="0">
      <alignment vertical="center"/>
    </xf>
    <xf numFmtId="3" fontId="105" fillId="60" borderId="7" applyNumberFormat="0" applyFont="0" applyAlignment="0" applyProtection="0">
      <alignment vertical="center"/>
    </xf>
    <xf numFmtId="238" fontId="106" fillId="12" borderId="9" applyAlignment="0">
      <alignment vertical="center"/>
    </xf>
    <xf numFmtId="0" fontId="34" fillId="0" borderId="0" applyFont="0" applyFill="0" applyBorder="0" applyAlignment="0" applyProtection="0"/>
    <xf numFmtId="0" fontId="107" fillId="48" borderId="0"/>
    <xf numFmtId="1" fontId="108" fillId="68" borderId="20" applyNumberFormat="0"/>
    <xf numFmtId="0" fontId="109" fillId="69" borderId="0" applyNumberFormat="0" applyBorder="0" applyAlignment="0">
      <alignment vertical="top"/>
    </xf>
    <xf numFmtId="0" fontId="70" fillId="0" borderId="0" applyNumberFormat="0" applyFill="0" applyBorder="0" applyProtection="0">
      <alignment vertical="center"/>
    </xf>
    <xf numFmtId="0" fontId="110" fillId="0" borderId="0" applyNumberFormat="0" applyFill="0" applyBorder="0" applyProtection="0">
      <alignment vertical="center"/>
    </xf>
    <xf numFmtId="3" fontId="107" fillId="68" borderId="0" applyNumberFormat="0" applyAlignment="0">
      <alignment vertical="center"/>
    </xf>
    <xf numFmtId="3" fontId="22" fillId="49" borderId="0" applyNumberFormat="0" applyBorder="0" applyAlignment="0" applyProtection="0">
      <alignment vertical="center"/>
    </xf>
    <xf numFmtId="0" fontId="111" fillId="69" borderId="0"/>
    <xf numFmtId="4" fontId="109" fillId="70" borderId="0" applyNumberFormat="0" applyAlignment="0">
      <alignment horizontal="left" vertical="center"/>
    </xf>
    <xf numFmtId="303" fontId="51" fillId="0" borderId="0" applyAlignment="0">
      <alignment horizontal="right"/>
      <protection hidden="1"/>
    </xf>
    <xf numFmtId="0" fontId="37" fillId="0" borderId="0" applyFont="0" applyFill="0" applyBorder="0" applyAlignment="0" applyProtection="0">
      <alignment horizontal="left"/>
    </xf>
    <xf numFmtId="304" fontId="40" fillId="0" borderId="0" applyFill="0" applyBorder="0"/>
    <xf numFmtId="10" fontId="18" fillId="71" borderId="0" applyBorder="0" applyProtection="0"/>
    <xf numFmtId="10" fontId="18" fillId="0" borderId="0" applyBorder="0"/>
    <xf numFmtId="305" fontId="18" fillId="0" borderId="0"/>
    <xf numFmtId="0" fontId="112" fillId="37" borderId="0"/>
    <xf numFmtId="3" fontId="18" fillId="0" borderId="21" applyFill="0" applyBorder="0"/>
    <xf numFmtId="10" fontId="18" fillId="0" borderId="21" applyFont="0" applyFill="0" applyBorder="0"/>
    <xf numFmtId="15" fontId="18" fillId="0" borderId="0">
      <alignment horizontal="center"/>
    </xf>
    <xf numFmtId="216" fontId="26" fillId="21" borderId="9" applyAlignment="0">
      <alignment vertical="center"/>
    </xf>
    <xf numFmtId="216" fontId="113" fillId="72" borderId="9" applyNumberFormat="0" applyAlignment="0">
      <alignment vertical="center"/>
    </xf>
    <xf numFmtId="0" fontId="114" fillId="0" borderId="0" applyFont="0" applyFill="0" applyBorder="0" applyAlignment="0" applyProtection="0"/>
    <xf numFmtId="0" fontId="115" fillId="0" borderId="0"/>
    <xf numFmtId="216" fontId="106" fillId="71" borderId="9" applyAlignment="0">
      <alignment vertical="center"/>
      <protection locked="0"/>
    </xf>
    <xf numFmtId="10" fontId="106" fillId="6" borderId="7">
      <alignment vertical="center"/>
      <protection locked="0"/>
    </xf>
    <xf numFmtId="306" fontId="90" fillId="73" borderId="7" applyNumberFormat="0" applyAlignment="0">
      <alignment vertical="top"/>
    </xf>
    <xf numFmtId="216" fontId="106" fillId="6" borderId="9" applyAlignment="0">
      <alignment vertical="center"/>
      <protection locked="0"/>
    </xf>
    <xf numFmtId="1" fontId="115" fillId="0" borderId="0"/>
    <xf numFmtId="0" fontId="115" fillId="0" borderId="0" applyFont="0" applyFill="0" applyBorder="0" applyAlignment="0" applyProtection="0"/>
    <xf numFmtId="307" fontId="26" fillId="0" borderId="0" applyFont="0" applyFill="0" applyBorder="0" applyAlignment="0" applyProtection="0"/>
    <xf numFmtId="308" fontId="26" fillId="0" borderId="0" applyFont="0" applyFill="0" applyBorder="0" applyAlignment="0" applyProtection="0"/>
    <xf numFmtId="38" fontId="116" fillId="0" borderId="0"/>
    <xf numFmtId="38" fontId="117" fillId="0" borderId="0"/>
    <xf numFmtId="38" fontId="118" fillId="0" borderId="0"/>
    <xf numFmtId="38" fontId="119" fillId="0" borderId="0"/>
    <xf numFmtId="0" fontId="58" fillId="0" borderId="0"/>
    <xf numFmtId="0" fontId="58" fillId="0" borderId="0"/>
    <xf numFmtId="0" fontId="28" fillId="56" borderId="0" applyFill="0" applyBorder="0">
      <alignment wrapText="1"/>
    </xf>
    <xf numFmtId="0" fontId="23" fillId="0" borderId="0"/>
    <xf numFmtId="0" fontId="120" fillId="0" borderId="0"/>
    <xf numFmtId="0" fontId="121" fillId="0" borderId="0">
      <alignment horizontal="center"/>
    </xf>
    <xf numFmtId="0" fontId="122" fillId="0" borderId="0"/>
    <xf numFmtId="171" fontId="123" fillId="0" borderId="2" applyNumberFormat="0" applyFont="0" applyFill="0" applyAlignment="0">
      <alignment horizontal="left" vertical="center"/>
    </xf>
    <xf numFmtId="2" fontId="94" fillId="0" borderId="7"/>
    <xf numFmtId="3" fontId="105" fillId="74" borderId="0" applyNumberFormat="0" applyFont="0" applyBorder="0" applyAlignment="0" applyProtection="0">
      <alignment vertical="center"/>
    </xf>
    <xf numFmtId="309" fontId="26" fillId="0" borderId="0" applyFont="0" applyFill="0" applyBorder="0" applyAlignment="0" applyProtection="0"/>
    <xf numFmtId="310" fontId="26" fillId="0" borderId="0" applyFont="0" applyFill="0" applyBorder="0" applyAlignment="0" applyProtection="0"/>
    <xf numFmtId="216" fontId="26" fillId="75" borderId="7" applyNumberFormat="0" applyAlignment="0">
      <alignment vertical="center"/>
      <protection locked="0"/>
    </xf>
    <xf numFmtId="0" fontId="124" fillId="0" borderId="0" applyNumberFormat="0" applyBorder="0" applyProtection="0">
      <alignment vertical="top"/>
    </xf>
    <xf numFmtId="311" fontId="40" fillId="0" borderId="0" applyFill="0" applyBorder="0" applyProtection="0"/>
    <xf numFmtId="312" fontId="18" fillId="0" borderId="0" applyFont="0" applyFill="0" applyBorder="0" applyAlignment="0" applyProtection="0"/>
    <xf numFmtId="313" fontId="18" fillId="0" borderId="0" applyFont="0" applyFill="0" applyBorder="0" applyAlignment="0" applyProtection="0"/>
    <xf numFmtId="314" fontId="26" fillId="0" borderId="0" applyFont="0" applyFill="0" applyBorder="0" applyAlignment="0" applyProtection="0"/>
    <xf numFmtId="315" fontId="26" fillId="0" borderId="0" applyFont="0" applyFill="0" applyBorder="0" applyAlignment="0" applyProtection="0"/>
    <xf numFmtId="0" fontId="40" fillId="0" borderId="0"/>
    <xf numFmtId="217" fontId="18" fillId="0" borderId="0" applyFont="0" applyFill="0" applyBorder="0" applyAlignment="0" applyProtection="0"/>
    <xf numFmtId="316" fontId="18" fillId="0" borderId="0" applyFont="0" applyFill="0" applyBorder="0" applyAlignment="0" applyProtection="0"/>
    <xf numFmtId="0" fontId="125" fillId="0" borderId="0" applyFont="0" applyFill="0" applyBorder="0" applyAlignment="0" applyProtection="0"/>
    <xf numFmtId="17" fontId="22" fillId="0" borderId="0">
      <alignment horizontal="center"/>
    </xf>
    <xf numFmtId="317" fontId="40" fillId="0" borderId="0" applyFill="0" applyBorder="0"/>
    <xf numFmtId="318" fontId="40" fillId="0" borderId="0"/>
    <xf numFmtId="319" fontId="40" fillId="0" borderId="0" applyFill="0" applyAlignment="0"/>
    <xf numFmtId="320" fontId="126" fillId="0" borderId="0"/>
    <xf numFmtId="321" fontId="18" fillId="0" borderId="14" applyFont="0" applyFill="0" applyBorder="0" applyAlignment="0" applyProtection="0"/>
    <xf numFmtId="322" fontId="18" fillId="0" borderId="14" applyFont="0" applyFill="0" applyBorder="0" applyAlignment="0" applyProtection="0"/>
    <xf numFmtId="323" fontId="18" fillId="0" borderId="14" applyFont="0" applyFill="0" applyBorder="0" applyAlignment="0" applyProtection="0"/>
    <xf numFmtId="324" fontId="18" fillId="0" borderId="14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4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 applyFont="0" applyFill="0" applyBorder="0" applyAlignment="0" applyProtection="0"/>
    <xf numFmtId="0" fontId="84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7" fillId="0" borderId="0"/>
    <xf numFmtId="0" fontId="20" fillId="0" borderId="0"/>
    <xf numFmtId="0" fontId="27" fillId="0" borderId="0"/>
    <xf numFmtId="0" fontId="18" fillId="0" borderId="0"/>
    <xf numFmtId="0" fontId="12" fillId="0" borderId="0"/>
    <xf numFmtId="0" fontId="12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27" fillId="0" borderId="0">
      <alignment vertical="top"/>
    </xf>
    <xf numFmtId="0" fontId="12" fillId="0" borderId="0"/>
    <xf numFmtId="0" fontId="27" fillId="0" borderId="0">
      <alignment vertical="top"/>
    </xf>
    <xf numFmtId="0" fontId="89" fillId="0" borderId="0" applyFill="0" applyBorder="0">
      <protection locked="0"/>
    </xf>
    <xf numFmtId="0" fontId="18" fillId="0" borderId="0"/>
    <xf numFmtId="0" fontId="28" fillId="6" borderId="19" applyBorder="0">
      <alignment horizontal="right" vertical="center"/>
    </xf>
    <xf numFmtId="0" fontId="28" fillId="6" borderId="0">
      <alignment vertical="center"/>
    </xf>
    <xf numFmtId="305" fontId="28" fillId="6" borderId="0"/>
    <xf numFmtId="325" fontId="26" fillId="0" borderId="0">
      <alignment horizontal="right"/>
    </xf>
    <xf numFmtId="167" fontId="18" fillId="6" borderId="7"/>
    <xf numFmtId="0" fontId="128" fillId="0" borderId="0">
      <alignment horizontal="left"/>
    </xf>
    <xf numFmtId="326" fontId="18" fillId="0" borderId="0" applyFill="0" applyBorder="0" applyAlignment="0" applyProtection="0"/>
    <xf numFmtId="327" fontId="18" fillId="0" borderId="0" applyAlignment="0" applyProtection="0"/>
    <xf numFmtId="0" fontId="45" fillId="0" borderId="4" applyNumberFormat="0" applyFill="0" applyBorder="0" applyAlignment="0" applyProtection="0"/>
    <xf numFmtId="0" fontId="45" fillId="0" borderId="4" applyNumberFormat="0" applyFill="0" applyBorder="0" applyAlignment="0" applyProtection="0"/>
    <xf numFmtId="0" fontId="129" fillId="0" borderId="0" applyFill="0" applyBorder="0" applyAlignment="0">
      <alignment horizontal="left"/>
    </xf>
    <xf numFmtId="0" fontId="44" fillId="0" borderId="0" applyNumberFormat="0" applyFill="0" applyBorder="0" applyAlignment="0"/>
    <xf numFmtId="0" fontId="130" fillId="0" borderId="0">
      <alignment horizontal="left"/>
    </xf>
    <xf numFmtId="0" fontId="131" fillId="0" borderId="0" applyFill="0" applyBorder="0" applyProtection="0">
      <alignment horizontal="center"/>
    </xf>
    <xf numFmtId="328" fontId="18" fillId="0" borderId="0" applyFill="0" applyBorder="0" applyAlignment="0" applyProtection="0"/>
    <xf numFmtId="329" fontId="132" fillId="0" borderId="0" applyFill="0" applyBorder="0" applyAlignment="0" applyProtection="0"/>
    <xf numFmtId="330" fontId="23" fillId="0" borderId="0">
      <alignment horizontal="center" vertical="top" wrapText="1"/>
    </xf>
    <xf numFmtId="331" fontId="18" fillId="0" borderId="0" applyAlignment="0" applyProtection="0"/>
    <xf numFmtId="0" fontId="94" fillId="0" borderId="0"/>
    <xf numFmtId="331" fontId="18" fillId="0" borderId="0" applyFont="0" applyFill="0" applyBorder="0" applyAlignment="0" applyProtection="0"/>
    <xf numFmtId="10" fontId="18" fillId="0" borderId="10"/>
    <xf numFmtId="3" fontId="18" fillId="13" borderId="7" applyFill="0" applyBorder="0"/>
    <xf numFmtId="0" fontId="58" fillId="56" borderId="19" applyBorder="0"/>
    <xf numFmtId="0" fontId="58" fillId="56" borderId="19" applyBorder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332" fontId="18" fillId="0" borderId="0" applyFont="0" applyFill="0" applyBorder="0" applyAlignment="0" applyProtection="0"/>
    <xf numFmtId="333" fontId="18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334" fontId="18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8" fillId="0" borderId="0" applyNumberFormat="0" applyFont="0" applyFill="0" applyAlignment="0" applyProtection="0"/>
    <xf numFmtId="10" fontId="18" fillId="0" borderId="0" applyFont="0" applyFill="0" applyBorder="0" applyAlignment="0" applyProtection="0"/>
    <xf numFmtId="305" fontId="114" fillId="0" borderId="0" applyFont="0" applyFill="0" applyBorder="0" applyAlignment="0" applyProtection="0"/>
    <xf numFmtId="184" fontId="28" fillId="56" borderId="0"/>
    <xf numFmtId="0" fontId="28" fillId="0" borderId="0" applyFill="0" applyBorder="0">
      <alignment vertical="center"/>
    </xf>
    <xf numFmtId="0" fontId="28" fillId="56" borderId="0"/>
    <xf numFmtId="2" fontId="28" fillId="56" borderId="0" applyBorder="0"/>
    <xf numFmtId="216" fontId="26" fillId="0" borderId="0" applyFont="0" applyFill="0" applyBorder="0" applyAlignment="0" applyProtection="0">
      <alignment vertical="center"/>
    </xf>
    <xf numFmtId="216" fontId="26" fillId="0" borderId="0" applyAlignment="0">
      <alignment vertical="center"/>
    </xf>
    <xf numFmtId="0" fontId="28" fillId="0" borderId="0" applyNumberFormat="0" applyFont="0" applyAlignment="0" applyProtection="0"/>
    <xf numFmtId="10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335" fontId="18" fillId="0" borderId="0" applyFill="0" applyBorder="0"/>
    <xf numFmtId="335" fontId="89" fillId="0" borderId="0" applyFill="0" applyBorder="0"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8" fillId="0" borderId="0"/>
    <xf numFmtId="336" fontId="18" fillId="0" borderId="0"/>
    <xf numFmtId="171" fontId="138" fillId="6" borderId="0">
      <alignment horizontal="right"/>
    </xf>
    <xf numFmtId="0" fontId="40" fillId="0" borderId="0">
      <alignment horizontal="center"/>
    </xf>
    <xf numFmtId="3" fontId="18" fillId="0" borderId="0"/>
    <xf numFmtId="1" fontId="139" fillId="0" borderId="0" applyNumberFormat="0" applyFont="0" applyFill="0">
      <alignment horizontal="center"/>
    </xf>
    <xf numFmtId="3" fontId="140" fillId="0" borderId="0" applyNumberFormat="0" applyAlignment="0">
      <alignment vertical="center"/>
    </xf>
    <xf numFmtId="337" fontId="18" fillId="0" borderId="0">
      <alignment vertical="top"/>
    </xf>
    <xf numFmtId="338" fontId="30" fillId="0" borderId="0" applyFont="0" applyFill="0" applyBorder="0" applyAlignment="0" applyProtection="0"/>
    <xf numFmtId="0" fontId="30" fillId="0" borderId="22" applyNumberFormat="0" applyFont="0" applyFill="0" applyAlignment="0" applyProtection="0"/>
    <xf numFmtId="0" fontId="30" fillId="0" borderId="23" applyNumberFormat="0" applyFont="0" applyFill="0" applyAlignment="0" applyProtection="0"/>
    <xf numFmtId="0" fontId="30" fillId="0" borderId="24" applyNumberFormat="0" applyFont="0" applyFill="0" applyAlignment="0" applyProtection="0"/>
    <xf numFmtId="0" fontId="30" fillId="0" borderId="25" applyNumberFormat="0" applyFont="0" applyFill="0" applyAlignment="0" applyProtection="0"/>
    <xf numFmtId="0" fontId="30" fillId="0" borderId="26" applyNumberFormat="0" applyFont="0" applyFill="0" applyAlignment="0" applyProtection="0"/>
    <xf numFmtId="0" fontId="30" fillId="0" borderId="26" applyNumberFormat="0" applyFont="0" applyFill="0" applyAlignment="0" applyProtection="0"/>
    <xf numFmtId="0" fontId="30" fillId="13" borderId="0" applyNumberFormat="0" applyFont="0" applyBorder="0" applyAlignment="0" applyProtection="0"/>
    <xf numFmtId="0" fontId="30" fillId="0" borderId="27" applyNumberFormat="0" applyFont="0" applyFill="0" applyAlignment="0" applyProtection="0"/>
    <xf numFmtId="0" fontId="30" fillId="0" borderId="28" applyNumberFormat="0" applyFont="0" applyFill="0" applyAlignment="0" applyProtection="0"/>
    <xf numFmtId="46" fontId="30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30" fillId="0" borderId="29" applyNumberFormat="0" applyFont="0" applyFill="0" applyAlignment="0" applyProtection="0"/>
    <xf numFmtId="0" fontId="30" fillId="0" borderId="30" applyNumberFormat="0" applyFont="0" applyFill="0" applyAlignment="0" applyProtection="0"/>
    <xf numFmtId="0" fontId="30" fillId="0" borderId="9" applyNumberFormat="0" applyFont="0" applyFill="0" applyAlignment="0" applyProtection="0"/>
    <xf numFmtId="0" fontId="30" fillId="0" borderId="31" applyNumberFormat="0" applyFont="0" applyFill="0" applyAlignment="0" applyProtection="0"/>
    <xf numFmtId="0" fontId="30" fillId="0" borderId="31" applyNumberFormat="0" applyFont="0" applyFill="0" applyAlignment="0" applyProtection="0"/>
    <xf numFmtId="0" fontId="30" fillId="0" borderId="9" applyNumberFormat="0" applyFont="0" applyFill="0" applyAlignment="0" applyProtection="0"/>
    <xf numFmtId="0" fontId="30" fillId="0" borderId="0" applyNumberFormat="0" applyFont="0" applyFill="0" applyBorder="0" applyProtection="0">
      <alignment horizontal="center"/>
    </xf>
    <xf numFmtId="0" fontId="14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43" fillId="0" borderId="0" applyNumberFormat="0" applyFill="0" applyBorder="0" applyProtection="0">
      <alignment horizontal="left"/>
    </xf>
    <xf numFmtId="0" fontId="30" fillId="13" borderId="0" applyNumberFormat="0" applyFont="0" applyBorder="0" applyAlignment="0" applyProtection="0"/>
    <xf numFmtId="0" fontId="14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0" fillId="0" borderId="32" applyNumberFormat="0" applyFont="0" applyFill="0" applyAlignment="0" applyProtection="0"/>
    <xf numFmtId="0" fontId="30" fillId="0" borderId="33" applyNumberFormat="0" applyFont="0" applyFill="0" applyAlignment="0" applyProtection="0"/>
    <xf numFmtId="0" fontId="30" fillId="0" borderId="33" applyNumberFormat="0" applyFont="0" applyFill="0" applyAlignment="0" applyProtection="0"/>
    <xf numFmtId="339" fontId="30" fillId="0" borderId="0" applyFont="0" applyFill="0" applyBorder="0" applyAlignment="0" applyProtection="0"/>
    <xf numFmtId="0" fontId="30" fillId="0" borderId="34" applyNumberFormat="0" applyFont="0" applyFill="0" applyAlignment="0" applyProtection="0"/>
    <xf numFmtId="0" fontId="30" fillId="0" borderId="34" applyNumberFormat="0" applyFont="0" applyFill="0" applyAlignment="0" applyProtection="0"/>
    <xf numFmtId="0" fontId="30" fillId="0" borderId="35" applyNumberFormat="0" applyFont="0" applyFill="0" applyAlignment="0" applyProtection="0"/>
    <xf numFmtId="0" fontId="30" fillId="0" borderId="35" applyNumberFormat="0" applyFont="0" applyFill="0" applyAlignment="0" applyProtection="0"/>
    <xf numFmtId="0" fontId="30" fillId="0" borderId="36" applyNumberFormat="0" applyFont="0" applyFill="0" applyAlignment="0" applyProtection="0"/>
    <xf numFmtId="0" fontId="30" fillId="0" borderId="36" applyNumberFormat="0" applyFont="0" applyFill="0" applyAlignment="0" applyProtection="0"/>
    <xf numFmtId="0" fontId="30" fillId="0" borderId="37" applyNumberFormat="0" applyFont="0" applyFill="0" applyAlignment="0" applyProtection="0"/>
    <xf numFmtId="0" fontId="30" fillId="0" borderId="37" applyNumberFormat="0" applyFont="0" applyFill="0" applyAlignment="0" applyProtection="0"/>
    <xf numFmtId="0" fontId="30" fillId="0" borderId="38" applyNumberFormat="0" applyFont="0" applyFill="0" applyAlignment="0" applyProtection="0"/>
    <xf numFmtId="0" fontId="30" fillId="0" borderId="38" applyNumberFormat="0" applyFont="0" applyFill="0" applyAlignment="0" applyProtection="0"/>
    <xf numFmtId="0" fontId="45" fillId="0" borderId="0"/>
    <xf numFmtId="0" fontId="44" fillId="0" borderId="0"/>
    <xf numFmtId="0" fontId="145" fillId="68" borderId="0"/>
    <xf numFmtId="0" fontId="145" fillId="68" borderId="0">
      <alignment wrapText="1"/>
    </xf>
    <xf numFmtId="0" fontId="18" fillId="0" borderId="0"/>
    <xf numFmtId="0" fontId="146" fillId="0" borderId="0" applyNumberFormat="0" applyFill="0" applyBorder="0" applyAlignment="0" applyProtection="0"/>
    <xf numFmtId="0" fontId="147" fillId="0" borderId="0"/>
    <xf numFmtId="2" fontId="22" fillId="0" borderId="2"/>
    <xf numFmtId="0" fontId="18" fillId="0" borderId="0"/>
    <xf numFmtId="340" fontId="48" fillId="0" borderId="0" applyFill="0" applyBorder="0" applyAlignment="0"/>
    <xf numFmtId="0" fontId="18" fillId="62" borderId="7"/>
    <xf numFmtId="0" fontId="148" fillId="0" borderId="0" applyNumberFormat="0" applyFill="0" applyBorder="0" applyAlignment="0" applyProtection="0"/>
    <xf numFmtId="0" fontId="35" fillId="0" borderId="0"/>
    <xf numFmtId="0" fontId="51" fillId="70" borderId="0"/>
    <xf numFmtId="0" fontId="51" fillId="76" borderId="0"/>
    <xf numFmtId="0" fontId="18" fillId="49" borderId="0"/>
    <xf numFmtId="0" fontId="94" fillId="0" borderId="39" applyBorder="0"/>
    <xf numFmtId="0" fontId="149" fillId="0" borderId="0" applyNumberFormat="0" applyBorder="0" applyAlignment="0">
      <alignment vertical="top"/>
    </xf>
    <xf numFmtId="0" fontId="150" fillId="0" borderId="0" applyNumberFormat="0" applyBorder="0" applyProtection="0">
      <alignment vertical="top"/>
    </xf>
    <xf numFmtId="0" fontId="151" fillId="0" borderId="0">
      <alignment vertical="top"/>
    </xf>
    <xf numFmtId="0" fontId="152" fillId="77" borderId="0"/>
    <xf numFmtId="0" fontId="153" fillId="0" borderId="0"/>
    <xf numFmtId="0" fontId="154" fillId="5" borderId="3"/>
    <xf numFmtId="167" fontId="18" fillId="0" borderId="40"/>
    <xf numFmtId="171" fontId="155" fillId="0" borderId="41">
      <alignment vertical="center"/>
    </xf>
    <xf numFmtId="167" fontId="18" fillId="0" borderId="42"/>
    <xf numFmtId="171" fontId="155" fillId="0" borderId="41">
      <alignment vertical="center"/>
    </xf>
    <xf numFmtId="167" fontId="18" fillId="0" borderId="40"/>
    <xf numFmtId="167" fontId="18" fillId="0" borderId="40"/>
    <xf numFmtId="10" fontId="22" fillId="78" borderId="0" applyNumberFormat="0" applyBorder="0" applyAlignment="0"/>
    <xf numFmtId="0" fontId="156" fillId="5" borderId="7">
      <protection locked="0"/>
    </xf>
    <xf numFmtId="341" fontId="40" fillId="0" borderId="0" applyFill="0" applyBorder="0" applyProtection="0"/>
    <xf numFmtId="0" fontId="157" fillId="0" borderId="0" applyFill="0" applyBorder="0" applyAlignment="0"/>
    <xf numFmtId="0" fontId="22" fillId="6" borderId="10">
      <alignment horizontal="left" vertical="center"/>
    </xf>
    <xf numFmtId="342" fontId="26" fillId="0" borderId="0" applyFont="0" applyFill="0" applyBorder="0" applyAlignment="0" applyProtection="0"/>
    <xf numFmtId="343" fontId="26" fillId="0" borderId="0" applyFont="0" applyFill="0" applyBorder="0" applyAlignment="0" applyProtection="0"/>
    <xf numFmtId="0" fontId="158" fillId="0" borderId="0">
      <alignment horizontal="center"/>
    </xf>
    <xf numFmtId="15" fontId="158" fillId="0" borderId="0">
      <alignment horizontal="center"/>
    </xf>
    <xf numFmtId="167" fontId="18" fillId="0" borderId="0"/>
    <xf numFmtId="171" fontId="159" fillId="53" borderId="0" applyNumberFormat="0">
      <alignment vertical="center"/>
    </xf>
    <xf numFmtId="171" fontId="160" fillId="61" borderId="0" applyNumberFormat="0">
      <alignment vertical="center"/>
    </xf>
    <xf numFmtId="171" fontId="45" fillId="0" borderId="0" applyNumberFormat="0">
      <alignment vertical="center"/>
    </xf>
    <xf numFmtId="171" fontId="155" fillId="0" borderId="0" applyNumberFormat="0">
      <alignment vertical="center"/>
    </xf>
    <xf numFmtId="0" fontId="18" fillId="5" borderId="0" applyNumberFormat="0" applyFont="0" applyBorder="0" applyAlignment="0"/>
    <xf numFmtId="0" fontId="161" fillId="0" borderId="0">
      <alignment vertical="center"/>
    </xf>
    <xf numFmtId="3" fontId="105" fillId="79" borderId="7" applyNumberFormat="0" applyFont="0" applyAlignment="0" applyProtection="0">
      <alignment vertical="center"/>
    </xf>
    <xf numFmtId="171" fontId="155" fillId="0" borderId="43">
      <alignment vertical="center"/>
    </xf>
    <xf numFmtId="171" fontId="155" fillId="0" borderId="41">
      <alignment vertical="center"/>
    </xf>
    <xf numFmtId="171" fontId="155" fillId="0" borderId="41">
      <alignment vertical="center"/>
    </xf>
    <xf numFmtId="171" fontId="22" fillId="0" borderId="42" applyFill="0"/>
    <xf numFmtId="171" fontId="22" fillId="0" borderId="42" applyFill="0"/>
    <xf numFmtId="171" fontId="22" fillId="0" borderId="42" applyFill="0"/>
    <xf numFmtId="171" fontId="22" fillId="0" borderId="42" applyFill="0"/>
    <xf numFmtId="171" fontId="22" fillId="0" borderId="44" applyFill="0"/>
    <xf numFmtId="171" fontId="22" fillId="0" borderId="44" applyFill="0"/>
    <xf numFmtId="171" fontId="22" fillId="0" borderId="44" applyFill="0"/>
    <xf numFmtId="171" fontId="22" fillId="0" borderId="44" applyFill="0"/>
    <xf numFmtId="171" fontId="18" fillId="0" borderId="42" applyFill="0"/>
    <xf numFmtId="171" fontId="18" fillId="0" borderId="42" applyFill="0"/>
    <xf numFmtId="171" fontId="18" fillId="0" borderId="42" applyFill="0"/>
    <xf numFmtId="171" fontId="18" fillId="0" borderId="42" applyFill="0"/>
    <xf numFmtId="171" fontId="18" fillId="0" borderId="44" applyFill="0"/>
    <xf numFmtId="171" fontId="18" fillId="0" borderId="44" applyFill="0"/>
    <xf numFmtId="171" fontId="18" fillId="0" borderId="44" applyFill="0"/>
    <xf numFmtId="171" fontId="18" fillId="0" borderId="44" applyFill="0"/>
    <xf numFmtId="0" fontId="22" fillId="0" borderId="0"/>
    <xf numFmtId="167" fontId="18" fillId="0" borderId="45"/>
    <xf numFmtId="0" fontId="162" fillId="76" borderId="7"/>
    <xf numFmtId="0" fontId="28" fillId="0" borderId="10" applyFill="0" applyBorder="0">
      <alignment horizontal="center" vertical="center"/>
    </xf>
    <xf numFmtId="344" fontId="18" fillId="0" borderId="0" applyFont="0" applyFill="0" applyBorder="0" applyAlignment="0" applyProtection="0"/>
    <xf numFmtId="345" fontId="18" fillId="0" borderId="0" applyFont="0" applyFill="0" applyBorder="0" applyAlignment="0" applyProtection="0"/>
    <xf numFmtId="0" fontId="89" fillId="0" borderId="0" applyNumberFormat="0" applyFill="0" applyBorder="0"/>
    <xf numFmtId="216" fontId="26" fillId="17" borderId="9" applyAlignment="0">
      <alignment vertical="center"/>
    </xf>
    <xf numFmtId="216" fontId="26" fillId="17" borderId="9" applyAlignment="0">
      <alignment vertical="center"/>
    </xf>
    <xf numFmtId="346" fontId="26" fillId="17" borderId="9" applyAlignment="0">
      <alignment vertical="center"/>
    </xf>
    <xf numFmtId="49" fontId="26" fillId="17" borderId="9" applyAlignment="0">
      <alignment vertical="center"/>
    </xf>
    <xf numFmtId="0" fontId="22" fillId="0" borderId="0">
      <alignment horizontal="center"/>
    </xf>
    <xf numFmtId="347" fontId="22" fillId="0" borderId="0"/>
    <xf numFmtId="348" fontId="40" fillId="0" borderId="0" applyFill="0" applyProtection="0"/>
    <xf numFmtId="349" fontId="18" fillId="0" borderId="0" applyFont="0" applyFill="0" applyBorder="0" applyAlignment="0" applyProtection="0"/>
    <xf numFmtId="0" fontId="18" fillId="0" borderId="0"/>
    <xf numFmtId="0" fontId="18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42"/>
    <xf numFmtId="167" fontId="18" fillId="0" borderId="42"/>
    <xf numFmtId="167" fontId="18" fillId="0" borderId="42"/>
    <xf numFmtId="167" fontId="18" fillId="0" borderId="42"/>
    <xf numFmtId="167" fontId="18" fillId="0" borderId="42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  <xf numFmtId="0" fontId="5" fillId="2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82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71" fontId="22" fillId="0" borderId="40" applyFill="0"/>
    <xf numFmtId="171" fontId="22" fillId="0" borderId="40" applyFill="0"/>
    <xf numFmtId="171" fontId="18" fillId="0" borderId="40" applyFill="0"/>
    <xf numFmtId="171" fontId="18" fillId="0" borderId="40" applyFill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8" fillId="56" borderId="46" applyBorder="0"/>
    <xf numFmtId="0" fontId="58" fillId="56" borderId="46" applyBorder="0"/>
    <xf numFmtId="9" fontId="96" fillId="6" borderId="46">
      <alignment horizontal="center"/>
    </xf>
    <xf numFmtId="9" fontId="96" fillId="6" borderId="46">
      <alignment horizontal="center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0" fillId="0" borderId="47" applyNumberFormat="0" applyFont="0" applyFill="0" applyAlignment="0" applyProtection="0"/>
    <xf numFmtId="0" fontId="30" fillId="0" borderId="47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4" applyNumberFormat="0" applyFont="0" applyFill="0" applyAlignment="0" applyProtection="0"/>
    <xf numFmtId="0" fontId="30" fillId="0" borderId="54" applyNumberFormat="0" applyFont="0" applyFill="0" applyAlignment="0" applyProtection="0"/>
    <xf numFmtId="167" fontId="18" fillId="0" borderId="55"/>
    <xf numFmtId="171" fontId="155" fillId="0" borderId="56">
      <alignment vertical="center"/>
    </xf>
    <xf numFmtId="167" fontId="18" fillId="0" borderId="40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71" fontId="22" fillId="0" borderId="57" applyFill="0"/>
    <xf numFmtId="171" fontId="22" fillId="0" borderId="57" applyFill="0"/>
    <xf numFmtId="171" fontId="22" fillId="0" borderId="57" applyFill="0"/>
    <xf numFmtId="171" fontId="22" fillId="0" borderId="57" applyFill="0"/>
    <xf numFmtId="171" fontId="18" fillId="0" borderId="57" applyFill="0"/>
    <xf numFmtId="171" fontId="18" fillId="0" borderId="57" applyFill="0"/>
    <xf numFmtId="171" fontId="18" fillId="0" borderId="57" applyFill="0"/>
    <xf numFmtId="171" fontId="18" fillId="0" borderId="57" applyFill="0"/>
    <xf numFmtId="167" fontId="18" fillId="0" borderId="58"/>
    <xf numFmtId="167" fontId="18" fillId="0" borderId="40"/>
    <xf numFmtId="167" fontId="18" fillId="0" borderId="40"/>
    <xf numFmtId="167" fontId="18" fillId="0" borderId="40"/>
    <xf numFmtId="167" fontId="18" fillId="0" borderId="40"/>
    <xf numFmtId="167" fontId="18" fillId="0" borderId="40"/>
    <xf numFmtId="0" fontId="18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18" fillId="0" borderId="55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216" fontId="106" fillId="6" borderId="71" applyAlignment="0">
      <alignment vertical="center"/>
      <protection locked="0"/>
    </xf>
    <xf numFmtId="216" fontId="106" fillId="71" borderId="71" applyAlignment="0">
      <alignment vertical="center"/>
      <protection locked="0"/>
    </xf>
    <xf numFmtId="216" fontId="113" fillId="72" borderId="71" applyNumberFormat="0" applyAlignment="0">
      <alignment vertical="center"/>
    </xf>
    <xf numFmtId="216" fontId="26" fillId="21" borderId="71" applyAlignment="0">
      <alignment vertical="center"/>
    </xf>
    <xf numFmtId="238" fontId="106" fillId="12" borderId="71" applyAlignment="0">
      <alignment vertical="center"/>
    </xf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238" fontId="26" fillId="0" borderId="71" applyAlignment="0">
      <alignment vertical="center"/>
    </xf>
    <xf numFmtId="0" fontId="77" fillId="21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0" fontId="76" fillId="57" borderId="72" applyNumberFormat="0" applyAlignment="0" applyProtection="0"/>
    <xf numFmtId="216" fontId="26" fillId="54" borderId="71" applyNumberFormat="0" applyFont="0" applyAlignment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71" fontId="155" fillId="0" borderId="56">
      <alignment vertical="center"/>
    </xf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9" fontId="96" fillId="6" borderId="46">
      <alignment horizontal="center"/>
    </xf>
    <xf numFmtId="9" fontId="96" fillId="6" borderId="46">
      <alignment horizontal="center"/>
    </xf>
    <xf numFmtId="0" fontId="58" fillId="56" borderId="46" applyBorder="0"/>
    <xf numFmtId="0" fontId="58" fillId="56" borderId="46" applyBorder="0"/>
    <xf numFmtId="167" fontId="18" fillId="0" borderId="55"/>
    <xf numFmtId="0" fontId="30" fillId="0" borderId="47" applyNumberFormat="0" applyFont="0" applyFill="0" applyAlignment="0" applyProtection="0"/>
    <xf numFmtId="0" fontId="30" fillId="0" borderId="47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4" applyNumberFormat="0" applyFont="0" applyFill="0" applyAlignment="0" applyProtection="0"/>
    <xf numFmtId="0" fontId="30" fillId="0" borderId="54" applyNumberFormat="0" applyFont="0" applyFill="0" applyAlignment="0" applyProtection="0"/>
    <xf numFmtId="167" fontId="18" fillId="0" borderId="55"/>
    <xf numFmtId="171" fontId="155" fillId="0" borderId="56">
      <alignment vertical="center"/>
    </xf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71" fontId="22" fillId="0" borderId="55" applyFill="0"/>
    <xf numFmtId="171" fontId="22" fillId="0" borderId="55" applyFill="0"/>
    <xf numFmtId="171" fontId="22" fillId="0" borderId="55" applyFill="0"/>
    <xf numFmtId="171" fontId="22" fillId="0" borderId="55" applyFill="0"/>
    <xf numFmtId="171" fontId="22" fillId="0" borderId="57" applyFill="0"/>
    <xf numFmtId="171" fontId="22" fillId="0" borderId="57" applyFill="0"/>
    <xf numFmtId="171" fontId="22" fillId="0" borderId="57" applyFill="0"/>
    <xf numFmtId="171" fontId="22" fillId="0" borderId="57" applyFill="0"/>
    <xf numFmtId="171" fontId="18" fillId="0" borderId="55" applyFill="0"/>
    <xf numFmtId="171" fontId="18" fillId="0" borderId="55" applyFill="0"/>
    <xf numFmtId="171" fontId="18" fillId="0" borderId="55" applyFill="0"/>
    <xf numFmtId="171" fontId="18" fillId="0" borderId="55" applyFill="0"/>
    <xf numFmtId="171" fontId="18" fillId="0" borderId="57" applyFill="0"/>
    <xf numFmtId="171" fontId="18" fillId="0" borderId="57" applyFill="0"/>
    <xf numFmtId="171" fontId="18" fillId="0" borderId="57" applyFill="0"/>
    <xf numFmtId="171" fontId="18" fillId="0" borderId="57" applyFill="0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0" fontId="58" fillId="56" borderId="46" applyBorder="0"/>
    <xf numFmtId="0" fontId="58" fillId="56" borderId="46" applyBorder="0"/>
    <xf numFmtId="9" fontId="96" fillId="6" borderId="46">
      <alignment horizontal="center"/>
    </xf>
    <xf numFmtId="9" fontId="96" fillId="6" borderId="46">
      <alignment horizont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47" applyNumberFormat="0" applyFont="0" applyFill="0" applyAlignment="0" applyProtection="0"/>
    <xf numFmtId="0" fontId="30" fillId="0" borderId="47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8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49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0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1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2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3" applyNumberFormat="0" applyFont="0" applyFill="0" applyAlignment="0" applyProtection="0"/>
    <xf numFmtId="0" fontId="30" fillId="0" borderId="54" applyNumberFormat="0" applyFont="0" applyFill="0" applyAlignment="0" applyProtection="0"/>
    <xf numFmtId="0" fontId="30" fillId="0" borderId="54" applyNumberFormat="0" applyFont="0" applyFill="0" applyAlignment="0" applyProtection="0"/>
    <xf numFmtId="167" fontId="18" fillId="0" borderId="55"/>
    <xf numFmtId="171" fontId="155" fillId="0" borderId="56">
      <alignment vertical="center"/>
    </xf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71" fontId="22" fillId="0" borderId="57" applyFill="0"/>
    <xf numFmtId="171" fontId="22" fillId="0" borderId="57" applyFill="0"/>
    <xf numFmtId="171" fontId="22" fillId="0" borderId="57" applyFill="0"/>
    <xf numFmtId="171" fontId="22" fillId="0" borderId="57" applyFill="0"/>
    <xf numFmtId="171" fontId="18" fillId="0" borderId="57" applyFill="0"/>
    <xf numFmtId="171" fontId="18" fillId="0" borderId="57" applyFill="0"/>
    <xf numFmtId="171" fontId="18" fillId="0" borderId="57" applyFill="0"/>
    <xf numFmtId="171" fontId="18" fillId="0" borderId="57" applyFill="0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96" fillId="6" borderId="59">
      <alignment horizontal="center"/>
    </xf>
    <xf numFmtId="9" fontId="96" fillId="6" borderId="59">
      <alignment horizontal="center"/>
    </xf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171" fontId="155" fillId="0" borderId="56">
      <alignment vertical="center"/>
    </xf>
    <xf numFmtId="167" fontId="18" fillId="0" borderId="5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0" fontId="58" fillId="56" borderId="59" applyBorder="0"/>
    <xf numFmtId="0" fontId="58" fillId="56" borderId="59" applyBorder="0"/>
    <xf numFmtId="167" fontId="18" fillId="0" borderId="55"/>
    <xf numFmtId="167" fontId="18" fillId="0" borderId="55"/>
    <xf numFmtId="167" fontId="18" fillId="0" borderId="55"/>
    <xf numFmtId="167" fontId="18" fillId="0" borderId="55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55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55" applyFill="0"/>
    <xf numFmtId="171" fontId="22" fillId="0" borderId="55" applyFill="0"/>
    <xf numFmtId="171" fontId="22" fillId="0" borderId="55" applyFill="0"/>
    <xf numFmtId="171" fontId="22" fillId="0" borderId="55" applyFill="0"/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55" applyFill="0"/>
    <xf numFmtId="171" fontId="18" fillId="0" borderId="55" applyFill="0"/>
    <xf numFmtId="171" fontId="18" fillId="0" borderId="55" applyFill="0"/>
    <xf numFmtId="171" fontId="18" fillId="0" borderId="55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8" fillId="56" borderId="59" applyBorder="0"/>
    <xf numFmtId="0" fontId="58" fillId="56" borderId="59" applyBorder="0"/>
    <xf numFmtId="9" fontId="96" fillId="6" borderId="59">
      <alignment horizontal="center"/>
    </xf>
    <xf numFmtId="9" fontId="96" fillId="6" borderId="59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55" fillId="0" borderId="69">
      <alignment vertical="center"/>
    </xf>
    <xf numFmtId="9" fontId="96" fillId="6" borderId="59">
      <alignment horizontal="center"/>
    </xf>
    <xf numFmtId="9" fontId="96" fillId="6" borderId="59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56" borderId="59" applyBorder="0"/>
    <xf numFmtId="0" fontId="58" fillId="56" borderId="59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8" fillId="0" borderId="68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68" applyFill="0"/>
    <xf numFmtId="171" fontId="22" fillId="0" borderId="68" applyFill="0"/>
    <xf numFmtId="171" fontId="22" fillId="0" borderId="68" applyFill="0"/>
    <xf numFmtId="171" fontId="22" fillId="0" borderId="68" applyFill="0"/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68" applyFill="0"/>
    <xf numFmtId="171" fontId="18" fillId="0" borderId="68" applyFill="0"/>
    <xf numFmtId="171" fontId="18" fillId="0" borderId="68" applyFill="0"/>
    <xf numFmtId="171" fontId="18" fillId="0" borderId="68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8" fillId="56" borderId="59" applyBorder="0"/>
    <xf numFmtId="0" fontId="58" fillId="56" borderId="59" applyBorder="0"/>
    <xf numFmtId="9" fontId="96" fillId="6" borderId="59">
      <alignment horizontal="center"/>
    </xf>
    <xf numFmtId="9" fontId="96" fillId="6" borderId="59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55" fillId="0" borderId="69">
      <alignment vertical="center"/>
    </xf>
    <xf numFmtId="167" fontId="18" fillId="0" borderId="68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68"/>
    <xf numFmtId="171" fontId="155" fillId="0" borderId="69">
      <alignment vertical="center"/>
    </xf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71" fontId="155" fillId="0" borderId="69">
      <alignment vertical="center"/>
    </xf>
    <xf numFmtId="167" fontId="18" fillId="0" borderId="68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155" fillId="0" borderId="69">
      <alignment vertical="center"/>
    </xf>
    <xf numFmtId="0" fontId="30" fillId="0" borderId="71" applyNumberFormat="0" applyFont="0" applyFill="0" applyAlignment="0" applyProtection="0"/>
    <xf numFmtId="0" fontId="30" fillId="0" borderId="71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55"/>
    <xf numFmtId="171" fontId="155" fillId="0" borderId="69">
      <alignment vertical="center"/>
    </xf>
    <xf numFmtId="167" fontId="18" fillId="0" borderId="68"/>
    <xf numFmtId="167" fontId="18" fillId="0" borderId="68"/>
    <xf numFmtId="216" fontId="26" fillId="17" borderId="71" applyAlignment="0">
      <alignment vertical="center"/>
    </xf>
    <xf numFmtId="216" fontId="26" fillId="17" borderId="71" applyAlignment="0">
      <alignment vertical="center"/>
    </xf>
    <xf numFmtId="346" fontId="26" fillId="17" borderId="71" applyAlignment="0">
      <alignment vertical="center"/>
    </xf>
    <xf numFmtId="49" fontId="26" fillId="17" borderId="71" applyAlignment="0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18" fillId="0" borderId="0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171" fontId="155" fillId="0" borderId="56">
      <alignment vertical="center"/>
    </xf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22" fillId="0" borderId="55" applyFill="0"/>
    <xf numFmtId="171" fontId="22" fillId="0" borderId="55" applyFill="0"/>
    <xf numFmtId="171" fontId="18" fillId="0" borderId="55" applyFill="0"/>
    <xf numFmtId="171" fontId="18" fillId="0" borderId="55" applyFill="0"/>
    <xf numFmtId="171" fontId="155" fillId="0" borderId="56">
      <alignment vertical="center"/>
    </xf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67" fontId="18" fillId="0" borderId="55"/>
    <xf numFmtId="167" fontId="18" fillId="0" borderId="55"/>
    <xf numFmtId="171" fontId="155" fillId="0" borderId="56">
      <alignment vertical="center"/>
    </xf>
    <xf numFmtId="171" fontId="155" fillId="0" borderId="56">
      <alignment vertical="center"/>
    </xf>
    <xf numFmtId="171" fontId="155" fillId="0" borderId="56">
      <alignment vertical="center"/>
    </xf>
    <xf numFmtId="43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8" fillId="0" borderId="68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9" fontId="96" fillId="6" borderId="59">
      <alignment horizontal="center"/>
    </xf>
    <xf numFmtId="9" fontId="96" fillId="6" borderId="59">
      <alignment horizontal="center"/>
    </xf>
    <xf numFmtId="0" fontId="58" fillId="56" borderId="59" applyBorder="0"/>
    <xf numFmtId="0" fontId="58" fillId="56" borderId="59" applyBorder="0"/>
    <xf numFmtId="167" fontId="18" fillId="0" borderId="68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68" applyFill="0"/>
    <xf numFmtId="171" fontId="22" fillId="0" borderId="68" applyFill="0"/>
    <xf numFmtId="171" fontId="22" fillId="0" borderId="68" applyFill="0"/>
    <xf numFmtId="171" fontId="22" fillId="0" borderId="68" applyFill="0"/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68" applyFill="0"/>
    <xf numFmtId="171" fontId="18" fillId="0" borderId="68" applyFill="0"/>
    <xf numFmtId="171" fontId="18" fillId="0" borderId="68" applyFill="0"/>
    <xf numFmtId="171" fontId="18" fillId="0" borderId="68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0" fontId="58" fillId="56" borderId="59" applyBorder="0"/>
    <xf numFmtId="0" fontId="58" fillId="56" borderId="59" applyBorder="0"/>
    <xf numFmtId="9" fontId="96" fillId="6" borderId="59">
      <alignment horizontal="center"/>
    </xf>
    <xf numFmtId="9" fontId="96" fillId="6" borderId="59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60" applyNumberFormat="0" applyFont="0" applyFill="0" applyAlignment="0" applyProtection="0"/>
    <xf numFmtId="0" fontId="30" fillId="0" borderId="60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1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2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3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4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5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6" applyNumberFormat="0" applyFont="0" applyFill="0" applyAlignment="0" applyProtection="0"/>
    <xf numFmtId="0" fontId="30" fillId="0" borderId="67" applyNumberFormat="0" applyFont="0" applyFill="0" applyAlignment="0" applyProtection="0"/>
    <xf numFmtId="0" fontId="30" fillId="0" borderId="67" applyNumberFormat="0" applyFont="0" applyFill="0" applyAlignment="0" applyProtection="0"/>
    <xf numFmtId="167" fontId="18" fillId="0" borderId="68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22" fillId="0" borderId="70" applyFill="0"/>
    <xf numFmtId="171" fontId="22" fillId="0" borderId="70" applyFill="0"/>
    <xf numFmtId="171" fontId="22" fillId="0" borderId="70" applyFill="0"/>
    <xf numFmtId="171" fontId="22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71" fontId="18" fillId="0" borderId="70" applyFill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67" fontId="18" fillId="0" borderId="68"/>
    <xf numFmtId="167" fontId="18" fillId="0" borderId="68"/>
    <xf numFmtId="167" fontId="18" fillId="0" borderId="68"/>
    <xf numFmtId="167" fontId="18" fillId="0" borderId="68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68"/>
    <xf numFmtId="171" fontId="22" fillId="0" borderId="68" applyFill="0"/>
    <xf numFmtId="171" fontId="22" fillId="0" borderId="68" applyFill="0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8" fillId="0" borderId="68" applyFill="0"/>
    <xf numFmtId="171" fontId="18" fillId="0" borderId="68" applyFill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22" fillId="0" borderId="68" applyFill="0"/>
    <xf numFmtId="171" fontId="22" fillId="0" borderId="68" applyFill="0"/>
    <xf numFmtId="171" fontId="18" fillId="0" borderId="68" applyFill="0"/>
    <xf numFmtId="171" fontId="18" fillId="0" borderId="68" applyFill="0"/>
    <xf numFmtId="171" fontId="155" fillId="0" borderId="69">
      <alignment vertical="center"/>
    </xf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67" fontId="18" fillId="0" borderId="68"/>
    <xf numFmtId="167" fontId="18" fillId="0" borderId="68"/>
    <xf numFmtId="171" fontId="155" fillId="0" borderId="69">
      <alignment vertical="center"/>
    </xf>
    <xf numFmtId="171" fontId="155" fillId="0" borderId="69">
      <alignment vertical="center"/>
    </xf>
    <xf numFmtId="171" fontId="155" fillId="0" borderId="69">
      <alignment vertical="center"/>
    </xf>
  </cellStyleXfs>
  <cellXfs count="146">
    <xf numFmtId="0" fontId="0" fillId="0" borderId="0" xfId="0"/>
    <xf numFmtId="0" fontId="163" fillId="0" borderId="0" xfId="8749" applyFont="1" applyFill="1" applyBorder="1"/>
    <xf numFmtId="0" fontId="163" fillId="0" borderId="0" xfId="8749" applyFont="1" applyFill="1" applyBorder="1" applyAlignment="1">
      <alignment horizontal="center"/>
    </xf>
    <xf numFmtId="0" fontId="163" fillId="0" borderId="0" xfId="8749" applyNumberFormat="1" applyFont="1" applyFill="1" applyBorder="1" applyAlignment="1">
      <alignment horizontal="center"/>
    </xf>
    <xf numFmtId="243" fontId="163" fillId="0" borderId="0" xfId="8749" applyNumberFormat="1" applyFont="1" applyFill="1" applyBorder="1" applyAlignment="1">
      <alignment horizontal="right"/>
    </xf>
    <xf numFmtId="305" fontId="163" fillId="0" borderId="0" xfId="8749" applyNumberFormat="1" applyFont="1" applyFill="1" applyBorder="1"/>
    <xf numFmtId="0" fontId="165" fillId="0" borderId="0" xfId="0" applyFont="1" applyFill="1" applyBorder="1" applyAlignment="1">
      <alignment horizontal="right" vertical="top" wrapText="1"/>
    </xf>
    <xf numFmtId="0" fontId="165" fillId="0" borderId="0" xfId="42" applyFont="1" applyFill="1" applyBorder="1" applyAlignment="1">
      <alignment horizontal="right"/>
    </xf>
    <xf numFmtId="1" fontId="165" fillId="0" borderId="0" xfId="42" applyNumberFormat="1" applyFont="1" applyFill="1" applyBorder="1" applyAlignment="1">
      <alignment horizontal="right"/>
    </xf>
    <xf numFmtId="1" fontId="166" fillId="0" borderId="0" xfId="15" applyNumberFormat="1" applyFont="1" applyFill="1" applyBorder="1" applyAlignment="1">
      <alignment horizontal="right" vertical="top" wrapText="1"/>
    </xf>
    <xf numFmtId="0" fontId="166" fillId="0" borderId="0" xfId="42" applyFont="1" applyFill="1" applyBorder="1" applyAlignment="1">
      <alignment horizontal="right"/>
    </xf>
    <xf numFmtId="0" fontId="165" fillId="0" borderId="0" xfId="42" applyFont="1" applyFill="1" applyBorder="1" applyAlignment="1">
      <alignment horizontal="left"/>
    </xf>
    <xf numFmtId="170" fontId="165" fillId="0" borderId="0" xfId="0" applyNumberFormat="1" applyFont="1" applyFill="1" applyBorder="1" applyAlignment="1">
      <alignment horizontal="right"/>
    </xf>
    <xf numFmtId="0" fontId="165" fillId="0" borderId="0" xfId="0" applyFont="1" applyFill="1" applyBorder="1"/>
    <xf numFmtId="0" fontId="165" fillId="0" borderId="0" xfId="0" applyFont="1" applyFill="1" applyBorder="1" applyAlignment="1">
      <alignment horizontal="left" vertical="center" wrapText="1"/>
    </xf>
    <xf numFmtId="1" fontId="165" fillId="0" borderId="0" xfId="0" applyNumberFormat="1" applyFont="1" applyFill="1" applyBorder="1" applyAlignment="1">
      <alignment horizontal="right" vertical="center" wrapText="1"/>
    </xf>
    <xf numFmtId="1" fontId="165" fillId="0" borderId="0" xfId="0" applyNumberFormat="1" applyFont="1" applyFill="1" applyBorder="1" applyAlignment="1">
      <alignment horizontal="right" vertical="top" wrapText="1"/>
    </xf>
    <xf numFmtId="0" fontId="165" fillId="0" borderId="0" xfId="0" applyFont="1" applyFill="1" applyBorder="1" applyAlignment="1">
      <alignment vertical="top" wrapText="1"/>
    </xf>
    <xf numFmtId="170" fontId="165" fillId="0" borderId="0" xfId="0" applyNumberFormat="1" applyFont="1" applyFill="1" applyBorder="1" applyAlignment="1">
      <alignment horizontal="right" vertical="center" wrapText="1"/>
    </xf>
    <xf numFmtId="1" fontId="165" fillId="0" borderId="0" xfId="4444" applyNumberFormat="1" applyFont="1" applyFill="1" applyBorder="1" applyAlignment="1">
      <alignment horizontal="right"/>
    </xf>
    <xf numFmtId="3" fontId="165" fillId="0" borderId="0" xfId="0" applyNumberFormat="1" applyFont="1" applyFill="1" applyBorder="1" applyAlignment="1">
      <alignment horizontal="center" vertical="center" wrapText="1"/>
    </xf>
    <xf numFmtId="0" fontId="165" fillId="0" borderId="0" xfId="42" applyFont="1" applyFill="1"/>
    <xf numFmtId="1" fontId="165" fillId="0" borderId="0" xfId="42" applyNumberFormat="1" applyFont="1" applyFill="1"/>
    <xf numFmtId="1" fontId="165" fillId="0" borderId="0" xfId="2" applyNumberFormat="1" applyFont="1" applyFill="1" applyBorder="1" applyAlignment="1">
      <alignment horizontal="right" shrinkToFit="1"/>
    </xf>
    <xf numFmtId="1" fontId="165" fillId="0" borderId="0" xfId="2" applyNumberFormat="1" applyFont="1" applyFill="1" applyBorder="1" applyAlignment="1">
      <alignment horizontal="right"/>
    </xf>
    <xf numFmtId="1" fontId="165" fillId="0" borderId="0" xfId="11" applyNumberFormat="1" applyFont="1" applyFill="1" applyBorder="1" applyAlignment="1">
      <alignment horizontal="right"/>
    </xf>
    <xf numFmtId="166" fontId="165" fillId="0" borderId="0" xfId="1" applyNumberFormat="1" applyFont="1" applyFill="1" applyBorder="1" applyAlignment="1"/>
    <xf numFmtId="0" fontId="166" fillId="0" borderId="0" xfId="0" applyFont="1" applyFill="1" applyBorder="1" applyAlignment="1">
      <alignment horizontal="right" vertical="top" wrapText="1"/>
    </xf>
    <xf numFmtId="2" fontId="163" fillId="0" borderId="0" xfId="4668" applyNumberFormat="1" applyFont="1" applyFill="1" applyBorder="1"/>
    <xf numFmtId="0" fontId="165" fillId="0" borderId="0" xfId="0" applyFont="1" applyFill="1" applyBorder="1" applyAlignment="1">
      <alignment vertical="top"/>
    </xf>
    <xf numFmtId="0" fontId="166" fillId="0" borderId="0" xfId="0" applyFont="1" applyFill="1" applyBorder="1" applyAlignment="1"/>
    <xf numFmtId="3" fontId="165" fillId="0" borderId="0" xfId="0" applyNumberFormat="1" applyFont="1" applyFill="1" applyBorder="1" applyAlignment="1">
      <alignment horizontal="left" vertical="top"/>
    </xf>
    <xf numFmtId="0" fontId="165" fillId="0" borderId="0" xfId="0" applyFont="1" applyFill="1" applyBorder="1" applyAlignment="1">
      <alignment horizontal="left"/>
    </xf>
    <xf numFmtId="0" fontId="165" fillId="0" borderId="0" xfId="0" applyFont="1" applyFill="1" applyBorder="1" applyAlignment="1">
      <alignment horizontal="right"/>
    </xf>
    <xf numFmtId="0" fontId="166" fillId="0" borderId="0" xfId="0" applyFont="1" applyFill="1" applyBorder="1" applyAlignment="1">
      <alignment horizontal="right"/>
    </xf>
    <xf numFmtId="1" fontId="165" fillId="0" borderId="0" xfId="0" applyNumberFormat="1" applyFont="1" applyFill="1" applyBorder="1" applyAlignment="1">
      <alignment horizontal="right"/>
    </xf>
    <xf numFmtId="0" fontId="166" fillId="0" borderId="0" xfId="0" applyFont="1" applyFill="1" applyBorder="1" applyAlignment="1">
      <alignment horizontal="left"/>
    </xf>
    <xf numFmtId="0" fontId="165" fillId="0" borderId="0" xfId="0" applyFont="1" applyFill="1" applyBorder="1" applyAlignment="1"/>
    <xf numFmtId="1" fontId="165" fillId="0" borderId="0" xfId="0" applyNumberFormat="1" applyFont="1" applyFill="1" applyBorder="1" applyAlignment="1">
      <alignment horizontal="right" vertical="center"/>
    </xf>
    <xf numFmtId="3" fontId="165" fillId="0" borderId="0" xfId="0" applyNumberFormat="1" applyFont="1" applyFill="1" applyBorder="1" applyAlignment="1">
      <alignment horizontal="center" vertical="top"/>
    </xf>
    <xf numFmtId="1" fontId="166" fillId="0" borderId="0" xfId="0" applyNumberFormat="1" applyFont="1" applyFill="1" applyBorder="1" applyAlignment="1">
      <alignment horizontal="right"/>
    </xf>
    <xf numFmtId="1" fontId="166" fillId="0" borderId="0" xfId="0" applyNumberFormat="1" applyFont="1" applyFill="1" applyBorder="1" applyAlignment="1">
      <alignment horizontal="right" vertical="center"/>
    </xf>
    <xf numFmtId="0" fontId="166" fillId="0" borderId="0" xfId="0" applyFont="1" applyFill="1" applyBorder="1" applyAlignment="1">
      <alignment horizontal="center"/>
    </xf>
    <xf numFmtId="1" fontId="165" fillId="0" borderId="0" xfId="0" applyNumberFormat="1" applyFont="1" applyFill="1" applyBorder="1" applyAlignment="1"/>
    <xf numFmtId="1" fontId="165" fillId="0" borderId="0" xfId="0" applyNumberFormat="1" applyFont="1" applyFill="1" applyBorder="1" applyAlignment="1">
      <alignment vertical="top"/>
    </xf>
    <xf numFmtId="1" fontId="165" fillId="0" borderId="0" xfId="0" applyNumberFormat="1" applyFont="1" applyFill="1" applyBorder="1" applyAlignment="1">
      <alignment vertical="center"/>
    </xf>
    <xf numFmtId="1" fontId="165" fillId="0" borderId="0" xfId="2" applyNumberFormat="1" applyFont="1" applyFill="1" applyBorder="1" applyAlignment="1"/>
    <xf numFmtId="1" fontId="165" fillId="0" borderId="0" xfId="2" applyNumberFormat="1" applyFont="1" applyFill="1" applyBorder="1" applyAlignment="1">
      <alignment vertical="center"/>
    </xf>
    <xf numFmtId="1" fontId="165" fillId="0" borderId="0" xfId="4441" applyNumberFormat="1" applyFont="1" applyFill="1" applyBorder="1" applyAlignment="1">
      <alignment shrinkToFit="1"/>
    </xf>
    <xf numFmtId="305" fontId="165" fillId="0" borderId="0" xfId="0" applyNumberFormat="1" applyFont="1" applyFill="1" applyBorder="1" applyAlignment="1">
      <alignment horizontal="right"/>
    </xf>
    <xf numFmtId="0" fontId="165" fillId="0" borderId="0" xfId="0" applyFont="1" applyFill="1" applyBorder="1" applyAlignment="1">
      <alignment horizontal="left" vertical="top" wrapText="1"/>
    </xf>
    <xf numFmtId="1" fontId="165" fillId="0" borderId="70" xfId="2" applyNumberFormat="1" applyFont="1" applyFill="1" applyBorder="1" applyAlignment="1"/>
    <xf numFmtId="1" fontId="165" fillId="0" borderId="70" xfId="0" applyNumberFormat="1" applyFont="1" applyFill="1" applyBorder="1" applyAlignment="1">
      <alignment horizontal="right"/>
    </xf>
    <xf numFmtId="1" fontId="165" fillId="0" borderId="70" xfId="0" applyNumberFormat="1" applyFont="1" applyFill="1" applyBorder="1" applyAlignment="1">
      <alignment horizontal="right" vertical="top" wrapText="1"/>
    </xf>
    <xf numFmtId="166" fontId="165" fillId="0" borderId="0" xfId="11" applyNumberFormat="1" applyFont="1" applyFill="1" applyBorder="1" applyAlignment="1">
      <alignment horizontal="right" vertical="center"/>
    </xf>
    <xf numFmtId="305" fontId="163" fillId="0" borderId="0" xfId="15297" applyNumberFormat="1" applyFont="1" applyFill="1" applyBorder="1"/>
    <xf numFmtId="3" fontId="165" fillId="0" borderId="0" xfId="0" applyNumberFormat="1" applyFont="1" applyFill="1" applyBorder="1" applyAlignment="1">
      <alignment vertical="top"/>
    </xf>
    <xf numFmtId="171" fontId="165" fillId="0" borderId="0" xfId="15" applyNumberFormat="1" applyFont="1" applyFill="1" applyBorder="1" applyAlignment="1">
      <alignment vertical="center" wrapText="1"/>
    </xf>
    <xf numFmtId="0" fontId="165" fillId="0" borderId="0" xfId="15" applyFont="1" applyFill="1" applyBorder="1" applyAlignment="1">
      <alignment vertical="top" wrapText="1"/>
    </xf>
    <xf numFmtId="0" fontId="165" fillId="0" borderId="0" xfId="42" applyFont="1" applyFill="1" applyBorder="1" applyAlignment="1"/>
    <xf numFmtId="1" fontId="163" fillId="0" borderId="0" xfId="4668" applyNumberFormat="1" applyFont="1" applyFill="1" applyBorder="1" applyAlignment="1">
      <alignment horizontal="right"/>
    </xf>
    <xf numFmtId="0" fontId="168" fillId="0" borderId="0" xfId="0" applyFont="1" applyFill="1" applyBorder="1" applyAlignment="1">
      <alignment horizontal="left"/>
    </xf>
    <xf numFmtId="0" fontId="169" fillId="0" borderId="0" xfId="8749" applyFont="1" applyFill="1" applyBorder="1"/>
    <xf numFmtId="1" fontId="165" fillId="0" borderId="70" xfId="0" applyNumberFormat="1" applyFont="1" applyFill="1" applyBorder="1" applyAlignment="1">
      <alignment horizontal="right" vertical="center" wrapText="1"/>
    </xf>
    <xf numFmtId="1" fontId="165" fillId="0" borderId="44" xfId="42" applyNumberFormat="1" applyFont="1" applyFill="1" applyBorder="1"/>
    <xf numFmtId="0" fontId="166" fillId="0" borderId="0" xfId="0" applyFont="1" applyFill="1" applyBorder="1" applyAlignment="1">
      <alignment horizontal="left" vertical="center"/>
    </xf>
    <xf numFmtId="0" fontId="166" fillId="0" borderId="0" xfId="0" applyFont="1" applyFill="1" applyBorder="1"/>
    <xf numFmtId="0" fontId="18" fillId="0" borderId="0" xfId="0" applyFont="1"/>
    <xf numFmtId="243" fontId="165" fillId="0" borderId="0" xfId="0" applyNumberFormat="1" applyFont="1" applyFill="1" applyBorder="1" applyAlignment="1">
      <alignment horizontal="right"/>
    </xf>
    <xf numFmtId="1" fontId="165" fillId="0" borderId="0" xfId="15" applyNumberFormat="1" applyFont="1" applyFill="1" applyBorder="1" applyAlignment="1">
      <alignment horizontal="right" vertical="center" wrapText="1"/>
    </xf>
    <xf numFmtId="1" fontId="166" fillId="0" borderId="0" xfId="0" applyNumberFormat="1" applyFont="1" applyFill="1" applyBorder="1" applyAlignment="1">
      <alignment horizontal="right" vertical="top" wrapText="1"/>
    </xf>
    <xf numFmtId="1" fontId="165" fillId="0" borderId="0" xfId="1" applyNumberFormat="1" applyFont="1" applyFill="1" applyBorder="1" applyAlignment="1">
      <alignment horizontal="right"/>
    </xf>
    <xf numFmtId="1" fontId="165" fillId="0" borderId="0" xfId="15" applyNumberFormat="1" applyFont="1" applyFill="1" applyBorder="1" applyAlignment="1">
      <alignment horizontal="right" vertical="top" wrapText="1"/>
    </xf>
    <xf numFmtId="1" fontId="165" fillId="0" borderId="0" xfId="0" applyNumberFormat="1" applyFont="1" applyFill="1" applyBorder="1" applyAlignment="1">
      <alignment horizontal="left"/>
    </xf>
    <xf numFmtId="1" fontId="165" fillId="0" borderId="0" xfId="4" applyNumberFormat="1" applyFont="1" applyFill="1" applyBorder="1" applyAlignment="1">
      <alignment horizontal="right"/>
    </xf>
    <xf numFmtId="1" fontId="164" fillId="0" borderId="0" xfId="4668" applyNumberFormat="1" applyFont="1" applyFill="1" applyBorder="1"/>
    <xf numFmtId="1" fontId="163" fillId="0" borderId="0" xfId="4668" applyNumberFormat="1" applyFont="1" applyFill="1" applyBorder="1"/>
    <xf numFmtId="1" fontId="163" fillId="0" borderId="0" xfId="4" applyNumberFormat="1" applyFont="1" applyFill="1" applyBorder="1" applyAlignment="1">
      <alignment horizontal="right"/>
    </xf>
    <xf numFmtId="1" fontId="163" fillId="0" borderId="0" xfId="8749" applyNumberFormat="1" applyFont="1" applyFill="1" applyBorder="1" applyAlignment="1">
      <alignment horizontal="center"/>
    </xf>
    <xf numFmtId="1" fontId="163" fillId="0" borderId="0" xfId="8749" applyNumberFormat="1" applyFont="1" applyFill="1" applyBorder="1"/>
    <xf numFmtId="1" fontId="165" fillId="0" borderId="0" xfId="4" applyNumberFormat="1" applyFont="1" applyFill="1" applyBorder="1"/>
    <xf numFmtId="1" fontId="165" fillId="0" borderId="0" xfId="4262" applyNumberFormat="1" applyFont="1" applyFill="1" applyBorder="1"/>
    <xf numFmtId="1" fontId="165" fillId="0" borderId="0" xfId="10" applyNumberFormat="1" applyFont="1" applyFill="1" applyBorder="1" applyAlignment="1">
      <alignment horizontal="right"/>
    </xf>
    <xf numFmtId="1" fontId="163" fillId="0" borderId="0" xfId="8749" applyNumberFormat="1" applyFont="1" applyFill="1" applyBorder="1" applyAlignment="1">
      <alignment horizontal="right"/>
    </xf>
    <xf numFmtId="1" fontId="169" fillId="0" borderId="0" xfId="8749" applyNumberFormat="1" applyFont="1" applyFill="1" applyBorder="1" applyAlignment="1">
      <alignment horizontal="center"/>
    </xf>
    <xf numFmtId="170" fontId="165" fillId="0" borderId="0" xfId="4" applyNumberFormat="1" applyFont="1" applyFill="1" applyBorder="1" applyAlignment="1">
      <alignment horizontal="right"/>
    </xf>
    <xf numFmtId="1" fontId="165" fillId="0" borderId="0" xfId="4" applyNumberFormat="1" applyFont="1" applyFill="1" applyBorder="1" applyAlignment="1">
      <alignment horizontal="right" vertical="center" wrapText="1"/>
    </xf>
    <xf numFmtId="170" fontId="165" fillId="0" borderId="0" xfId="4" applyNumberFormat="1" applyFont="1" applyFill="1" applyBorder="1" applyAlignment="1">
      <alignment horizontal="right" vertical="top" wrapText="1"/>
    </xf>
    <xf numFmtId="170" fontId="165" fillId="0" borderId="0" xfId="1" applyNumberFormat="1" applyFont="1" applyFill="1" applyBorder="1" applyAlignment="1">
      <alignment horizontal="right"/>
    </xf>
    <xf numFmtId="0" fontId="165" fillId="0" borderId="0" xfId="15" applyFont="1" applyFill="1" applyBorder="1" applyAlignment="1">
      <alignment vertical="center" wrapText="1"/>
    </xf>
    <xf numFmtId="3" fontId="165" fillId="0" borderId="0" xfId="15" applyNumberFormat="1" applyFont="1" applyFill="1" applyBorder="1" applyAlignment="1">
      <alignment vertical="top" wrapText="1"/>
    </xf>
    <xf numFmtId="2" fontId="165" fillId="0" borderId="0" xfId="4668" applyNumberFormat="1" applyFont="1" applyFill="1"/>
    <xf numFmtId="1" fontId="165" fillId="0" borderId="0" xfId="4668" applyNumberFormat="1" applyFont="1" applyFill="1"/>
    <xf numFmtId="1" fontId="165" fillId="0" borderId="0" xfId="4668" applyNumberFormat="1" applyFont="1" applyFill="1" applyAlignment="1">
      <alignment horizontal="right"/>
    </xf>
    <xf numFmtId="305" fontId="165" fillId="0" borderId="0" xfId="4668" applyNumberFormat="1" applyFont="1" applyFill="1" applyAlignment="1">
      <alignment horizontal="right"/>
    </xf>
    <xf numFmtId="1" fontId="166" fillId="0" borderId="0" xfId="0" applyNumberFormat="1" applyFont="1" applyFill="1" applyBorder="1" applyAlignment="1"/>
    <xf numFmtId="1" fontId="166" fillId="0" borderId="0" xfId="2" applyNumberFormat="1" applyFont="1" applyFill="1" applyBorder="1" applyAlignment="1"/>
    <xf numFmtId="1" fontId="167" fillId="0" borderId="0" xfId="0" applyNumberFormat="1" applyFont="1" applyFill="1" applyBorder="1" applyAlignment="1">
      <alignment vertical="center" wrapText="1"/>
    </xf>
    <xf numFmtId="2" fontId="164" fillId="0" borderId="0" xfId="4668" applyNumberFormat="1" applyFont="1" applyFill="1" applyBorder="1"/>
    <xf numFmtId="1" fontId="164" fillId="0" borderId="0" xfId="4668" applyNumberFormat="1" applyFont="1" applyFill="1" applyBorder="1" applyAlignment="1">
      <alignment horizontal="right"/>
    </xf>
    <xf numFmtId="1" fontId="165" fillId="0" borderId="0" xfId="0" applyNumberFormat="1" applyFont="1" applyFill="1"/>
    <xf numFmtId="243" fontId="163" fillId="0" borderId="0" xfId="4668" applyNumberFormat="1" applyFont="1" applyFill="1" applyBorder="1" applyAlignment="1">
      <alignment horizontal="right"/>
    </xf>
    <xf numFmtId="0" fontId="166" fillId="0" borderId="0" xfId="0" applyFont="1" applyFill="1"/>
    <xf numFmtId="0" fontId="165" fillId="0" borderId="0" xfId="0" applyFont="1" applyFill="1"/>
    <xf numFmtId="0" fontId="165" fillId="0" borderId="0" xfId="0" applyFont="1" applyFill="1" applyAlignment="1">
      <alignment horizontal="right"/>
    </xf>
    <xf numFmtId="0" fontId="164" fillId="0" borderId="0" xfId="8749" applyFont="1" applyFill="1" applyBorder="1"/>
    <xf numFmtId="2" fontId="165" fillId="0" borderId="0" xfId="4668" applyNumberFormat="1" applyFont="1" applyFill="1" applyAlignment="1"/>
    <xf numFmtId="170" fontId="165" fillId="0" borderId="73" xfId="0" applyNumberFormat="1" applyFont="1" applyFill="1" applyBorder="1" applyAlignment="1">
      <alignment horizontal="right" vertical="center" wrapText="1"/>
    </xf>
    <xf numFmtId="305" fontId="163" fillId="0" borderId="0" xfId="4" applyNumberFormat="1" applyFont="1" applyFill="1" applyAlignment="1">
      <alignment horizontal="right"/>
    </xf>
    <xf numFmtId="0" fontId="166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top"/>
    </xf>
    <xf numFmtId="243" fontId="166" fillId="0" borderId="0" xfId="0" applyNumberFormat="1" applyFont="1" applyFill="1" applyBorder="1" applyAlignment="1">
      <alignment horizontal="right"/>
    </xf>
    <xf numFmtId="1" fontId="166" fillId="0" borderId="0" xfId="0" applyNumberFormat="1" applyFont="1" applyFill="1" applyBorder="1" applyAlignment="1">
      <alignment vertical="top"/>
    </xf>
    <xf numFmtId="1" fontId="165" fillId="0" borderId="0" xfId="0" applyNumberFormat="1" applyFont="1" applyFill="1" applyBorder="1" applyAlignment="1">
      <alignment horizontal="right" wrapText="1"/>
    </xf>
    <xf numFmtId="170" fontId="163" fillId="0" borderId="0" xfId="4668" applyNumberFormat="1" applyFont="1" applyFill="1" applyBorder="1" applyAlignment="1">
      <alignment horizontal="right"/>
    </xf>
    <xf numFmtId="0" fontId="165" fillId="0" borderId="0" xfId="0" applyFont="1" applyFill="1" applyAlignment="1">
      <alignment horizontal="center"/>
    </xf>
    <xf numFmtId="1" fontId="165" fillId="0" borderId="70" xfId="2" applyNumberFormat="1" applyFont="1" applyFill="1" applyBorder="1" applyAlignment="1">
      <alignment vertical="center"/>
    </xf>
    <xf numFmtId="1" fontId="165" fillId="0" borderId="70" xfId="15" applyNumberFormat="1" applyFont="1" applyFill="1" applyBorder="1" applyAlignment="1">
      <alignment horizontal="right" vertical="center" wrapText="1"/>
    </xf>
    <xf numFmtId="2" fontId="165" fillId="0" borderId="0" xfId="0" applyNumberFormat="1" applyFont="1" applyFill="1" applyBorder="1" applyAlignment="1">
      <alignment horizontal="right"/>
    </xf>
    <xf numFmtId="1" fontId="165" fillId="0" borderId="42" xfId="0" applyNumberFormat="1" applyFont="1" applyFill="1" applyBorder="1" applyAlignment="1">
      <alignment vertical="center"/>
    </xf>
    <xf numFmtId="184" fontId="165" fillId="0" borderId="0" xfId="4" applyNumberFormat="1" applyFont="1" applyFill="1" applyBorder="1" applyAlignment="1">
      <alignment horizontal="right"/>
    </xf>
    <xf numFmtId="170" fontId="165" fillId="0" borderId="70" xfId="0" applyNumberFormat="1" applyFont="1" applyFill="1" applyBorder="1" applyAlignment="1">
      <alignment horizontal="right"/>
    </xf>
    <xf numFmtId="170" fontId="163" fillId="0" borderId="0" xfId="4" applyNumberFormat="1" applyFont="1" applyFill="1" applyBorder="1" applyAlignment="1">
      <alignment horizontal="right"/>
    </xf>
    <xf numFmtId="1" fontId="163" fillId="0" borderId="70" xfId="4668" applyNumberFormat="1" applyFont="1" applyFill="1" applyBorder="1" applyAlignment="1">
      <alignment horizontal="right"/>
    </xf>
    <xf numFmtId="243" fontId="163" fillId="0" borderId="70" xfId="4668" applyNumberFormat="1" applyFont="1" applyFill="1" applyBorder="1" applyAlignment="1">
      <alignment horizontal="right"/>
    </xf>
    <xf numFmtId="184" fontId="165" fillId="0" borderId="70" xfId="4" applyNumberFormat="1" applyFont="1" applyFill="1" applyBorder="1"/>
    <xf numFmtId="184" fontId="163" fillId="0" borderId="0" xfId="4" applyNumberFormat="1" applyFont="1" applyFill="1" applyBorder="1" applyAlignment="1">
      <alignment horizontal="right"/>
    </xf>
    <xf numFmtId="184" fontId="163" fillId="0" borderId="0" xfId="4" applyNumberFormat="1" applyFont="1" applyFill="1" applyBorder="1"/>
    <xf numFmtId="170" fontId="165" fillId="0" borderId="0" xfId="0" applyNumberFormat="1" applyFont="1" applyFill="1" applyAlignment="1">
      <alignment horizontal="center"/>
    </xf>
    <xf numFmtId="1" fontId="165" fillId="0" borderId="0" xfId="0" applyNumberFormat="1" applyFont="1" applyFill="1" applyAlignment="1">
      <alignment horizontal="center"/>
    </xf>
    <xf numFmtId="243" fontId="165" fillId="0" borderId="0" xfId="0" applyNumberFormat="1" applyFont="1" applyFill="1" applyAlignment="1">
      <alignment horizontal="center"/>
    </xf>
    <xf numFmtId="170" fontId="165" fillId="0" borderId="0" xfId="0" applyNumberFormat="1" applyFont="1" applyFill="1"/>
    <xf numFmtId="2" fontId="165" fillId="0" borderId="0" xfId="0" applyNumberFormat="1" applyFont="1" applyFill="1" applyBorder="1"/>
    <xf numFmtId="1" fontId="166" fillId="0" borderId="70" xfId="0" applyNumberFormat="1" applyFont="1" applyFill="1" applyBorder="1" applyAlignment="1">
      <alignment horizontal="right"/>
    </xf>
    <xf numFmtId="1" fontId="172" fillId="0" borderId="0" xfId="0" applyNumberFormat="1" applyFont="1" applyFill="1" applyBorder="1" applyAlignment="1"/>
    <xf numFmtId="1" fontId="172" fillId="0" borderId="0" xfId="0" applyNumberFormat="1" applyFont="1" applyFill="1" applyBorder="1" applyAlignment="1">
      <alignment horizontal="right"/>
    </xf>
    <xf numFmtId="1" fontId="172" fillId="0" borderId="0" xfId="0" applyNumberFormat="1" applyFont="1" applyFill="1" applyBorder="1" applyAlignment="1">
      <alignment horizontal="left"/>
    </xf>
    <xf numFmtId="1" fontId="173" fillId="0" borderId="0" xfId="0" applyNumberFormat="1" applyFont="1" applyFill="1" applyBorder="1" applyAlignment="1">
      <alignment horizontal="left"/>
    </xf>
    <xf numFmtId="0" fontId="18" fillId="0" borderId="0" xfId="0" quotePrefix="1" applyFont="1"/>
    <xf numFmtId="2" fontId="166" fillId="0" borderId="0" xfId="4668" applyNumberFormat="1" applyFont="1" applyFill="1" applyBorder="1" applyAlignment="1">
      <alignment horizontal="right" wrapText="1"/>
    </xf>
    <xf numFmtId="1" fontId="164" fillId="0" borderId="0" xfId="8749" applyNumberFormat="1" applyFont="1" applyFill="1" applyBorder="1"/>
    <xf numFmtId="1" fontId="174" fillId="0" borderId="0" xfId="4668" applyNumberFormat="1" applyFont="1" applyFill="1" applyBorder="1" applyAlignment="1">
      <alignment horizontal="right"/>
    </xf>
    <xf numFmtId="1" fontId="163" fillId="0" borderId="0" xfId="0" applyNumberFormat="1" applyFont="1" applyFill="1" applyBorder="1" applyAlignment="1">
      <alignment horizontal="right"/>
    </xf>
    <xf numFmtId="170" fontId="165" fillId="0" borderId="0" xfId="0" applyNumberFormat="1" applyFont="1" applyFill="1" applyBorder="1" applyAlignment="1">
      <alignment horizontal="right" vertical="top" wrapText="1"/>
    </xf>
    <xf numFmtId="2" fontId="163" fillId="0" borderId="0" xfId="4668" applyNumberFormat="1" applyFont="1" applyFill="1" applyBorder="1" applyAlignment="1">
      <alignment horizontal="right"/>
    </xf>
    <xf numFmtId="1" fontId="165" fillId="0" borderId="0" xfId="0" applyNumberFormat="1" applyFont="1" applyFill="1" applyBorder="1" applyAlignment="1">
      <alignment horizontal="center"/>
    </xf>
  </cellXfs>
  <cellStyles count="16628">
    <cellStyle name=" 1" xfId="44"/>
    <cellStyle name=" 1 10" xfId="45"/>
    <cellStyle name=" 1 10 2" xfId="46"/>
    <cellStyle name=" 1 10 3" xfId="47"/>
    <cellStyle name=" 1 10 4" xfId="48"/>
    <cellStyle name=" 1 10 5" xfId="49"/>
    <cellStyle name=" 1 10 6" xfId="50"/>
    <cellStyle name=" 1 10 7" xfId="51"/>
    <cellStyle name=" 1 10 8" xfId="52"/>
    <cellStyle name=" 1 11" xfId="53"/>
    <cellStyle name=" 1 11 2" xfId="54"/>
    <cellStyle name=" 1 11 3" xfId="55"/>
    <cellStyle name=" 1 11 4" xfId="56"/>
    <cellStyle name=" 1 11 5" xfId="57"/>
    <cellStyle name=" 1 11 6" xfId="58"/>
    <cellStyle name=" 1 11 7" xfId="59"/>
    <cellStyle name=" 1 11 8" xfId="60"/>
    <cellStyle name=" 1 12" xfId="61"/>
    <cellStyle name=" 1 12 2" xfId="62"/>
    <cellStyle name=" 1 12 3" xfId="63"/>
    <cellStyle name=" 1 12 4" xfId="64"/>
    <cellStyle name=" 1 12 5" xfId="65"/>
    <cellStyle name=" 1 12 6" xfId="66"/>
    <cellStyle name=" 1 12 7" xfId="67"/>
    <cellStyle name=" 1 12 8" xfId="68"/>
    <cellStyle name=" 1 13" xfId="69"/>
    <cellStyle name=" 1 13 2" xfId="70"/>
    <cellStyle name=" 1 13 3" xfId="71"/>
    <cellStyle name=" 1 13 4" xfId="72"/>
    <cellStyle name=" 1 13 5" xfId="73"/>
    <cellStyle name=" 1 13 6" xfId="74"/>
    <cellStyle name=" 1 13 7" xfId="75"/>
    <cellStyle name=" 1 13 8" xfId="76"/>
    <cellStyle name=" 1 14" xfId="77"/>
    <cellStyle name=" 1 14 2" xfId="78"/>
    <cellStyle name=" 1 14 3" xfId="79"/>
    <cellStyle name=" 1 14 4" xfId="80"/>
    <cellStyle name=" 1 14 5" xfId="81"/>
    <cellStyle name=" 1 14 6" xfId="82"/>
    <cellStyle name=" 1 14 7" xfId="83"/>
    <cellStyle name=" 1 14 8" xfId="84"/>
    <cellStyle name=" 1 15" xfId="85"/>
    <cellStyle name=" 1 15 2" xfId="86"/>
    <cellStyle name=" 1 15 3" xfId="87"/>
    <cellStyle name=" 1 15 4" xfId="88"/>
    <cellStyle name=" 1 15 5" xfId="89"/>
    <cellStyle name=" 1 15 6" xfId="90"/>
    <cellStyle name=" 1 15 7" xfId="91"/>
    <cellStyle name=" 1 15 8" xfId="92"/>
    <cellStyle name=" 1 16" xfId="93"/>
    <cellStyle name=" 1 16 2" xfId="94"/>
    <cellStyle name=" 1 16 3" xfId="95"/>
    <cellStyle name=" 1 16 4" xfId="96"/>
    <cellStyle name=" 1 16 5" xfId="97"/>
    <cellStyle name=" 1 16 6" xfId="98"/>
    <cellStyle name=" 1 16 7" xfId="99"/>
    <cellStyle name=" 1 16 8" xfId="100"/>
    <cellStyle name=" 1 17" xfId="101"/>
    <cellStyle name=" 1 17 2" xfId="102"/>
    <cellStyle name=" 1 17 3" xfId="103"/>
    <cellStyle name=" 1 17 4" xfId="104"/>
    <cellStyle name=" 1 17 5" xfId="105"/>
    <cellStyle name=" 1 17 6" xfId="106"/>
    <cellStyle name=" 1 17 7" xfId="107"/>
    <cellStyle name=" 1 17 8" xfId="108"/>
    <cellStyle name=" 1 18" xfId="109"/>
    <cellStyle name=" 1 18 2" xfId="110"/>
    <cellStyle name=" 1 18 3" xfId="111"/>
    <cellStyle name=" 1 18 4" xfId="112"/>
    <cellStyle name=" 1 18 5" xfId="113"/>
    <cellStyle name=" 1 18 6" xfId="114"/>
    <cellStyle name=" 1 18 7" xfId="115"/>
    <cellStyle name=" 1 18 8" xfId="116"/>
    <cellStyle name=" 1 19" xfId="117"/>
    <cellStyle name=" 1 19 2" xfId="118"/>
    <cellStyle name=" 1 19 3" xfId="119"/>
    <cellStyle name=" 1 19 4" xfId="120"/>
    <cellStyle name=" 1 19 5" xfId="121"/>
    <cellStyle name=" 1 19 6" xfId="122"/>
    <cellStyle name=" 1 19 7" xfId="123"/>
    <cellStyle name=" 1 19 8" xfId="124"/>
    <cellStyle name=" 1 2" xfId="125"/>
    <cellStyle name=" 1 2 10" xfId="126"/>
    <cellStyle name=" 1 2 11" xfId="127"/>
    <cellStyle name=" 1 2 12" xfId="128"/>
    <cellStyle name=" 1 2 2" xfId="129"/>
    <cellStyle name=" 1 2 2 2" xfId="130"/>
    <cellStyle name=" 1 2 2 3" xfId="131"/>
    <cellStyle name=" 1 2 2 4" xfId="132"/>
    <cellStyle name=" 1 2 2 5" xfId="133"/>
    <cellStyle name=" 1 2 2 6" xfId="134"/>
    <cellStyle name=" 1 2 3" xfId="135"/>
    <cellStyle name=" 1 2 3 2" xfId="136"/>
    <cellStyle name=" 1 2 3 3" xfId="137"/>
    <cellStyle name=" 1 2 3 4" xfId="138"/>
    <cellStyle name=" 1 2 3 5" xfId="139"/>
    <cellStyle name=" 1 2 3 6" xfId="140"/>
    <cellStyle name=" 1 2 4" xfId="141"/>
    <cellStyle name=" 1 2 4 2" xfId="142"/>
    <cellStyle name=" 1 2 4 3" xfId="143"/>
    <cellStyle name=" 1 2 4 4" xfId="144"/>
    <cellStyle name=" 1 2 4 5" xfId="145"/>
    <cellStyle name=" 1 2 4 6" xfId="146"/>
    <cellStyle name=" 1 2 5" xfId="147"/>
    <cellStyle name=" 1 2 5 2" xfId="148"/>
    <cellStyle name=" 1 2 5 3" xfId="149"/>
    <cellStyle name=" 1 2 5 4" xfId="150"/>
    <cellStyle name=" 1 2 5 5" xfId="151"/>
    <cellStyle name=" 1 2 5 6" xfId="152"/>
    <cellStyle name=" 1 2 6" xfId="153"/>
    <cellStyle name=" 1 2 6 2" xfId="154"/>
    <cellStyle name=" 1 2 6 3" xfId="155"/>
    <cellStyle name=" 1 2 6 4" xfId="156"/>
    <cellStyle name=" 1 2 6 5" xfId="157"/>
    <cellStyle name=" 1 2 7" xfId="158"/>
    <cellStyle name=" 1 2 8" xfId="159"/>
    <cellStyle name=" 1 2 9" xfId="160"/>
    <cellStyle name=" 1 20" xfId="161"/>
    <cellStyle name=" 1 20 2" xfId="162"/>
    <cellStyle name=" 1 20 3" xfId="163"/>
    <cellStyle name=" 1 20 4" xfId="164"/>
    <cellStyle name=" 1 20 5" xfId="165"/>
    <cellStyle name=" 1 20 6" xfId="166"/>
    <cellStyle name=" 1 20 7" xfId="167"/>
    <cellStyle name=" 1 20 8" xfId="168"/>
    <cellStyle name=" 1 21" xfId="169"/>
    <cellStyle name=" 1 21 2" xfId="170"/>
    <cellStyle name=" 1 21 3" xfId="171"/>
    <cellStyle name=" 1 21 4" xfId="172"/>
    <cellStyle name=" 1 21 5" xfId="173"/>
    <cellStyle name=" 1 21 6" xfId="174"/>
    <cellStyle name=" 1 21 7" xfId="175"/>
    <cellStyle name=" 1 21 8" xfId="176"/>
    <cellStyle name=" 1 22" xfId="177"/>
    <cellStyle name=" 1 22 2" xfId="178"/>
    <cellStyle name=" 1 22 3" xfId="179"/>
    <cellStyle name=" 1 22 4" xfId="180"/>
    <cellStyle name=" 1 22 5" xfId="181"/>
    <cellStyle name=" 1 22 6" xfId="182"/>
    <cellStyle name=" 1 22 7" xfId="183"/>
    <cellStyle name=" 1 22 8" xfId="184"/>
    <cellStyle name=" 1 23" xfId="185"/>
    <cellStyle name=" 1 23 2" xfId="186"/>
    <cellStyle name=" 1 23 3" xfId="187"/>
    <cellStyle name=" 1 23 4" xfId="188"/>
    <cellStyle name=" 1 23 5" xfId="189"/>
    <cellStyle name=" 1 23 6" xfId="190"/>
    <cellStyle name=" 1 23 7" xfId="191"/>
    <cellStyle name=" 1 23 8" xfId="192"/>
    <cellStyle name=" 1 24" xfId="193"/>
    <cellStyle name=" 1 24 2" xfId="194"/>
    <cellStyle name=" 1 24 3" xfId="195"/>
    <cellStyle name=" 1 24 4" xfId="196"/>
    <cellStyle name=" 1 24 5" xfId="197"/>
    <cellStyle name=" 1 25" xfId="198"/>
    <cellStyle name=" 1 25 2" xfId="199"/>
    <cellStyle name=" 1 25 3" xfId="200"/>
    <cellStyle name=" 1 25 4" xfId="201"/>
    <cellStyle name=" 1 25 5" xfId="202"/>
    <cellStyle name=" 1 3" xfId="203"/>
    <cellStyle name=" 1 3 10" xfId="204"/>
    <cellStyle name=" 1 3 11" xfId="205"/>
    <cellStyle name=" 1 3 2" xfId="206"/>
    <cellStyle name=" 1 3 2 2" xfId="207"/>
    <cellStyle name=" 1 3 2 3" xfId="208"/>
    <cellStyle name=" 1 3 2 4" xfId="209"/>
    <cellStyle name=" 1 3 2 5" xfId="210"/>
    <cellStyle name=" 1 3 2 6" xfId="211"/>
    <cellStyle name=" 1 3 3" xfId="212"/>
    <cellStyle name=" 1 3 3 2" xfId="213"/>
    <cellStyle name=" 1 3 3 3" xfId="214"/>
    <cellStyle name=" 1 3 3 4" xfId="215"/>
    <cellStyle name=" 1 3 3 5" xfId="216"/>
    <cellStyle name=" 1 3 3 6" xfId="217"/>
    <cellStyle name=" 1 3 4" xfId="218"/>
    <cellStyle name=" 1 3 4 2" xfId="219"/>
    <cellStyle name=" 1 3 4 3" xfId="220"/>
    <cellStyle name=" 1 3 4 4" xfId="221"/>
    <cellStyle name=" 1 3 4 5" xfId="222"/>
    <cellStyle name=" 1 3 4 6" xfId="223"/>
    <cellStyle name=" 1 3 5" xfId="224"/>
    <cellStyle name=" 1 3 5 2" xfId="225"/>
    <cellStyle name=" 1 3 5 3" xfId="226"/>
    <cellStyle name=" 1 3 5 4" xfId="227"/>
    <cellStyle name=" 1 3 5 5" xfId="228"/>
    <cellStyle name=" 1 3 5 6" xfId="229"/>
    <cellStyle name=" 1 3 6" xfId="230"/>
    <cellStyle name=" 1 3 7" xfId="231"/>
    <cellStyle name=" 1 3 8" xfId="232"/>
    <cellStyle name=" 1 3 9" xfId="233"/>
    <cellStyle name=" 1 4" xfId="234"/>
    <cellStyle name=" 1 4 2" xfId="235"/>
    <cellStyle name=" 1 4 3" xfId="236"/>
    <cellStyle name=" 1 4 4" xfId="237"/>
    <cellStyle name=" 1 4 5" xfId="238"/>
    <cellStyle name=" 1 4 6" xfId="239"/>
    <cellStyle name=" 1 4 7" xfId="240"/>
    <cellStyle name=" 1 4 8" xfId="241"/>
    <cellStyle name=" 1 5" xfId="242"/>
    <cellStyle name=" 1 5 2" xfId="243"/>
    <cellStyle name=" 1 5 3" xfId="244"/>
    <cellStyle name=" 1 5 4" xfId="245"/>
    <cellStyle name=" 1 5 5" xfId="246"/>
    <cellStyle name=" 1 5 6" xfId="247"/>
    <cellStyle name=" 1 5 7" xfId="248"/>
    <cellStyle name=" 1 5 8" xfId="249"/>
    <cellStyle name=" 1 6" xfId="250"/>
    <cellStyle name=" 1 6 2" xfId="251"/>
    <cellStyle name=" 1 6 3" xfId="252"/>
    <cellStyle name=" 1 6 4" xfId="253"/>
    <cellStyle name=" 1 6 5" xfId="254"/>
    <cellStyle name=" 1 6 6" xfId="255"/>
    <cellStyle name=" 1 6 7" xfId="256"/>
    <cellStyle name=" 1 6 8" xfId="257"/>
    <cellStyle name=" 1 7" xfId="258"/>
    <cellStyle name=" 1 7 2" xfId="259"/>
    <cellStyle name=" 1 7 3" xfId="260"/>
    <cellStyle name=" 1 7 4" xfId="261"/>
    <cellStyle name=" 1 7 5" xfId="262"/>
    <cellStyle name=" 1 7 6" xfId="263"/>
    <cellStyle name=" 1 7 7" xfId="264"/>
    <cellStyle name=" 1 7 8" xfId="265"/>
    <cellStyle name=" 1 8" xfId="266"/>
    <cellStyle name=" 1 8 2" xfId="267"/>
    <cellStyle name=" 1 8 3" xfId="268"/>
    <cellStyle name=" 1 8 4" xfId="269"/>
    <cellStyle name=" 1 8 5" xfId="270"/>
    <cellStyle name=" 1 8 6" xfId="271"/>
    <cellStyle name=" 1 8 7" xfId="272"/>
    <cellStyle name=" 1 8 8" xfId="273"/>
    <cellStyle name=" 1 9" xfId="274"/>
    <cellStyle name=" 1 9 2" xfId="275"/>
    <cellStyle name=" 1 9 3" xfId="276"/>
    <cellStyle name=" 1 9 4" xfId="277"/>
    <cellStyle name=" 1 9 5" xfId="278"/>
    <cellStyle name=" 1 9 6" xfId="279"/>
    <cellStyle name=" 1 9 7" xfId="280"/>
    <cellStyle name=" 1 9 8" xfId="281"/>
    <cellStyle name=" 2" xfId="282"/>
    <cellStyle name=" 3" xfId="283"/>
    <cellStyle name="$" xfId="284"/>
    <cellStyle name="$ BOX" xfId="285"/>
    <cellStyle name="$_DCF Shell 2" xfId="286"/>
    <cellStyle name="$_DCF Shell 2_Draft RIIO plan presentation template - Customer Opsx Centre V7" xfId="287"/>
    <cellStyle name="$_DCF Shell 2_Spreadsheet to populate plan slides 120810" xfId="288"/>
    <cellStyle name="$_DCF Shell 2_SS templates" xfId="289"/>
    <cellStyle name="$_DCF Shell 2_Total summary" xfId="290"/>
    <cellStyle name="$_Marathon SOP Backup_v10" xfId="291"/>
    <cellStyle name="$_Model_Sep_2_02" xfId="292"/>
    <cellStyle name="$_Pipeline Model v1 (09_09_02) v3" xfId="293"/>
    <cellStyle name="$_Pipeline Model v1 (09_09_02) v3_Draft RIIO plan presentation template - Customer Opsx Centre V7" xfId="294"/>
    <cellStyle name="$_Pipeline Model v1 (09_09_02) v3_Spreadsheet to populate plan slides 120810" xfId="295"/>
    <cellStyle name="$_Pipeline Model v1 (09_09_02) v3_SS templates" xfId="296"/>
    <cellStyle name="$_Pipeline Model v1 (09_09_02) v3_Total summary" xfId="297"/>
    <cellStyle name="$1000s (0)" xfId="298"/>
    <cellStyle name="$m" xfId="299"/>
    <cellStyle name="$q" xfId="300"/>
    <cellStyle name="$q*" xfId="301"/>
    <cellStyle name="$qA" xfId="302"/>
    <cellStyle name="$qRange" xfId="303"/>
    <cellStyle name="%" xfId="304"/>
    <cellStyle name="% 10" xfId="305"/>
    <cellStyle name="% 10 2" xfId="306"/>
    <cellStyle name="% 10 2 2" xfId="307"/>
    <cellStyle name="% 100" xfId="308"/>
    <cellStyle name="% 101" xfId="309"/>
    <cellStyle name="% 102" xfId="310"/>
    <cellStyle name="% 103" xfId="311"/>
    <cellStyle name="% 104" xfId="312"/>
    <cellStyle name="% 105" xfId="313"/>
    <cellStyle name="% 106" xfId="314"/>
    <cellStyle name="% 107" xfId="315"/>
    <cellStyle name="% 108" xfId="316"/>
    <cellStyle name="% 109" xfId="317"/>
    <cellStyle name="% 11" xfId="318"/>
    <cellStyle name="% 110" xfId="319"/>
    <cellStyle name="% 111" xfId="320"/>
    <cellStyle name="% 112" xfId="321"/>
    <cellStyle name="% 113" xfId="322"/>
    <cellStyle name="% 12" xfId="323"/>
    <cellStyle name="% 13" xfId="324"/>
    <cellStyle name="% 14" xfId="325"/>
    <cellStyle name="% 15" xfId="326"/>
    <cellStyle name="% 16" xfId="327"/>
    <cellStyle name="% 17" xfId="328"/>
    <cellStyle name="% 18" xfId="329"/>
    <cellStyle name="% 19" xfId="330"/>
    <cellStyle name="% 2" xfId="331"/>
    <cellStyle name="% 2 10" xfId="332"/>
    <cellStyle name="% 2 11" xfId="333"/>
    <cellStyle name="% 2 12" xfId="334"/>
    <cellStyle name="% 2 13" xfId="335"/>
    <cellStyle name="% 2 14" xfId="336"/>
    <cellStyle name="% 2 15" xfId="337"/>
    <cellStyle name="% 2 16" xfId="338"/>
    <cellStyle name="% 2 17" xfId="339"/>
    <cellStyle name="% 2 18" xfId="340"/>
    <cellStyle name="% 2 19" xfId="341"/>
    <cellStyle name="% 2 2" xfId="342"/>
    <cellStyle name="% 2 2 2" xfId="343"/>
    <cellStyle name="% 2 2 2 2" xfId="344"/>
    <cellStyle name="% 2 2 2 3" xfId="345"/>
    <cellStyle name="% 2 2 2 4" xfId="346"/>
    <cellStyle name="% 2 2 2 5" xfId="347"/>
    <cellStyle name="% 2 2 2 6" xfId="348"/>
    <cellStyle name="% 2 2 2 7" xfId="349"/>
    <cellStyle name="% 2 2 2 8" xfId="350"/>
    <cellStyle name="% 2 2 3" xfId="351"/>
    <cellStyle name="% 2 2 3 2" xfId="352"/>
    <cellStyle name="% 2 2 3 3" xfId="353"/>
    <cellStyle name="% 2 2 4" xfId="354"/>
    <cellStyle name="% 2 2 4 2" xfId="355"/>
    <cellStyle name="% 2 2 4 3" xfId="356"/>
    <cellStyle name="% 2 2 4 4" xfId="357"/>
    <cellStyle name="% 2 2_3.1.2 DB Pension Detail" xfId="358"/>
    <cellStyle name="% 2 20" xfId="359"/>
    <cellStyle name="% 2 21" xfId="360"/>
    <cellStyle name="% 2 22" xfId="361"/>
    <cellStyle name="% 2 23" xfId="362"/>
    <cellStyle name="% 2 24" xfId="363"/>
    <cellStyle name="% 2 25" xfId="364"/>
    <cellStyle name="% 2 26" xfId="365"/>
    <cellStyle name="% 2 27" xfId="366"/>
    <cellStyle name="% 2 28" xfId="367"/>
    <cellStyle name="% 2 29" xfId="368"/>
    <cellStyle name="% 2 3" xfId="369"/>
    <cellStyle name="% 2 30" xfId="370"/>
    <cellStyle name="% 2 31" xfId="371"/>
    <cellStyle name="% 2 32" xfId="372"/>
    <cellStyle name="% 2 33" xfId="373"/>
    <cellStyle name="% 2 34" xfId="374"/>
    <cellStyle name="% 2 35" xfId="375"/>
    <cellStyle name="% 2 36" xfId="376"/>
    <cellStyle name="% 2 37" xfId="377"/>
    <cellStyle name="% 2 38" xfId="378"/>
    <cellStyle name="% 2 39" xfId="379"/>
    <cellStyle name="% 2 4" xfId="380"/>
    <cellStyle name="% 2 40" xfId="381"/>
    <cellStyle name="% 2 41" xfId="382"/>
    <cellStyle name="% 2 42" xfId="383"/>
    <cellStyle name="% 2 43" xfId="384"/>
    <cellStyle name="% 2 44" xfId="385"/>
    <cellStyle name="% 2 45" xfId="386"/>
    <cellStyle name="% 2 46" xfId="387"/>
    <cellStyle name="% 2 47" xfId="388"/>
    <cellStyle name="% 2 5" xfId="389"/>
    <cellStyle name="% 2 6" xfId="390"/>
    <cellStyle name="% 2 7" xfId="391"/>
    <cellStyle name="% 2 8" xfId="392"/>
    <cellStyle name="% 2 9" xfId="393"/>
    <cellStyle name="% 2_1.3s Accounting C Costs Scots" xfId="394"/>
    <cellStyle name="% 20" xfId="395"/>
    <cellStyle name="% 21" xfId="396"/>
    <cellStyle name="% 22" xfId="397"/>
    <cellStyle name="% 23" xfId="398"/>
    <cellStyle name="% 24" xfId="399"/>
    <cellStyle name="% 25" xfId="400"/>
    <cellStyle name="% 26" xfId="401"/>
    <cellStyle name="% 27" xfId="402"/>
    <cellStyle name="% 28" xfId="403"/>
    <cellStyle name="% 29" xfId="404"/>
    <cellStyle name="% 3" xfId="405"/>
    <cellStyle name="% 3 10" xfId="406"/>
    <cellStyle name="% 3 11" xfId="407"/>
    <cellStyle name="% 3 12" xfId="408"/>
    <cellStyle name="% 3 13" xfId="409"/>
    <cellStyle name="% 3 14" xfId="410"/>
    <cellStyle name="% 3 15" xfId="411"/>
    <cellStyle name="% 3 16" xfId="412"/>
    <cellStyle name="% 3 17" xfId="413"/>
    <cellStyle name="% 3 18" xfId="414"/>
    <cellStyle name="% 3 19" xfId="415"/>
    <cellStyle name="% 3 2" xfId="416"/>
    <cellStyle name="% 3 2 10" xfId="417"/>
    <cellStyle name="% 3 2 11" xfId="418"/>
    <cellStyle name="% 3 2 12" xfId="419"/>
    <cellStyle name="% 3 2 13" xfId="420"/>
    <cellStyle name="% 3 2 14" xfId="421"/>
    <cellStyle name="% 3 2 15" xfId="422"/>
    <cellStyle name="% 3 2 16" xfId="423"/>
    <cellStyle name="% 3 2 17" xfId="424"/>
    <cellStyle name="% 3 2 18" xfId="425"/>
    <cellStyle name="% 3 2 19" xfId="426"/>
    <cellStyle name="% 3 2 2" xfId="427"/>
    <cellStyle name="% 3 2 2 10" xfId="428"/>
    <cellStyle name="% 3 2 2 11" xfId="429"/>
    <cellStyle name="% 3 2 2 12" xfId="430"/>
    <cellStyle name="% 3 2 2 13" xfId="431"/>
    <cellStyle name="% 3 2 2 14" xfId="432"/>
    <cellStyle name="% 3 2 2 15" xfId="433"/>
    <cellStyle name="% 3 2 2 16" xfId="434"/>
    <cellStyle name="% 3 2 2 17" xfId="435"/>
    <cellStyle name="% 3 2 2 2" xfId="436"/>
    <cellStyle name="% 3 2 2 3" xfId="437"/>
    <cellStyle name="% 3 2 2 4" xfId="438"/>
    <cellStyle name="% 3 2 2 5" xfId="439"/>
    <cellStyle name="% 3 2 2 6" xfId="440"/>
    <cellStyle name="% 3 2 2 7" xfId="441"/>
    <cellStyle name="% 3 2 2 8" xfId="442"/>
    <cellStyle name="% 3 2 2 9" xfId="443"/>
    <cellStyle name="% 3 2 20" xfId="444"/>
    <cellStyle name="% 3 2 21" xfId="445"/>
    <cellStyle name="% 3 2 22" xfId="446"/>
    <cellStyle name="% 3 2 23" xfId="447"/>
    <cellStyle name="% 3 2 24" xfId="448"/>
    <cellStyle name="% 3 2 25" xfId="449"/>
    <cellStyle name="% 3 2 26" xfId="450"/>
    <cellStyle name="% 3 2 27" xfId="451"/>
    <cellStyle name="% 3 2 28" xfId="452"/>
    <cellStyle name="% 3 2 29" xfId="453"/>
    <cellStyle name="% 3 2 3" xfId="454"/>
    <cellStyle name="% 3 2 30" xfId="455"/>
    <cellStyle name="% 3 2 31" xfId="456"/>
    <cellStyle name="% 3 2 32" xfId="457"/>
    <cellStyle name="% 3 2 33" xfId="458"/>
    <cellStyle name="% 3 2 34" xfId="459"/>
    <cellStyle name="% 3 2 35" xfId="460"/>
    <cellStyle name="% 3 2 36" xfId="461"/>
    <cellStyle name="% 3 2 37" xfId="462"/>
    <cellStyle name="% 3 2 38" xfId="463"/>
    <cellStyle name="% 3 2 39" xfId="464"/>
    <cellStyle name="% 3 2 4" xfId="465"/>
    <cellStyle name="% 3 2 40" xfId="466"/>
    <cellStyle name="% 3 2 41" xfId="467"/>
    <cellStyle name="% 3 2 42" xfId="468"/>
    <cellStyle name="% 3 2 43" xfId="469"/>
    <cellStyle name="% 3 2 44" xfId="470"/>
    <cellStyle name="% 3 2 45" xfId="471"/>
    <cellStyle name="% 3 2 46" xfId="472"/>
    <cellStyle name="% 3 2 47" xfId="473"/>
    <cellStyle name="% 3 2 48" xfId="474"/>
    <cellStyle name="% 3 2 49" xfId="475"/>
    <cellStyle name="% 3 2 5" xfId="476"/>
    <cellStyle name="% 3 2 50" xfId="477"/>
    <cellStyle name="% 3 2 51" xfId="478"/>
    <cellStyle name="% 3 2 52" xfId="479"/>
    <cellStyle name="% 3 2 53" xfId="480"/>
    <cellStyle name="% 3 2 54" xfId="481"/>
    <cellStyle name="% 3 2 55" xfId="482"/>
    <cellStyle name="% 3 2 56" xfId="483"/>
    <cellStyle name="% 3 2 57" xfId="484"/>
    <cellStyle name="% 3 2 58" xfId="485"/>
    <cellStyle name="% 3 2 59" xfId="486"/>
    <cellStyle name="% 3 2 6" xfId="487"/>
    <cellStyle name="% 3 2 60" xfId="488"/>
    <cellStyle name="% 3 2 61" xfId="489"/>
    <cellStyle name="% 3 2 62" xfId="490"/>
    <cellStyle name="% 3 2 63" xfId="491"/>
    <cellStyle name="% 3 2 64" xfId="492"/>
    <cellStyle name="% 3 2 65" xfId="493"/>
    <cellStyle name="% 3 2 66" xfId="494"/>
    <cellStyle name="% 3 2 67" xfId="495"/>
    <cellStyle name="% 3 2 68" xfId="496"/>
    <cellStyle name="% 3 2 69" xfId="497"/>
    <cellStyle name="% 3 2 7" xfId="498"/>
    <cellStyle name="% 3 2 70" xfId="499"/>
    <cellStyle name="% 3 2 71" xfId="500"/>
    <cellStyle name="% 3 2 72" xfId="501"/>
    <cellStyle name="% 3 2 73" xfId="502"/>
    <cellStyle name="% 3 2 74" xfId="503"/>
    <cellStyle name="% 3 2 75" xfId="504"/>
    <cellStyle name="% 3 2 76" xfId="505"/>
    <cellStyle name="% 3 2 77" xfId="506"/>
    <cellStyle name="% 3 2 78" xfId="507"/>
    <cellStyle name="% 3 2 8" xfId="508"/>
    <cellStyle name="% 3 2 9" xfId="509"/>
    <cellStyle name="% 3 20" xfId="510"/>
    <cellStyle name="% 3 21" xfId="511"/>
    <cellStyle name="% 3 22" xfId="512"/>
    <cellStyle name="% 3 23" xfId="513"/>
    <cellStyle name="% 3 24" xfId="514"/>
    <cellStyle name="% 3 25" xfId="515"/>
    <cellStyle name="% 3 26" xfId="516"/>
    <cellStyle name="% 3 27" xfId="517"/>
    <cellStyle name="% 3 28" xfId="518"/>
    <cellStyle name="% 3 29" xfId="519"/>
    <cellStyle name="% 3 3" xfId="520"/>
    <cellStyle name="% 3 3 10" xfId="521"/>
    <cellStyle name="% 3 3 11" xfId="522"/>
    <cellStyle name="% 3 3 12" xfId="523"/>
    <cellStyle name="% 3 3 13" xfId="524"/>
    <cellStyle name="% 3 3 14" xfId="525"/>
    <cellStyle name="% 3 3 15" xfId="526"/>
    <cellStyle name="% 3 3 16" xfId="527"/>
    <cellStyle name="% 3 3 17" xfId="528"/>
    <cellStyle name="% 3 3 2" xfId="529"/>
    <cellStyle name="% 3 3 3" xfId="530"/>
    <cellStyle name="% 3 3 4" xfId="531"/>
    <cellStyle name="% 3 3 5" xfId="532"/>
    <cellStyle name="% 3 3 6" xfId="533"/>
    <cellStyle name="% 3 3 7" xfId="534"/>
    <cellStyle name="% 3 3 8" xfId="535"/>
    <cellStyle name="% 3 3 9" xfId="536"/>
    <cellStyle name="% 3 30" xfId="537"/>
    <cellStyle name="% 3 31" xfId="538"/>
    <cellStyle name="% 3 32" xfId="539"/>
    <cellStyle name="% 3 33" xfId="540"/>
    <cellStyle name="% 3 34" xfId="541"/>
    <cellStyle name="% 3 35" xfId="542"/>
    <cellStyle name="% 3 36" xfId="543"/>
    <cellStyle name="% 3 37" xfId="544"/>
    <cellStyle name="% 3 38" xfId="545"/>
    <cellStyle name="% 3 39" xfId="546"/>
    <cellStyle name="% 3 4" xfId="547"/>
    <cellStyle name="% 3 4 10" xfId="548"/>
    <cellStyle name="% 3 4 11" xfId="549"/>
    <cellStyle name="% 3 4 12" xfId="550"/>
    <cellStyle name="% 3 4 13" xfId="551"/>
    <cellStyle name="% 3 4 14" xfId="552"/>
    <cellStyle name="% 3 4 15" xfId="553"/>
    <cellStyle name="% 3 4 16" xfId="554"/>
    <cellStyle name="% 3 4 17" xfId="555"/>
    <cellStyle name="% 3 4 2" xfId="556"/>
    <cellStyle name="% 3 4 3" xfId="557"/>
    <cellStyle name="% 3 4 4" xfId="558"/>
    <cellStyle name="% 3 4 5" xfId="559"/>
    <cellStyle name="% 3 4 6" xfId="560"/>
    <cellStyle name="% 3 4 7" xfId="561"/>
    <cellStyle name="% 3 4 8" xfId="562"/>
    <cellStyle name="% 3 4 9" xfId="563"/>
    <cellStyle name="% 3 40" xfId="564"/>
    <cellStyle name="% 3 41" xfId="565"/>
    <cellStyle name="% 3 42" xfId="566"/>
    <cellStyle name="% 3 43" xfId="567"/>
    <cellStyle name="% 3 44" xfId="568"/>
    <cellStyle name="% 3 45" xfId="569"/>
    <cellStyle name="% 3 46" xfId="570"/>
    <cellStyle name="% 3 47" xfId="571"/>
    <cellStyle name="% 3 48" xfId="572"/>
    <cellStyle name="% 3 49" xfId="573"/>
    <cellStyle name="% 3 5" xfId="574"/>
    <cellStyle name="% 3 50" xfId="575"/>
    <cellStyle name="% 3 51" xfId="576"/>
    <cellStyle name="% 3 52" xfId="577"/>
    <cellStyle name="% 3 53" xfId="578"/>
    <cellStyle name="% 3 54" xfId="579"/>
    <cellStyle name="% 3 55" xfId="580"/>
    <cellStyle name="% 3 56" xfId="581"/>
    <cellStyle name="% 3 57" xfId="582"/>
    <cellStyle name="% 3 58" xfId="583"/>
    <cellStyle name="% 3 59" xfId="584"/>
    <cellStyle name="% 3 6" xfId="585"/>
    <cellStyle name="% 3 60" xfId="586"/>
    <cellStyle name="% 3 61" xfId="587"/>
    <cellStyle name="% 3 62" xfId="588"/>
    <cellStyle name="% 3 63" xfId="589"/>
    <cellStyle name="% 3 64" xfId="590"/>
    <cellStyle name="% 3 65" xfId="591"/>
    <cellStyle name="% 3 66" xfId="592"/>
    <cellStyle name="% 3 67" xfId="593"/>
    <cellStyle name="% 3 68" xfId="594"/>
    <cellStyle name="% 3 69" xfId="595"/>
    <cellStyle name="% 3 7" xfId="596"/>
    <cellStyle name="% 3 70" xfId="597"/>
    <cellStyle name="% 3 71" xfId="598"/>
    <cellStyle name="% 3 72" xfId="599"/>
    <cellStyle name="% 3 73" xfId="600"/>
    <cellStyle name="% 3 74" xfId="601"/>
    <cellStyle name="% 3 75" xfId="602"/>
    <cellStyle name="% 3 76" xfId="603"/>
    <cellStyle name="% 3 77" xfId="604"/>
    <cellStyle name="% 3 78" xfId="605"/>
    <cellStyle name="% 3 8" xfId="606"/>
    <cellStyle name="% 3 9" xfId="607"/>
    <cellStyle name="% 30" xfId="608"/>
    <cellStyle name="% 31" xfId="609"/>
    <cellStyle name="% 32" xfId="610"/>
    <cellStyle name="% 33" xfId="611"/>
    <cellStyle name="% 34" xfId="612"/>
    <cellStyle name="% 35" xfId="613"/>
    <cellStyle name="% 36" xfId="614"/>
    <cellStyle name="% 37" xfId="615"/>
    <cellStyle name="% 38" xfId="616"/>
    <cellStyle name="% 39" xfId="617"/>
    <cellStyle name="% 4" xfId="618"/>
    <cellStyle name="% 4 2" xfId="619"/>
    <cellStyle name="% 4 3" xfId="620"/>
    <cellStyle name="% 4 4" xfId="621"/>
    <cellStyle name="% 4 5" xfId="622"/>
    <cellStyle name="% 4 6" xfId="623"/>
    <cellStyle name="% 4 7" xfId="624"/>
    <cellStyle name="% 4 8" xfId="625"/>
    <cellStyle name="% 40" xfId="626"/>
    <cellStyle name="% 41" xfId="627"/>
    <cellStyle name="% 42" xfId="628"/>
    <cellStyle name="% 43" xfId="629"/>
    <cellStyle name="% 44" xfId="630"/>
    <cellStyle name="% 45" xfId="631"/>
    <cellStyle name="% 46" xfId="632"/>
    <cellStyle name="% 47" xfId="633"/>
    <cellStyle name="% 48" xfId="634"/>
    <cellStyle name="% 49" xfId="635"/>
    <cellStyle name="% 5" xfId="636"/>
    <cellStyle name="% 50" xfId="637"/>
    <cellStyle name="% 51" xfId="638"/>
    <cellStyle name="% 52" xfId="639"/>
    <cellStyle name="% 53" xfId="640"/>
    <cellStyle name="% 54" xfId="641"/>
    <cellStyle name="% 55" xfId="642"/>
    <cellStyle name="% 56" xfId="643"/>
    <cellStyle name="% 57" xfId="644"/>
    <cellStyle name="% 58" xfId="645"/>
    <cellStyle name="% 59" xfId="646"/>
    <cellStyle name="% 6" xfId="647"/>
    <cellStyle name="% 60" xfId="648"/>
    <cellStyle name="% 61" xfId="649"/>
    <cellStyle name="% 62" xfId="650"/>
    <cellStyle name="% 63" xfId="651"/>
    <cellStyle name="% 64" xfId="652"/>
    <cellStyle name="% 65" xfId="653"/>
    <cellStyle name="% 66" xfId="654"/>
    <cellStyle name="% 67" xfId="655"/>
    <cellStyle name="% 68" xfId="656"/>
    <cellStyle name="% 69" xfId="657"/>
    <cellStyle name="% 7" xfId="658"/>
    <cellStyle name="% 70" xfId="659"/>
    <cellStyle name="% 71" xfId="660"/>
    <cellStyle name="% 72" xfId="661"/>
    <cellStyle name="% 73" xfId="662"/>
    <cellStyle name="% 74" xfId="663"/>
    <cellStyle name="% 75" xfId="664"/>
    <cellStyle name="% 76" xfId="665"/>
    <cellStyle name="% 77" xfId="666"/>
    <cellStyle name="% 78" xfId="667"/>
    <cellStyle name="% 79" xfId="668"/>
    <cellStyle name="% 8" xfId="669"/>
    <cellStyle name="% 80" xfId="670"/>
    <cellStyle name="% 81" xfId="671"/>
    <cellStyle name="% 82" xfId="672"/>
    <cellStyle name="% 83" xfId="673"/>
    <cellStyle name="% 84" xfId="674"/>
    <cellStyle name="% 85" xfId="675"/>
    <cellStyle name="% 86" xfId="676"/>
    <cellStyle name="% 87" xfId="677"/>
    <cellStyle name="% 88" xfId="678"/>
    <cellStyle name="% 89" xfId="679"/>
    <cellStyle name="% 9" xfId="680"/>
    <cellStyle name="% 90" xfId="681"/>
    <cellStyle name="% 91" xfId="682"/>
    <cellStyle name="% 92" xfId="683"/>
    <cellStyle name="% 93" xfId="684"/>
    <cellStyle name="% 94" xfId="685"/>
    <cellStyle name="% 95" xfId="686"/>
    <cellStyle name="% 96" xfId="687"/>
    <cellStyle name="% 97" xfId="688"/>
    <cellStyle name="% 98" xfId="689"/>
    <cellStyle name="% 99" xfId="690"/>
    <cellStyle name="%_1. +-Changes from RIIO vD4 to vD5" xfId="691"/>
    <cellStyle name="%_1.3 Acc Costs NG (2011)" xfId="692"/>
    <cellStyle name="%_1.3 Acc Costs NG (2011) 2" xfId="693"/>
    <cellStyle name="%_1.3 Acc Costs NG (2011) 3" xfId="694"/>
    <cellStyle name="%_1.3 Acc Costs NG (2011) 4" xfId="695"/>
    <cellStyle name="%_1.3 Acc Costs NG (2011) 5" xfId="696"/>
    <cellStyle name="%_1.3 Acc Costs NG (2011) 6" xfId="697"/>
    <cellStyle name="%_1.3 Acc Costs NG (2011) 7" xfId="698"/>
    <cellStyle name="%_1.3 Acc Costs NG (2011) 8" xfId="699"/>
    <cellStyle name="%_1.3 Rec to old modelling" xfId="700"/>
    <cellStyle name="%_1.3s Accounting C Costs Scots" xfId="701"/>
    <cellStyle name="%_1.5 Opex Reconciliation NG" xfId="702"/>
    <cellStyle name="%_1.8 Irregular Items" xfId="703"/>
    <cellStyle name="%_1.8 Irregular Items 2" xfId="704"/>
    <cellStyle name="%_1.8 Irregular Items 3" xfId="705"/>
    <cellStyle name="%_1.8 Irregular Items 4" xfId="706"/>
    <cellStyle name="%_1.8 Irregular Items 5" xfId="707"/>
    <cellStyle name="%_1.8 Irregular Items 6" xfId="708"/>
    <cellStyle name="%_1.8 Irregular Items 7" xfId="709"/>
    <cellStyle name="%_1.8 Irregular Items 8" xfId="710"/>
    <cellStyle name="%_2.14 Year on Year Movt" xfId="711"/>
    <cellStyle name="%_2.14 Year on Year Movt ( (2013)" xfId="712"/>
    <cellStyle name="%_2.14 Year on Year Movt ( (2013) 2" xfId="713"/>
    <cellStyle name="%_2.14 Year on Year Movt ( (2013) 3" xfId="714"/>
    <cellStyle name="%_2.14 Year on Year Movt ( (2013) 4" xfId="715"/>
    <cellStyle name="%_2.14 Year on Year Movt ( (2013) 5" xfId="716"/>
    <cellStyle name="%_2.14 Year on Year Movt ( (2013) 6" xfId="717"/>
    <cellStyle name="%_2.14 Year on Year Movt ( (2013) 7" xfId="718"/>
    <cellStyle name="%_2.14 Year on Year Movt ( (2013) 8" xfId="719"/>
    <cellStyle name="%_2.14 Year on Year Movt (2011)" xfId="720"/>
    <cellStyle name="%_2.14 Year on Year Movt (2011) 2" xfId="721"/>
    <cellStyle name="%_2.14 Year on Year Movt (2011) 3" xfId="722"/>
    <cellStyle name="%_2.14 Year on Year Movt (2011) 4" xfId="723"/>
    <cellStyle name="%_2.14 Year on Year Movt (2011) 5" xfId="724"/>
    <cellStyle name="%_2.14 Year on Year Movt (2011) 6" xfId="725"/>
    <cellStyle name="%_2.14 Year on Year Movt (2011) 7" xfId="726"/>
    <cellStyle name="%_2.14 Year on Year Movt (2011) 8" xfId="727"/>
    <cellStyle name="%_2.14 Year on Year Movt (2012)" xfId="728"/>
    <cellStyle name="%_2.14 Year on Year Movt (2012) 2" xfId="729"/>
    <cellStyle name="%_2.14 Year on Year Movt (2012) 3" xfId="730"/>
    <cellStyle name="%_2.14 Year on Year Movt (2012) 4" xfId="731"/>
    <cellStyle name="%_2.14 Year on Year Movt (2012) 5" xfId="732"/>
    <cellStyle name="%_2.14 Year on Year Movt (2012) 6" xfId="733"/>
    <cellStyle name="%_2.14 Year on Year Movt (2012) 7" xfId="734"/>
    <cellStyle name="%_2.14 Year on Year Movt (2012) 8" xfId="735"/>
    <cellStyle name="%_2.4 Exc &amp; Demin " xfId="736"/>
    <cellStyle name="%_2.7s Insurance" xfId="737"/>
    <cellStyle name="%_2010_NGET_TPCR4_RO_FBPQ(Opex) trace only FINAL(DPP)" xfId="738"/>
    <cellStyle name="%_2010_NGET_TPCR4_RO_FBPQ(Opex) trace only FINAL(DPP) 2" xfId="739"/>
    <cellStyle name="%_2010_NGET_TPCR4_RO_FBPQ(Opex) trace only FINAL(DPP) 3" xfId="740"/>
    <cellStyle name="%_2010_NGET_TPCR4_RO_FBPQ(Opex) trace only FINAL(DPP) 4" xfId="741"/>
    <cellStyle name="%_2010_NGET_TPCR4_RO_FBPQ(Opex) trace only FINAL(DPP) 5" xfId="742"/>
    <cellStyle name="%_2010_NGET_TPCR4_RO_FBPQ(Opex) trace only FINAL(DPP) 6" xfId="743"/>
    <cellStyle name="%_2010_NGET_TPCR4_RO_FBPQ(Opex) trace only FINAL(DPP) 7" xfId="744"/>
    <cellStyle name="%_2010_NGET_TPCR4_RO_FBPQ(Opex) trace only FINAL(DPP) 8" xfId="745"/>
    <cellStyle name="%_3.1.2 DB Pension Detail" xfId="746"/>
    <cellStyle name="%_3.3 Tax" xfId="747"/>
    <cellStyle name="%_3.3 Tax 2" xfId="748"/>
    <cellStyle name="%_3.3 Tax 2 2" xfId="749"/>
    <cellStyle name="%_3.3 Tax 3" xfId="750"/>
    <cellStyle name="%_3.3 Tax_2.14 Year on Year Movt" xfId="751"/>
    <cellStyle name="%_3.3 Tax_2.4 Exc &amp; Demin " xfId="752"/>
    <cellStyle name="%_3.3 Tax_2.7s Insurance" xfId="753"/>
    <cellStyle name="%_3.3 Tax_3.1.2 DB Pension Detail" xfId="754"/>
    <cellStyle name="%_3.3 Tax_4.16 Asset lives" xfId="755"/>
    <cellStyle name="%_4.16 Asset lives" xfId="756"/>
    <cellStyle name="%_4.2 Activity Indicators" xfId="757"/>
    <cellStyle name="%_4.2 Activity Indicators 2" xfId="758"/>
    <cellStyle name="%_4.2 Activity Indicators 2 2" xfId="759"/>
    <cellStyle name="%_4.2 Activity Indicators 3" xfId="760"/>
    <cellStyle name="%_4.20 Scheme Listing NLR" xfId="761"/>
    <cellStyle name="%_4.3 Transmission system performance" xfId="762"/>
    <cellStyle name="%_5.15.1 Cond &amp; Risk-Entry Points" xfId="763"/>
    <cellStyle name="%_5.15.2 Cond &amp; Risk-Exit Points" xfId="764"/>
    <cellStyle name="%_5.15.3 Cond &amp; Risk-Comps" xfId="765"/>
    <cellStyle name="%_5.15.4 Cond &amp; Risk-Pipelines" xfId="766"/>
    <cellStyle name="%_5.15.5 Cond &amp; Risk-Multijunctin" xfId="767"/>
    <cellStyle name="%_5.6 Environmental " xfId="768"/>
    <cellStyle name="%_5.9 Asset data " xfId="769"/>
    <cellStyle name="%_Book1" xfId="770"/>
    <cellStyle name="%_BP10+ GTO Capex Split CN" xfId="771"/>
    <cellStyle name="%_Business Plan " xfId="772"/>
    <cellStyle name="%_Copy of Repair Draft RIIO Plan v0.11" xfId="773"/>
    <cellStyle name="%_Customer Operations Business Plan Input Reqs (3)" xfId="774"/>
    <cellStyle name="%_Draft RIIO plan presentation template - Commercial (2)" xfId="775"/>
    <cellStyle name="%_Draft RIIO plan presentation template - Customer Opsx Centre V2 (2)" xfId="776"/>
    <cellStyle name="%_Draft RIIO plan presentation template - Customer Opsx Centre V2 (2) - updated with mapping" xfId="777"/>
    <cellStyle name="%_Draft RIIO plan presentation template - Customer Opsx Centre V7" xfId="778"/>
    <cellStyle name="%_Emergency DRAFT RIIO Plan V0 3 1" xfId="779"/>
    <cellStyle name="%_Emergency DRAFT RIIO Plan V0 9" xfId="780"/>
    <cellStyle name="%_EMS 0.1 Emergency Process" xfId="781"/>
    <cellStyle name="%_EMS 0.1 Emergency Process - Opex plan template" xfId="782"/>
    <cellStyle name="%_EMS 0.2 Emergency Process" xfId="783"/>
    <cellStyle name="%_GTO Non Operational Capex Roll-over submission (FINAL with property)" xfId="784"/>
    <cellStyle name="%_Inputs" xfId="785"/>
    <cellStyle name="%_Maintenance Draft RIIO Plan v0.1" xfId="786"/>
    <cellStyle name="%_Manual Adjustments" xfId="787"/>
    <cellStyle name="%_Network Strategy Business Plan Input Reqs - v10" xfId="788"/>
    <cellStyle name="%_NGET Opex PCRRP Tables 31 Mar 2010 Final" xfId="789"/>
    <cellStyle name="%_NGET Opex PCRRP Tables 31 Mar 2010 Final 2" xfId="790"/>
    <cellStyle name="%_NGG Capex PCRRP Tables 31 Mar 2010 DraftV6 FINAL" xfId="791"/>
    <cellStyle name="%_NGG Opex PCRRP Tables 31 Mar 2009" xfId="792"/>
    <cellStyle name="%_NGG Opex PCRRP Tables 31 Mar 2009 2" xfId="793"/>
    <cellStyle name="%_NGG Opex PCRRP Tables 31 Mar 2010 final" xfId="794"/>
    <cellStyle name="%_NGG TPCR4 MG Workings" xfId="795"/>
    <cellStyle name="%_NGG TPCR4 Rollover FBPQ (Capex)" xfId="796"/>
    <cellStyle name="%_Non formula" xfId="797"/>
    <cellStyle name="%_Opex Consolidation v0.4" xfId="798"/>
    <cellStyle name="%_Opex plan template draft5" xfId="799"/>
    <cellStyle name="%_Opex plan template draft5b" xfId="800"/>
    <cellStyle name="%_Opex plan template draft5b 2" xfId="801"/>
    <cellStyle name="%_Opex plan template draft5b 2 2" xfId="802"/>
    <cellStyle name="%_Opex plan template draft5b 3" xfId="803"/>
    <cellStyle name="%_Opex plan template draft5b 3 2" xfId="804"/>
    <cellStyle name="%_Opex plan template draft6" xfId="805"/>
    <cellStyle name="%_Reactor (No scheme)" xfId="806"/>
    <cellStyle name="%_Reactor (Schemes)" xfId="807"/>
    <cellStyle name="%_Reactor_revisit (No scheme)" xfId="808"/>
    <cellStyle name="%_Reactor_revisit (Schemes)" xfId="809"/>
    <cellStyle name="%_Repair Draft RIIO Plan v0.12" xfId="810"/>
    <cellStyle name="%_Repair Draft RIIO Plan v0.18" xfId="811"/>
    <cellStyle name="%_Repair Draft RIIO Plan v0.19" xfId="812"/>
    <cellStyle name="%_Repair Draft RIIO Plan v0.20" xfId="813"/>
    <cellStyle name="%_Repair Draft RIIO Plan v0.5" xfId="814"/>
    <cellStyle name="%_Repair Draft RIIO Plan v0.6" xfId="815"/>
    <cellStyle name="%_Repair Draft RIIO Plan v0.9" xfId="816"/>
    <cellStyle name="%_RIIO Baseline Plan v3A with Reg Comparison &amp; Graphs" xfId="817"/>
    <cellStyle name="%_RIIO plan template - NS v1" xfId="818"/>
    <cellStyle name="%_RRP table" xfId="819"/>
    <cellStyle name="%_RRP table_1" xfId="820"/>
    <cellStyle name="%_Sch 2.1 Eng schedule 2009-10 Final @ 270710" xfId="821"/>
    <cellStyle name="%_Sch 2.1 Eng schedule 2009-10 Final @ 270710 2" xfId="822"/>
    <cellStyle name="%_Sch 2.1 Eng schedule 2009-10 Final @ 270710 3" xfId="823"/>
    <cellStyle name="%_Sch 2.1 Eng schedule 2009-10 Final @ 270710 4" xfId="824"/>
    <cellStyle name="%_Sch 2.1 Eng schedule 2009-10 Final @ 270710 5" xfId="825"/>
    <cellStyle name="%_Sch 2.1 Eng schedule 2009-10 Final @ 270710 6" xfId="826"/>
    <cellStyle name="%_Sch 2.1 Eng schedule 2009-10 Final @ 270710 7" xfId="827"/>
    <cellStyle name="%_Sch 2.1 Eng schedule 2009-10 Final @ 270710 8" xfId="828"/>
    <cellStyle name="%_Sheet1" xfId="829"/>
    <cellStyle name="%_Stat  Accounts" xfId="830"/>
    <cellStyle name="%_Switchgear (No scheme)" xfId="831"/>
    <cellStyle name="%_Switchgear (Schemes)" xfId="832"/>
    <cellStyle name="%_Switchgear_revisit (No scheme)" xfId="833"/>
    <cellStyle name="%_Switchgear_revisit (Schemes)" xfId="834"/>
    <cellStyle name="%_Table 4 28_Final" xfId="835"/>
    <cellStyle name="%_Table 4-16 - Asset Lives - 2009-10_Final" xfId="836"/>
    <cellStyle name="%_Table 4-16 - Asset Lives - 2009-10_Final (2)" xfId="837"/>
    <cellStyle name="%_Total summary" xfId="838"/>
    <cellStyle name="%_TPCR4 RollOver NGG Draft Table 5.8 v2" xfId="839"/>
    <cellStyle name="%_TPCR4 RollOver NGG Draft Table 5.8 v2 2" xfId="840"/>
    <cellStyle name="%_TPCR4 RollOver NGG Draft Table 5.8 v2 3" xfId="841"/>
    <cellStyle name="%_TPCR4 RollOver NGG Draft Table 5.8 v2 4" xfId="842"/>
    <cellStyle name="%_TPCR4 RollOver NGG Draft Table 5.8 v2 5" xfId="843"/>
    <cellStyle name="%_TPCR4 RollOver NGG Draft Table 5.8 v2 6" xfId="844"/>
    <cellStyle name="%_TPCR4 RollOver NGG Draft Table 5.8 v2 7" xfId="845"/>
    <cellStyle name="%_TPCR4 RollOver NGG Draft Table 5.8 v2 8" xfId="846"/>
    <cellStyle name="%_Transformer data based on November Freeze and RIIObaseline D6 data 10062011" xfId="847"/>
    <cellStyle name="%_Transmission PCRRP tables_SPTL_200809 V1" xfId="848"/>
    <cellStyle name="%_Transmission PCRRP tables_SPTL_200809 V1 2" xfId="849"/>
    <cellStyle name="%_Transmission PCRRP tables_SPTL_200809 V1 3" xfId="850"/>
    <cellStyle name="%_Transmission PCRRP tables_SPTL_200809 V1 4" xfId="851"/>
    <cellStyle name="%_Transmission PCRRP tables_SPTL_200809 V1_3.1.2 DB Pension Detail" xfId="852"/>
    <cellStyle name="%_Transmission PCRRP tables_SPTL_200809 V1_4.20 Scheme Listing NLR" xfId="853"/>
    <cellStyle name="%_Transmission PCRRP tables_SPTL_200809 V1_Table 4 28_Final" xfId="854"/>
    <cellStyle name="%_Transmission PCRRP tables_SPTL_200809 V1_Table 4-16 - Asset Lives - 2009-10_Final" xfId="855"/>
    <cellStyle name="%_Transmission PCRRP tables_SPTL_200809 V1_Table 4-16 - Asset Lives - 2009-10_Final (2)" xfId="856"/>
    <cellStyle name="%_Tx (No scheme)" xfId="857"/>
    <cellStyle name="%_Tx (Schemes)" xfId="858"/>
    <cellStyle name="%_Tx_revisit (No scheme)" xfId="859"/>
    <cellStyle name="%_Tx_revisit (Schemes)" xfId="860"/>
    <cellStyle name="%_VR Asset Man NGET 1.3 1.7 1.8, 2.14 2.15" xfId="861"/>
    <cellStyle name="%_VR NGET Opex tables" xfId="862"/>
    <cellStyle name="%_VR NGET Opex tables_1.5 Opex Reconciliation NG" xfId="863"/>
    <cellStyle name="%_VR Pensions Opex tables" xfId="864"/>
    <cellStyle name="%_VR Pensions Opex tables_2010_NGET_TPCR4_RO_FBPQ(Opex) trace only FINAL(DPP)" xfId="865"/>
    <cellStyle name="%_Winter - Pay deal impacts - Repair" xfId="866"/>
    <cellStyle name="%_WJBP Acc Ctrl v3" xfId="867"/>
    <cellStyle name="%1_Inputs" xfId="868"/>
    <cellStyle name="******************************************" xfId="869"/>
    <cellStyle name=".744" xfId="870"/>
    <cellStyle name="?? [0]_VERA" xfId="871"/>
    <cellStyle name="?????_VERA" xfId="872"/>
    <cellStyle name="??_VERA" xfId="873"/>
    <cellStyle name="_070323 - 5yr opex BPQ (Final)" xfId="874"/>
    <cellStyle name="_070323 - 5yr opex BPQ (Final) 2" xfId="875"/>
    <cellStyle name="_070323 - 5yr opex BPQ (Final) 3" xfId="876"/>
    <cellStyle name="_070323 - 5yr opex BPQ (Final) 4" xfId="877"/>
    <cellStyle name="_070323 - 5yr opex BPQ (Final) 5" xfId="878"/>
    <cellStyle name="_070323 - 5yr opex BPQ (Final) 6" xfId="879"/>
    <cellStyle name="_070323 - 5yr opex BPQ (Final) 7" xfId="880"/>
    <cellStyle name="_070323 - 5yr opex BPQ (Final) 8" xfId="881"/>
    <cellStyle name="_0708 GSO Capex RRP (detail)" xfId="882"/>
    <cellStyle name="_0708 GSO Capex RRP (detail)_RRP table" xfId="883"/>
    <cellStyle name="_0708 TO Non-Op Capex (detail)" xfId="884"/>
    <cellStyle name="_0708 TO Non-Op Capex (detail) 2" xfId="885"/>
    <cellStyle name="_0708 TO Non-Op Capex (detail) 3" xfId="886"/>
    <cellStyle name="_0708 TO Non-Op Capex (detail) 4" xfId="887"/>
    <cellStyle name="_0708 TO Non-Op Capex (detail) 5" xfId="888"/>
    <cellStyle name="_0708 TO Non-Op Capex (detail) 6" xfId="889"/>
    <cellStyle name="_0708 TO Non-Op Capex (detail) 7" xfId="890"/>
    <cellStyle name="_0708 TO Non-Op Capex (detail) 8" xfId="891"/>
    <cellStyle name="_0708 TO Non-Op Capex (detail)_1.3 Rec to old modelling" xfId="892"/>
    <cellStyle name="_0708 TO Non-Op Capex (detail)_1.5 Opex Reconciliation NG" xfId="893"/>
    <cellStyle name="_0708 TO Non-Op Capex (detail)_2010_NGET_TPCR4_RO_FBPQ(Opex) trace only FINAL(DPP)" xfId="894"/>
    <cellStyle name="_0708 TO Non-Op Capex (detail)_2010_NGET_TPCR4_RO_FBPQ(Opex) trace only FINAL(DPP) 2" xfId="895"/>
    <cellStyle name="_0708 TO Non-Op Capex (detail)_2010_NGET_TPCR4_RO_FBPQ(Opex) trace only FINAL(DPP) 3" xfId="896"/>
    <cellStyle name="_0708 TO Non-Op Capex (detail)_2010_NGET_TPCR4_RO_FBPQ(Opex) trace only FINAL(DPP) 4" xfId="897"/>
    <cellStyle name="_0708 TO Non-Op Capex (detail)_2010_NGET_TPCR4_RO_FBPQ(Opex) trace only FINAL(DPP) 5" xfId="898"/>
    <cellStyle name="_0708 TO Non-Op Capex (detail)_2010_NGET_TPCR4_RO_FBPQ(Opex) trace only FINAL(DPP) 6" xfId="899"/>
    <cellStyle name="_0708 TO Non-Op Capex (detail)_2010_NGET_TPCR4_RO_FBPQ(Opex) trace only FINAL(DPP) 7" xfId="900"/>
    <cellStyle name="_0708 TO Non-Op Capex (detail)_2010_NGET_TPCR4_RO_FBPQ(Opex) trace only FINAL(DPP) 8" xfId="901"/>
    <cellStyle name="_0708 TO Non-Op Capex (detail)_Manual Adjustments" xfId="902"/>
    <cellStyle name="_0708 TO Non-Op Capex (detail)_NGET Opex PCRRP Tables 31 Mar 2010 Final" xfId="903"/>
    <cellStyle name="_0708 TO Non-Op Capex (detail)_RRP table" xfId="904"/>
    <cellStyle name="_0708 TO Non-Op Capex (detail)_Sheet1" xfId="905"/>
    <cellStyle name="_070822 Mains and services workload phasing (2)" xfId="906"/>
    <cellStyle name="_070822 Repex - submission vp (2)" xfId="907"/>
    <cellStyle name="_0decimals" xfId="908"/>
    <cellStyle name="_1.3 Acc Costs NG (2011)" xfId="909"/>
    <cellStyle name="_1.8 Irregular Items" xfId="910"/>
    <cellStyle name="_2.14 Year on Year Movt ( (2013)" xfId="911"/>
    <cellStyle name="_2.14 Year on Year Movt (2011)" xfId="912"/>
    <cellStyle name="_2.14 Year on Year Movt (2012)" xfId="913"/>
    <cellStyle name="_2.9 UK BS Reconciliation" xfId="914"/>
    <cellStyle name="_2.9 UK BS Reconciliation_RRP table" xfId="915"/>
    <cellStyle name="_2010 Budget workings (Draft 5)" xfId="916"/>
    <cellStyle name="_2010 Draft Budgeted Summary 150709 (2)" xfId="917"/>
    <cellStyle name="_Accounting entries Feb 09" xfId="918"/>
    <cellStyle name="_Actuals" xfId="919"/>
    <cellStyle name="_Actuals 2" xfId="920"/>
    <cellStyle name="_Admin 01e" xfId="921"/>
    <cellStyle name="_Admin 01e 2" xfId="922"/>
    <cellStyle name="_Admin 01e 2 2" xfId="923"/>
    <cellStyle name="_Admin 01e 3" xfId="924"/>
    <cellStyle name="_Admin 01e_SGN_14m" xfId="925"/>
    <cellStyle name="_Admin 01e_strategic model 05j (INDEXATION)" xfId="926"/>
    <cellStyle name="_Admin 01o" xfId="927"/>
    <cellStyle name="_Admin 01o 2" xfId="928"/>
    <cellStyle name="_Admin 01o 2 2" xfId="929"/>
    <cellStyle name="_Admin 01o 3" xfId="930"/>
    <cellStyle name="_Admin 01o_SGN_14m" xfId="931"/>
    <cellStyle name="_Admin 01o_strategic model 05j (INDEXATION)" xfId="932"/>
    <cellStyle name="_Admin 02b" xfId="933"/>
    <cellStyle name="_Admin 02b 2" xfId="934"/>
    <cellStyle name="_Admin 02b 2 2" xfId="935"/>
    <cellStyle name="_Admin 02b 3" xfId="936"/>
    <cellStyle name="_Admin 02b_SGN_14m" xfId="937"/>
    <cellStyle name="_Admin 02b_strategic model 05j (INDEXATION)" xfId="938"/>
    <cellStyle name="_Amended Capex position 2011-12" xfId="939"/>
    <cellStyle name="_Balance Sheet Rec" xfId="940"/>
    <cellStyle name="_Balance Sheet Rec 2" xfId="941"/>
    <cellStyle name="_Berr Strading Analysis v 04 (2012 to 2020) v0 8 (no capex from 2012)" xfId="942"/>
    <cellStyle name="_Book1 (2)" xfId="943"/>
    <cellStyle name="_Book2" xfId="944"/>
    <cellStyle name="_Book3" xfId="945"/>
    <cellStyle name="_Book4" xfId="946"/>
    <cellStyle name="_BP10.2 v BP10v6 Reg Tables" xfId="947"/>
    <cellStyle name="_BP10.2 v BP10v6 Reg Tables_Reactor (No scheme)" xfId="948"/>
    <cellStyle name="_BP10.2 v BP10v6 Reg Tables_Reactor (Schemes)" xfId="949"/>
    <cellStyle name="_BP10.2 v BP10v6 Reg Tables_Reactor_revisit (No scheme)" xfId="950"/>
    <cellStyle name="_BP10.2 v BP10v6 Reg Tables_Reactor_revisit (Schemes)" xfId="951"/>
    <cellStyle name="_BP10.2 v BP10v6 Reg Tables_Tx (No scheme)" xfId="952"/>
    <cellStyle name="_BP10.2 v BP10v6 Reg Tables_Tx (Schemes)" xfId="953"/>
    <cellStyle name="_BP10.2 v BP10v6 Reg Tables_Tx_revisit (No scheme)" xfId="954"/>
    <cellStyle name="_BP10.2 v BP10v6 Reg Tables_Tx_revisit (Schemes)" xfId="955"/>
    <cellStyle name="_BP10+ GTO Capex Split CN" xfId="956"/>
    <cellStyle name="_BP10+post TIC 1 Jun" xfId="957"/>
    <cellStyle name="_BP11 GTO Capex Split CN v3 Dec-15 upload" xfId="958"/>
    <cellStyle name="_BSIS-JUN-008 APX" xfId="959"/>
    <cellStyle name="_BSIS-MAY-011 &amp; BSIS-MAY-012R Escrow Ac's" xfId="960"/>
    <cellStyle name="_Business Plan " xfId="961"/>
    <cellStyle name="_capex 1011" xfId="962"/>
    <cellStyle name="_Capex summary" xfId="963"/>
    <cellStyle name="_Capital Plan - IS UK" xfId="964"/>
    <cellStyle name="_Capital Plan - IS UK 2" xfId="965"/>
    <cellStyle name="_Capital Plan - IS UK 3" xfId="966"/>
    <cellStyle name="_Capital Plan - IS UK 4" xfId="967"/>
    <cellStyle name="_Capital Plan - IS UK 5" xfId="968"/>
    <cellStyle name="_Capital Plan - IS UK 6" xfId="969"/>
    <cellStyle name="_Capital Plan - IS UK 7" xfId="970"/>
    <cellStyle name="_Capital Plan - IS UK 8" xfId="971"/>
    <cellStyle name="_Capital Plan - IS UK_0910 GSO Capex RRP - Final (Detail) v2 220710" xfId="972"/>
    <cellStyle name="_Capital Plan - IS UK_1.3 Rec to old modelling" xfId="973"/>
    <cellStyle name="_Capital Plan - IS UK_1.5 Opex Reconciliation NG" xfId="974"/>
    <cellStyle name="_Capital Plan - IS UK_2010_NGET_TPCR4_RO_FBPQ(Opex) trace only FINAL(DPP)" xfId="975"/>
    <cellStyle name="_Capital Plan - IS UK_2010_NGET_TPCR4_RO_FBPQ(Opex) trace only FINAL(DPP) 2" xfId="976"/>
    <cellStyle name="_Capital Plan - IS UK_2010_NGET_TPCR4_RO_FBPQ(Opex) trace only FINAL(DPP) 3" xfId="977"/>
    <cellStyle name="_Capital Plan - IS UK_2010_NGET_TPCR4_RO_FBPQ(Opex) trace only FINAL(DPP) 4" xfId="978"/>
    <cellStyle name="_Capital Plan - IS UK_2010_NGET_TPCR4_RO_FBPQ(Opex) trace only FINAL(DPP) 5" xfId="979"/>
    <cellStyle name="_Capital Plan - IS UK_2010_NGET_TPCR4_RO_FBPQ(Opex) trace only FINAL(DPP) 6" xfId="980"/>
    <cellStyle name="_Capital Plan - IS UK_2010_NGET_TPCR4_RO_FBPQ(Opex) trace only FINAL(DPP) 7" xfId="981"/>
    <cellStyle name="_Capital Plan - IS UK_2010_NGET_TPCR4_RO_FBPQ(Opex) trace only FINAL(DPP) 8" xfId="982"/>
    <cellStyle name="_Capital Plan - IS UK_Manual Adjustments" xfId="983"/>
    <cellStyle name="_Capital Plan - IS UK_NGET Opex PCRRP Tables 31 Mar 2010 Final" xfId="984"/>
    <cellStyle name="_Capital Plan - IS UK_RRP table" xfId="985"/>
    <cellStyle name="_Capital Plan - IS UK_RRP table_1" xfId="986"/>
    <cellStyle name="_Capital Plan - IS UK_Sheet1" xfId="987"/>
    <cellStyle name="_Capital Plan - IS UK_Stat  Accounts" xfId="988"/>
    <cellStyle name="_CFO tables - New style" xfId="989"/>
    <cellStyle name="_Comma" xfId="990"/>
    <cellStyle name="_Comma_CSC" xfId="991"/>
    <cellStyle name="_Comma_merger_plans_modified_9_3_1999" xfId="992"/>
    <cellStyle name="_Commercial Escrow journals" xfId="993"/>
    <cellStyle name="_Commercial RIIO Business Plan V1" xfId="994"/>
    <cellStyle name="_Consolidated Financial Statements (Planet Data Book Format) v9.5" xfId="995"/>
    <cellStyle name="_Consolidated NS Forecast - 2011-12 Jan-11" xfId="996"/>
    <cellStyle name="_Copy of BGE T&amp;D OM v012 (1 Scenario)_TA38 (inputs for DBU Reg Co.5) with checks - finalEP" xfId="997"/>
    <cellStyle name="_Copy of BGE T&amp;D OM v012 (1 Scenario)_TA38 (inputs for DBU Reg Co.5) with checks - finalEP 2" xfId="998"/>
    <cellStyle name="_Copy of SGN 10a Business Plan 2010v1" xfId="999"/>
    <cellStyle name="_Copy of SGN 10a Business Plan 2010v15 updated budget 190310l" xfId="1000"/>
    <cellStyle name="_Copy of SGN 4.19 v3(OTPP) RF4" xfId="1001"/>
    <cellStyle name="_Copy of SGN 4.19 v3(OTPP) RF4 2" xfId="1002"/>
    <cellStyle name="_Cost Book NWR draft ss 090825" xfId="1003"/>
    <cellStyle name="_Cover" xfId="1004"/>
    <cellStyle name="_Currency" xfId="1005"/>
    <cellStyle name="_Currency_CSC" xfId="1006"/>
    <cellStyle name="_Currency_merger_plans_modified_9_3_1999" xfId="1007"/>
    <cellStyle name="_Currency_Model_Sep_2_02" xfId="1008"/>
    <cellStyle name="_Currency_Pipeline Model v1 (09_09_02) v3" xfId="1009"/>
    <cellStyle name="_CurrencySpace" xfId="1010"/>
    <cellStyle name="_CurrencySpace_CSC" xfId="1011"/>
    <cellStyle name="_CurrencySpace_merger_plans_modified_9_3_1999" xfId="1012"/>
    <cellStyle name="_Customer Ops RIIO Business Plan V2" xfId="1013"/>
    <cellStyle name="_Dalmuir 05l" xfId="1014"/>
    <cellStyle name="_dashboard example 01b" xfId="1015"/>
    <cellStyle name="_dashboard example 01b 2" xfId="1016"/>
    <cellStyle name="_Data" xfId="1017"/>
    <cellStyle name="_DFR.24 NBMHT 03g" xfId="1018"/>
    <cellStyle name="_DFR.24 NBMHT 03g 2" xfId="1019"/>
    <cellStyle name="_DFR.24 NBMHT 03g 2 2" xfId="1020"/>
    <cellStyle name="_DFR.24 NBMHT 03g 3" xfId="1021"/>
    <cellStyle name="_DFR.24 NBMHT 03g_SGN_14m" xfId="1022"/>
    <cellStyle name="_DFR.24 NBMHT 03g_strategic model 05j (INDEXATION)" xfId="1023"/>
    <cellStyle name="_Disclaimer" xfId="1024"/>
    <cellStyle name="_DR2 Oracle mapping document" xfId="1025"/>
    <cellStyle name="_Draft RIIO plan presentation template - CSDx Centre" xfId="1026"/>
    <cellStyle name="_Draft RIIO plan presentation template - Customer Opsx Centre V7" xfId="1027"/>
    <cellStyle name="_Electricity North West_v2.28" xfId="1028"/>
    <cellStyle name="_Extraction of Consolidated Financial Statements (Planet Data Book Format)" xfId="1029"/>
    <cellStyle name="_F1F9 ExModel 24b DFR01a" xfId="1030"/>
    <cellStyle name="_Finan - South" xfId="1031"/>
    <cellStyle name="_Finan - South 2" xfId="1032"/>
    <cellStyle name="_Gas TO major Projects Forecast Jun-10" xfId="1033"/>
    <cellStyle name="_Gas TO major Projects Forecast May-10 BP10+ v5" xfId="1034"/>
    <cellStyle name="_GDUK manpower summary (3)" xfId="1035"/>
    <cellStyle name="_GDx 2010_11 Q3 QPR tables - UK v3" xfId="1036"/>
    <cellStyle name="_Genesys 12f" xfId="1037"/>
    <cellStyle name="_Genesys 17e" xfId="1038"/>
    <cellStyle name="_GTO Commodity Pricing Model &amp; Risk Score Model Workings BP11 v2" xfId="1039"/>
    <cellStyle name="_GTO Non Operational Capex Roll-over submission (FINAL with property)" xfId="1040"/>
    <cellStyle name="_HoldCo" xfId="1041"/>
    <cellStyle name="_HoldCo 2" xfId="1042"/>
    <cellStyle name="_HoldCo_Finan - South" xfId="1043"/>
    <cellStyle name="_HoldCo_Inputs" xfId="1044"/>
    <cellStyle name="_HoldCo_RF Rec" xfId="1045"/>
    <cellStyle name="_HoldCo_SCOT FinStat" xfId="1046"/>
    <cellStyle name="_HoldCo_South FinStat" xfId="1047"/>
    <cellStyle name="_Inflation Output" xfId="1048"/>
    <cellStyle name="_Inflation Output 2" xfId="1049"/>
    <cellStyle name="_ING Mthly Accounting Entries Feb 09" xfId="1050"/>
    <cellStyle name="_Inputs" xfId="1051"/>
    <cellStyle name="_Inputs 2" xfId="1052"/>
    <cellStyle name="_Inputs 2008" xfId="1053"/>
    <cellStyle name="_Inputs 2008 2" xfId="1054"/>
    <cellStyle name="_IS" xfId="1055"/>
    <cellStyle name="_key indicators comparison" xfId="1056"/>
    <cellStyle name="_Kilo 31a" xfId="1057"/>
    <cellStyle name="_Lazuli Example Model 24d" xfId="1058"/>
    <cellStyle name="_Liquidity chart_Amended_16Jan09" xfId="1059"/>
    <cellStyle name="_MASTER OPEX COMMERCIAL AS AT 24-02-09" xfId="1060"/>
    <cellStyle name="_MASTER OPEX COMMERCIAL AS AT 24-02-09 2" xfId="1061"/>
    <cellStyle name="_Metering" xfId="1062"/>
    <cellStyle name="_Metering 2" xfId="1063"/>
    <cellStyle name="_Metering 3" xfId="1064"/>
    <cellStyle name="_Metering 4" xfId="1065"/>
    <cellStyle name="_Metering 5" xfId="1066"/>
    <cellStyle name="_Metering 6" xfId="1067"/>
    <cellStyle name="_Metering 7" xfId="1068"/>
    <cellStyle name="_Metering 8" xfId="1069"/>
    <cellStyle name="_Metering_Customer Operations Business Plan Input Reqs (3)" xfId="1070"/>
    <cellStyle name="_Metering_Draft RIIO plan presentation template - Commercial (2)" xfId="1071"/>
    <cellStyle name="_Metering_Draft RIIO plan presentation template - Customer Opsx Centre V2 (2)" xfId="1072"/>
    <cellStyle name="_Metering_Draft RIIO plan presentation template - Customer Opsx Centre V2 (2) - updated with mapping" xfId="1073"/>
    <cellStyle name="_Metering_Network Strategy Business Plan Input Reqs - v10" xfId="1074"/>
    <cellStyle name="_Metering_Non formula" xfId="1075"/>
    <cellStyle name="_Metering_RRP table" xfId="1076"/>
    <cellStyle name="_Monthly Value" xfId="1077"/>
    <cellStyle name="_Multiple" xfId="1078"/>
    <cellStyle name="_Multiple_CSC" xfId="1079"/>
    <cellStyle name="_Multiple_merger_plans_modified_9_3_1999" xfId="1080"/>
    <cellStyle name="_Multiple_Model_Sep_2_02" xfId="1081"/>
    <cellStyle name="_Multiple_Pipeline Model v1 (09_09_02) v3" xfId="1082"/>
    <cellStyle name="_MultipleSpace" xfId="1083"/>
    <cellStyle name="_MultipleSpace_CSC" xfId="1084"/>
    <cellStyle name="_MultipleSpace_merger_plans_modified_9_3_1999" xfId="1085"/>
    <cellStyle name="_MultipleSpace_Model_Sep_2_02" xfId="1086"/>
    <cellStyle name="_MultipleSpace_Pipeline Model v1 (09_09_02) v3" xfId="1087"/>
    <cellStyle name="_New CFO (2)" xfId="1088"/>
    <cellStyle name="_NFOR Budget 201112 control totals" xfId="1089"/>
    <cellStyle name="_NGM  Business Valuation Jan 10 v7 no links(sg)" xfId="1090"/>
    <cellStyle name="_Notes" xfId="1091"/>
    <cellStyle name="_Notes 01t" xfId="1092"/>
    <cellStyle name="_NS RIIO WJ Business Plan v3" xfId="1093"/>
    <cellStyle name="_Old_Op_10.64_01a" xfId="1094"/>
    <cellStyle name="_OM_SI_02_01 - Co 90_141008_Keelderry_v03" xfId="1095"/>
    <cellStyle name="_OM_SI_02_01 - Co 90_141008_Keelderry_v03 2" xfId="1096"/>
    <cellStyle name="_Opex 1011" xfId="1097"/>
    <cellStyle name="_Opex initiatives tracker v1.5 (post 9 aug update )" xfId="1098"/>
    <cellStyle name="_OTPP Review" xfId="1099"/>
    <cellStyle name="_OTPP Review 2" xfId="1100"/>
    <cellStyle name="_Outputs_v6" xfId="1101"/>
    <cellStyle name="_Outputs_v6 2" xfId="1102"/>
    <cellStyle name="_Outputs_v7" xfId="1103"/>
    <cellStyle name="_Outputs_v7 2" xfId="1104"/>
    <cellStyle name="_Percent" xfId="1105"/>
    <cellStyle name="_Percent_CSC" xfId="1106"/>
    <cellStyle name="_Percent_merger_plans_modified_9_3_1999" xfId="1107"/>
    <cellStyle name="_Percent_Model_Sep_2_02" xfId="1108"/>
    <cellStyle name="_Percent_Pipeline Model v1 (09_09_02) v3" xfId="1109"/>
    <cellStyle name="_PercentSpace" xfId="1110"/>
    <cellStyle name="_PercentSpace_CSC" xfId="1111"/>
    <cellStyle name="_PercentSpace_merger_plans_modified_9_3_1999" xfId="1112"/>
    <cellStyle name="_PercentSpace_Model_Sep_2_02" xfId="1113"/>
    <cellStyle name="_PercentSpace_Pipeline Model v1 (09_09_02) v3" xfId="1114"/>
    <cellStyle name="_Plan Challenge 1011" xfId="1115"/>
    <cellStyle name="_Plan Challenge 1011_Baseline - MASTER DATA (ORG) - v5.4 (P&amp;OD) BUSINESS PLAN" xfId="1116"/>
    <cellStyle name="_Plan Challenge 1011_Baseline - MASTER DATA (ORG) - v5.4 (P&amp;OD) BUSINESS PLAN_SS templates" xfId="1117"/>
    <cellStyle name="_Plan October QPR Templates - Shares Services (includes Business Services)" xfId="1118"/>
    <cellStyle name="_Pre Release Checklist 01l" xfId="1119"/>
    <cellStyle name="_Repex Forecast 090717" xfId="1120"/>
    <cellStyle name="_Repex Performance Pack 090720" xfId="1121"/>
    <cellStyle name="_RF Rec" xfId="1122"/>
    <cellStyle name="_RF Rec 2" xfId="1123"/>
    <cellStyle name="_SCOT FinStat" xfId="1124"/>
    <cellStyle name="_SCOT FinStat 2" xfId="1125"/>
    <cellStyle name="_Scotland Capex" xfId="1126"/>
    <cellStyle name="_SGN 10a Copy of Business Plan 2010v14 update 180510" xfId="1127"/>
    <cellStyle name="_SGN 4.18" xfId="1128"/>
    <cellStyle name="_SGN 4.18 2" xfId="1129"/>
    <cellStyle name="_Sheet1" xfId="1130"/>
    <cellStyle name="_Sheet1 2" xfId="1131"/>
    <cellStyle name="_Sheet1_1" xfId="1132"/>
    <cellStyle name="_Sheet1_1 2" xfId="1133"/>
    <cellStyle name="_Sheet1_1_SGN_14m" xfId="1134"/>
    <cellStyle name="_Sheet1_SGN_14m" xfId="1135"/>
    <cellStyle name="_Sheet2" xfId="1136"/>
    <cellStyle name="_Sheet3" xfId="1137"/>
    <cellStyle name="_Sheets to populate 1112 Budget Slides" xfId="1138"/>
    <cellStyle name="_Skel Mod 01l" xfId="1139"/>
    <cellStyle name="_South FinStat" xfId="1140"/>
    <cellStyle name="_South FinStat 2" xfId="1141"/>
    <cellStyle name="_Spreadsheet to populate plan slides 120810" xfId="1142"/>
    <cellStyle name="_Summaries" xfId="1143"/>
    <cellStyle name="_Summary" xfId="1144"/>
    <cellStyle name="_Summary (inc. Contract &amp; Conn.)" xfId="1145"/>
    <cellStyle name="_Sundry" xfId="1146"/>
    <cellStyle name="_TableRowHead" xfId="1147"/>
    <cellStyle name="_TableSuperHead" xfId="1148"/>
    <cellStyle name="_TEMPLATE 01m" xfId="1149"/>
    <cellStyle name="_Test scoring_UKGDx_20070924_Pilot (DV)" xfId="1150"/>
    <cellStyle name="_Test scoring_UKGDx_20070924_Pilot (DV) 2" xfId="1151"/>
    <cellStyle name="_Test scoring_UKGDx_20070924_Pilot (DV) 3" xfId="1152"/>
    <cellStyle name="_Test scoring_UKGDx_20070924_Pilot (DV) 4" xfId="1153"/>
    <cellStyle name="_Test scoring_UKGDx_20070924_Pilot (DV) 5" xfId="1154"/>
    <cellStyle name="_Test scoring_UKGDx_20070924_Pilot (DV) 6" xfId="1155"/>
    <cellStyle name="_Test scoring_UKGDx_20070924_Pilot (DV) 7" xfId="1156"/>
    <cellStyle name="_Test scoring_UKGDx_20070924_Pilot (DV) 8" xfId="1157"/>
    <cellStyle name="_TGK-14" xfId="1158"/>
    <cellStyle name="_TGK-9" xfId="1159"/>
    <cellStyle name="_TGK-9_1" xfId="1160"/>
    <cellStyle name="_Third Party-IT Data Collection Template" xfId="1161"/>
    <cellStyle name="_Total summary" xfId="1162"/>
    <cellStyle name="_Tower Definition (2)" xfId="1163"/>
    <cellStyle name="_Tower Definition (2)_Baseline - MASTER DATA (ORG) - v5.4 (P&amp;OD) BUSINESS PLAN" xfId="1164"/>
    <cellStyle name="_Tower Definition (2)_Baseline - MASTER DATA (ORG) - v5.4 (P&amp;OD) BUSINESS PLAN_SS templates" xfId="1165"/>
    <cellStyle name="_track 01a" xfId="1166"/>
    <cellStyle name="_Transmission agency" xfId="1167"/>
    <cellStyle name="_UKT RAV Summary (Mar-10) v2" xfId="1168"/>
    <cellStyle name="_Vattenfall Euro CY" xfId="1169"/>
    <cellStyle name="_VT FinMod 72d" xfId="1170"/>
    <cellStyle name="_VT FinMod 72d 2" xfId="1171"/>
    <cellStyle name="_VT FinMod 72d 2 2" xfId="1172"/>
    <cellStyle name="_VT FinMod 72d 3" xfId="1173"/>
    <cellStyle name="_VT FinMod 72d Option Effects" xfId="1174"/>
    <cellStyle name="_VT FinMod 72d Option Effects 2" xfId="1175"/>
    <cellStyle name="_VT FinMod 72d Option Effects 2 2" xfId="1176"/>
    <cellStyle name="_VT FinMod 72d Option Effects 3" xfId="1177"/>
    <cellStyle name="_VT FinMod 72d Option Effects_SGN_14m" xfId="1178"/>
    <cellStyle name="_VT FinMod 72d Option Effects_strategic model 05j (INDEXATION)" xfId="1179"/>
    <cellStyle name="_VT FinMod 72d_SGN_14m" xfId="1180"/>
    <cellStyle name="_VT FinMod 72d_strategic model 05j (INDEXATION)" xfId="1181"/>
    <cellStyle name="_VT FinMod 74a - pre D&amp;T deletion" xfId="1182"/>
    <cellStyle name="_VT FinMod 74a - pre D&amp;T deletion 2" xfId="1183"/>
    <cellStyle name="_VT FinMod 74a - pre D&amp;T deletion 2 2" xfId="1184"/>
    <cellStyle name="_VT FinMod 74a - pre D&amp;T deletion 3" xfId="1185"/>
    <cellStyle name="_VT FinMod 74a - pre D&amp;T deletion_SGN_14m" xfId="1186"/>
    <cellStyle name="_VT FinMod 74a - pre D&amp;T deletion_strategic model 05j (INDEXATION)" xfId="1187"/>
    <cellStyle name="_VT FinMod 76p" xfId="1188"/>
    <cellStyle name="_VT FinMod 76p 2" xfId="1189"/>
    <cellStyle name="_VT FinMod 76p 2 2" xfId="1190"/>
    <cellStyle name="_VT FinMod 76p 3" xfId="1191"/>
    <cellStyle name="_VT FinMod 76p_SGN_14m" xfId="1192"/>
    <cellStyle name="_VT FinMod 76p_strategic model 05j (INDEXATION)" xfId="1193"/>
    <cellStyle name="’Ê‰Ý [0.00]_Area" xfId="1194"/>
    <cellStyle name="’Ê‰Ý_Area" xfId="1195"/>
    <cellStyle name="£" xfId="1196"/>
    <cellStyle name="£ BP" xfId="1197"/>
    <cellStyle name="£[2]" xfId="1198"/>
    <cellStyle name="¥ JY" xfId="1199"/>
    <cellStyle name="€" xfId="1200"/>
    <cellStyle name="=C:\WINNT\SYSTEM32\COMMAND.COM" xfId="1201"/>
    <cellStyle name="=C:\WINNT\SYSTEM32\COMMAND.COM 10" xfId="1202"/>
    <cellStyle name="=C:\WINNT\SYSTEM32\COMMAND.COM 11" xfId="1203"/>
    <cellStyle name="=C:\WINNT\SYSTEM32\COMMAND.COM 12" xfId="1204"/>
    <cellStyle name="=C:\WINNT\SYSTEM32\COMMAND.COM 12 2" xfId="1205"/>
    <cellStyle name="=C:\WINNT\SYSTEM32\COMMAND.COM 13" xfId="1206"/>
    <cellStyle name="=C:\WINNT\SYSTEM32\COMMAND.COM 14" xfId="1207"/>
    <cellStyle name="=C:\WINNT\SYSTEM32\COMMAND.COM 15" xfId="1208"/>
    <cellStyle name="=C:\WINNT\SYSTEM32\COMMAND.COM 16" xfId="1209"/>
    <cellStyle name="=C:\WINNT\SYSTEM32\COMMAND.COM 17" xfId="1210"/>
    <cellStyle name="=C:\WINNT\SYSTEM32\COMMAND.COM 18" xfId="1211"/>
    <cellStyle name="=C:\WINNT\SYSTEM32\COMMAND.COM 19" xfId="1212"/>
    <cellStyle name="=C:\WINNT\SYSTEM32\COMMAND.COM 2" xfId="1213"/>
    <cellStyle name="=C:\WINNT\SYSTEM32\COMMAND.COM 2 2" xfId="1214"/>
    <cellStyle name="=C:\WINNT\SYSTEM32\COMMAND.COM 2 2 10" xfId="1215"/>
    <cellStyle name="=C:\WINNT\SYSTEM32\COMMAND.COM 2 2 11" xfId="1216"/>
    <cellStyle name="=C:\WINNT\SYSTEM32\COMMAND.COM 2 2 12" xfId="1217"/>
    <cellStyle name="=C:\WINNT\SYSTEM32\COMMAND.COM 2 2 13" xfId="1218"/>
    <cellStyle name="=C:\WINNT\SYSTEM32\COMMAND.COM 2 2 14" xfId="1219"/>
    <cellStyle name="=C:\WINNT\SYSTEM32\COMMAND.COM 2 2 15" xfId="1220"/>
    <cellStyle name="=C:\WINNT\SYSTEM32\COMMAND.COM 2 2 16" xfId="1221"/>
    <cellStyle name="=C:\WINNT\SYSTEM32\COMMAND.COM 2 2 17" xfId="1222"/>
    <cellStyle name="=C:\WINNT\SYSTEM32\COMMAND.COM 2 2 18" xfId="1223"/>
    <cellStyle name="=C:\WINNT\SYSTEM32\COMMAND.COM 2 2 19" xfId="1224"/>
    <cellStyle name="=C:\WINNT\SYSTEM32\COMMAND.COM 2 2 2" xfId="1225"/>
    <cellStyle name="=C:\WINNT\SYSTEM32\COMMAND.COM 2 2 2 2" xfId="1226"/>
    <cellStyle name="=C:\WINNT\SYSTEM32\COMMAND.COM 2 2 2_NGN_RIIO-GD1_ BPDT (tab 2.0-4.3)" xfId="1227"/>
    <cellStyle name="=C:\WINNT\SYSTEM32\COMMAND.COM 2 2 20" xfId="1228"/>
    <cellStyle name="=C:\WINNT\SYSTEM32\COMMAND.COM 2 2 21" xfId="1229"/>
    <cellStyle name="=C:\WINNT\SYSTEM32\COMMAND.COM 2 2 22" xfId="1230"/>
    <cellStyle name="=C:\WINNT\SYSTEM32\COMMAND.COM 2 2 23" xfId="1231"/>
    <cellStyle name="=C:\WINNT\SYSTEM32\COMMAND.COM 2 2 24" xfId="1232"/>
    <cellStyle name="=C:\WINNT\SYSTEM32\COMMAND.COM 2 2 25" xfId="1233"/>
    <cellStyle name="=C:\WINNT\SYSTEM32\COMMAND.COM 2 2 26" xfId="1234"/>
    <cellStyle name="=C:\WINNT\SYSTEM32\COMMAND.COM 2 2 27" xfId="1235"/>
    <cellStyle name="=C:\WINNT\SYSTEM32\COMMAND.COM 2 2 28" xfId="1236"/>
    <cellStyle name="=C:\WINNT\SYSTEM32\COMMAND.COM 2 2 29" xfId="1237"/>
    <cellStyle name="=C:\WINNT\SYSTEM32\COMMAND.COM 2 2 3" xfId="1238"/>
    <cellStyle name="=C:\WINNT\SYSTEM32\COMMAND.COM 2 2 30" xfId="1239"/>
    <cellStyle name="=C:\WINNT\SYSTEM32\COMMAND.COM 2 2 31" xfId="1240"/>
    <cellStyle name="=C:\WINNT\SYSTEM32\COMMAND.COM 2 2 32" xfId="1241"/>
    <cellStyle name="=C:\WINNT\SYSTEM32\COMMAND.COM 2 2 33" xfId="1242"/>
    <cellStyle name="=C:\WINNT\SYSTEM32\COMMAND.COM 2 2 34" xfId="1243"/>
    <cellStyle name="=C:\WINNT\SYSTEM32\COMMAND.COM 2 2 35" xfId="1244"/>
    <cellStyle name="=C:\WINNT\SYSTEM32\COMMAND.COM 2 2 36" xfId="1245"/>
    <cellStyle name="=C:\WINNT\SYSTEM32\COMMAND.COM 2 2 37" xfId="1246"/>
    <cellStyle name="=C:\WINNT\SYSTEM32\COMMAND.COM 2 2 38" xfId="1247"/>
    <cellStyle name="=C:\WINNT\SYSTEM32\COMMAND.COM 2 2 39" xfId="1248"/>
    <cellStyle name="=C:\WINNT\SYSTEM32\COMMAND.COM 2 2 4" xfId="1249"/>
    <cellStyle name="=C:\WINNT\SYSTEM32\COMMAND.COM 2 2 40" xfId="1250"/>
    <cellStyle name="=C:\WINNT\SYSTEM32\COMMAND.COM 2 2 41" xfId="1251"/>
    <cellStyle name="=C:\WINNT\SYSTEM32\COMMAND.COM 2 2 42" xfId="1252"/>
    <cellStyle name="=C:\WINNT\SYSTEM32\COMMAND.COM 2 2 43" xfId="1253"/>
    <cellStyle name="=C:\WINNT\SYSTEM32\COMMAND.COM 2 2 44" xfId="1254"/>
    <cellStyle name="=C:\WINNT\SYSTEM32\COMMAND.COM 2 2 45" xfId="1255"/>
    <cellStyle name="=C:\WINNT\SYSTEM32\COMMAND.COM 2 2 46" xfId="1256"/>
    <cellStyle name="=C:\WINNT\SYSTEM32\COMMAND.COM 2 2 47" xfId="1257"/>
    <cellStyle name="=C:\WINNT\SYSTEM32\COMMAND.COM 2 2 48" xfId="1258"/>
    <cellStyle name="=C:\WINNT\SYSTEM32\COMMAND.COM 2 2 5" xfId="1259"/>
    <cellStyle name="=C:\WINNT\SYSTEM32\COMMAND.COM 2 2 6" xfId="1260"/>
    <cellStyle name="=C:\WINNT\SYSTEM32\COMMAND.COM 2 2 7" xfId="1261"/>
    <cellStyle name="=C:\WINNT\SYSTEM32\COMMAND.COM 2 2 8" xfId="1262"/>
    <cellStyle name="=C:\WINNT\SYSTEM32\COMMAND.COM 2 2 9" xfId="1263"/>
    <cellStyle name="=C:\WINNT\SYSTEM32\COMMAND.COM 2 2_1.3s Accounting C Costs Scots" xfId="1264"/>
    <cellStyle name="=C:\WINNT\SYSTEM32\COMMAND.COM 2 3" xfId="1265"/>
    <cellStyle name="=C:\WINNT\SYSTEM32\COMMAND.COM 2 4" xfId="1266"/>
    <cellStyle name="=C:\WINNT\SYSTEM32\COMMAND.COM 2 5" xfId="1267"/>
    <cellStyle name="=C:\WINNT\SYSTEM32\COMMAND.COM 2 6" xfId="1268"/>
    <cellStyle name="=C:\WINNT\SYSTEM32\COMMAND.COM 2 7" xfId="1269"/>
    <cellStyle name="=C:\WINNT\SYSTEM32\COMMAND.COM 2 8" xfId="1270"/>
    <cellStyle name="=C:\WINNT\SYSTEM32\COMMAND.COM 2 9" xfId="1271"/>
    <cellStyle name="=C:\WINNT\SYSTEM32\COMMAND.COM 20" xfId="1272"/>
    <cellStyle name="=C:\WINNT\SYSTEM32\COMMAND.COM 21" xfId="1273"/>
    <cellStyle name="=C:\WINNT\SYSTEM32\COMMAND.COM 22" xfId="1274"/>
    <cellStyle name="=C:\WINNT\SYSTEM32\COMMAND.COM 23" xfId="1275"/>
    <cellStyle name="=C:\WINNT\SYSTEM32\COMMAND.COM 24" xfId="1276"/>
    <cellStyle name="=C:\WINNT\SYSTEM32\COMMAND.COM 25" xfId="1277"/>
    <cellStyle name="=C:\WINNT\SYSTEM32\COMMAND.COM 26" xfId="1278"/>
    <cellStyle name="=C:\WINNT\SYSTEM32\COMMAND.COM 27" xfId="1279"/>
    <cellStyle name="=C:\WINNT\SYSTEM32\COMMAND.COM 28" xfId="1280"/>
    <cellStyle name="=C:\WINNT\SYSTEM32\COMMAND.COM 29" xfId="1281"/>
    <cellStyle name="=C:\WINNT\SYSTEM32\COMMAND.COM 3" xfId="1282"/>
    <cellStyle name="=C:\WINNT\SYSTEM32\COMMAND.COM 3 2" xfId="1283"/>
    <cellStyle name="=C:\WINNT\SYSTEM32\COMMAND.COM 3 3" xfId="1284"/>
    <cellStyle name="=C:\WINNT\SYSTEM32\COMMAND.COM 3 4" xfId="1285"/>
    <cellStyle name="=C:\WINNT\SYSTEM32\COMMAND.COM 3 5" xfId="1286"/>
    <cellStyle name="=C:\WINNT\SYSTEM32\COMMAND.COM 3 6" xfId="1287"/>
    <cellStyle name="=C:\WINNT\SYSTEM32\COMMAND.COM 3 7" xfId="1288"/>
    <cellStyle name="=C:\WINNT\SYSTEM32\COMMAND.COM 3 8" xfId="1289"/>
    <cellStyle name="=C:\WINNT\SYSTEM32\COMMAND.COM 30" xfId="1290"/>
    <cellStyle name="=C:\WINNT\SYSTEM32\COMMAND.COM 31" xfId="1291"/>
    <cellStyle name="=C:\WINNT\SYSTEM32\COMMAND.COM 32" xfId="1292"/>
    <cellStyle name="=C:\WINNT\SYSTEM32\COMMAND.COM 33" xfId="1293"/>
    <cellStyle name="=C:\WINNT\SYSTEM32\COMMAND.COM 34" xfId="1294"/>
    <cellStyle name="=C:\WINNT\SYSTEM32\COMMAND.COM 35" xfId="1295"/>
    <cellStyle name="=C:\WINNT\SYSTEM32\COMMAND.COM 36" xfId="1296"/>
    <cellStyle name="=C:\WINNT\SYSTEM32\COMMAND.COM 37" xfId="1297"/>
    <cellStyle name="=C:\WINNT\SYSTEM32\COMMAND.COM 38" xfId="1298"/>
    <cellStyle name="=C:\WINNT\SYSTEM32\COMMAND.COM 39" xfId="1299"/>
    <cellStyle name="=C:\WINNT\SYSTEM32\COMMAND.COM 4" xfId="1300"/>
    <cellStyle name="=C:\WINNT\SYSTEM32\COMMAND.COM 4 10" xfId="1301"/>
    <cellStyle name="=C:\WINNT\SYSTEM32\COMMAND.COM 4 11" xfId="1302"/>
    <cellStyle name="=C:\WINNT\SYSTEM32\COMMAND.COM 4 12" xfId="1303"/>
    <cellStyle name="=C:\WINNT\SYSTEM32\COMMAND.COM 4 13" xfId="1304"/>
    <cellStyle name="=C:\WINNT\SYSTEM32\COMMAND.COM 4 14" xfId="1305"/>
    <cellStyle name="=C:\WINNT\SYSTEM32\COMMAND.COM 4 15" xfId="1306"/>
    <cellStyle name="=C:\WINNT\SYSTEM32\COMMAND.COM 4 16" xfId="1307"/>
    <cellStyle name="=C:\WINNT\SYSTEM32\COMMAND.COM 4 17" xfId="1308"/>
    <cellStyle name="=C:\WINNT\SYSTEM32\COMMAND.COM 4 18" xfId="1309"/>
    <cellStyle name="=C:\WINNT\SYSTEM32\COMMAND.COM 4 19" xfId="1310"/>
    <cellStyle name="=C:\WINNT\SYSTEM32\COMMAND.COM 4 2" xfId="1311"/>
    <cellStyle name="=C:\WINNT\SYSTEM32\COMMAND.COM 4 20" xfId="1312"/>
    <cellStyle name="=C:\WINNT\SYSTEM32\COMMAND.COM 4 21" xfId="1313"/>
    <cellStyle name="=C:\WINNT\SYSTEM32\COMMAND.COM 4 22" xfId="1314"/>
    <cellStyle name="=C:\WINNT\SYSTEM32\COMMAND.COM 4 23" xfId="1315"/>
    <cellStyle name="=C:\WINNT\SYSTEM32\COMMAND.COM 4 24" xfId="1316"/>
    <cellStyle name="=C:\WINNT\SYSTEM32\COMMAND.COM 4 25" xfId="1317"/>
    <cellStyle name="=C:\WINNT\SYSTEM32\COMMAND.COM 4 26" xfId="1318"/>
    <cellStyle name="=C:\WINNT\SYSTEM32\COMMAND.COM 4 27" xfId="1319"/>
    <cellStyle name="=C:\WINNT\SYSTEM32\COMMAND.COM 4 28" xfId="1320"/>
    <cellStyle name="=C:\WINNT\SYSTEM32\COMMAND.COM 4 29" xfId="1321"/>
    <cellStyle name="=C:\WINNT\SYSTEM32\COMMAND.COM 4 3" xfId="1322"/>
    <cellStyle name="=C:\WINNT\SYSTEM32\COMMAND.COM 4 30" xfId="1323"/>
    <cellStyle name="=C:\WINNT\SYSTEM32\COMMAND.COM 4 31" xfId="1324"/>
    <cellStyle name="=C:\WINNT\SYSTEM32\COMMAND.COM 4 32" xfId="1325"/>
    <cellStyle name="=C:\WINNT\SYSTEM32\COMMAND.COM 4 33" xfId="1326"/>
    <cellStyle name="=C:\WINNT\SYSTEM32\COMMAND.COM 4 34" xfId="1327"/>
    <cellStyle name="=C:\WINNT\SYSTEM32\COMMAND.COM 4 35" xfId="1328"/>
    <cellStyle name="=C:\WINNT\SYSTEM32\COMMAND.COM 4 36" xfId="1329"/>
    <cellStyle name="=C:\WINNT\SYSTEM32\COMMAND.COM 4 37" xfId="1330"/>
    <cellStyle name="=C:\WINNT\SYSTEM32\COMMAND.COM 4 38" xfId="1331"/>
    <cellStyle name="=C:\WINNT\SYSTEM32\COMMAND.COM 4 39" xfId="1332"/>
    <cellStyle name="=C:\WINNT\SYSTEM32\COMMAND.COM 4 4" xfId="1333"/>
    <cellStyle name="=C:\WINNT\SYSTEM32\COMMAND.COM 4 40" xfId="1334"/>
    <cellStyle name="=C:\WINNT\SYSTEM32\COMMAND.COM 4 41" xfId="1335"/>
    <cellStyle name="=C:\WINNT\SYSTEM32\COMMAND.COM 4 42" xfId="1336"/>
    <cellStyle name="=C:\WINNT\SYSTEM32\COMMAND.COM 4 43" xfId="1337"/>
    <cellStyle name="=C:\WINNT\SYSTEM32\COMMAND.COM 4 44" xfId="1338"/>
    <cellStyle name="=C:\WINNT\SYSTEM32\COMMAND.COM 4 45" xfId="1339"/>
    <cellStyle name="=C:\WINNT\SYSTEM32\COMMAND.COM 4 46" xfId="1340"/>
    <cellStyle name="=C:\WINNT\SYSTEM32\COMMAND.COM 4 47" xfId="1341"/>
    <cellStyle name="=C:\WINNT\SYSTEM32\COMMAND.COM 4 5" xfId="1342"/>
    <cellStyle name="=C:\WINNT\SYSTEM32\COMMAND.COM 4 6" xfId="1343"/>
    <cellStyle name="=C:\WINNT\SYSTEM32\COMMAND.COM 4 7" xfId="1344"/>
    <cellStyle name="=C:\WINNT\SYSTEM32\COMMAND.COM 4 8" xfId="1345"/>
    <cellStyle name="=C:\WINNT\SYSTEM32\COMMAND.COM 4 9" xfId="1346"/>
    <cellStyle name="=C:\WINNT\SYSTEM32\COMMAND.COM 4_1.3s Accounting C Costs Scots" xfId="1347"/>
    <cellStyle name="=C:\WINNT\SYSTEM32\COMMAND.COM 40" xfId="1348"/>
    <cellStyle name="=C:\WINNT\SYSTEM32\COMMAND.COM 41" xfId="1349"/>
    <cellStyle name="=C:\WINNT\SYSTEM32\COMMAND.COM 42" xfId="1350"/>
    <cellStyle name="=C:\WINNT\SYSTEM32\COMMAND.COM 43" xfId="1351"/>
    <cellStyle name="=C:\WINNT\SYSTEM32\COMMAND.COM 44" xfId="1352"/>
    <cellStyle name="=C:\WINNT\SYSTEM32\COMMAND.COM 45" xfId="1353"/>
    <cellStyle name="=C:\WINNT\SYSTEM32\COMMAND.COM 46" xfId="1354"/>
    <cellStyle name="=C:\WINNT\SYSTEM32\COMMAND.COM 47" xfId="1355"/>
    <cellStyle name="=C:\WINNT\SYSTEM32\COMMAND.COM 48" xfId="1356"/>
    <cellStyle name="=C:\WINNT\SYSTEM32\COMMAND.COM 49" xfId="1357"/>
    <cellStyle name="=C:\WINNT\SYSTEM32\COMMAND.COM 5" xfId="1358"/>
    <cellStyle name="=C:\WINNT\SYSTEM32\COMMAND.COM 5 10" xfId="1359"/>
    <cellStyle name="=C:\WINNT\SYSTEM32\COMMAND.COM 5 10 2" xfId="1360"/>
    <cellStyle name="=C:\WINNT\SYSTEM32\COMMAND.COM 5 10 3" xfId="1361"/>
    <cellStyle name="=C:\WINNT\SYSTEM32\COMMAND.COM 5 10 4" xfId="1362"/>
    <cellStyle name="=C:\WINNT\SYSTEM32\COMMAND.COM 5 10 5" xfId="1363"/>
    <cellStyle name="=C:\WINNT\SYSTEM32\COMMAND.COM 5 10 6" xfId="1364"/>
    <cellStyle name="=C:\WINNT\SYSTEM32\COMMAND.COM 5 10 7" xfId="1365"/>
    <cellStyle name="=C:\WINNT\SYSTEM32\COMMAND.COM 5 10 8" xfId="1366"/>
    <cellStyle name="=C:\WINNT\SYSTEM32\COMMAND.COM 5 11" xfId="1367"/>
    <cellStyle name="=C:\WINNT\SYSTEM32\COMMAND.COM 5 11 2" xfId="1368"/>
    <cellStyle name="=C:\WINNT\SYSTEM32\COMMAND.COM 5 11 3" xfId="1369"/>
    <cellStyle name="=C:\WINNT\SYSTEM32\COMMAND.COM 5 11 4" xfId="1370"/>
    <cellStyle name="=C:\WINNT\SYSTEM32\COMMAND.COM 5 11 5" xfId="1371"/>
    <cellStyle name="=C:\WINNT\SYSTEM32\COMMAND.COM 5 11 6" xfId="1372"/>
    <cellStyle name="=C:\WINNT\SYSTEM32\COMMAND.COM 5 11 7" xfId="1373"/>
    <cellStyle name="=C:\WINNT\SYSTEM32\COMMAND.COM 5 11 8" xfId="1374"/>
    <cellStyle name="=C:\WINNT\SYSTEM32\COMMAND.COM 5 12" xfId="1375"/>
    <cellStyle name="=C:\WINNT\SYSTEM32\COMMAND.COM 5 12 2" xfId="1376"/>
    <cellStyle name="=C:\WINNT\SYSTEM32\COMMAND.COM 5 12 3" xfId="1377"/>
    <cellStyle name="=C:\WINNT\SYSTEM32\COMMAND.COM 5 12 4" xfId="1378"/>
    <cellStyle name="=C:\WINNT\SYSTEM32\COMMAND.COM 5 12 5" xfId="1379"/>
    <cellStyle name="=C:\WINNT\SYSTEM32\COMMAND.COM 5 12 6" xfId="1380"/>
    <cellStyle name="=C:\WINNT\SYSTEM32\COMMAND.COM 5 12 7" xfId="1381"/>
    <cellStyle name="=C:\WINNT\SYSTEM32\COMMAND.COM 5 12 8" xfId="1382"/>
    <cellStyle name="=C:\WINNT\SYSTEM32\COMMAND.COM 5 13" xfId="1383"/>
    <cellStyle name="=C:\WINNT\SYSTEM32\COMMAND.COM 5 13 2" xfId="1384"/>
    <cellStyle name="=C:\WINNT\SYSTEM32\COMMAND.COM 5 13 3" xfId="1385"/>
    <cellStyle name="=C:\WINNT\SYSTEM32\COMMAND.COM 5 13 4" xfId="1386"/>
    <cellStyle name="=C:\WINNT\SYSTEM32\COMMAND.COM 5 13 5" xfId="1387"/>
    <cellStyle name="=C:\WINNT\SYSTEM32\COMMAND.COM 5 13 6" xfId="1388"/>
    <cellStyle name="=C:\WINNT\SYSTEM32\COMMAND.COM 5 13 7" xfId="1389"/>
    <cellStyle name="=C:\WINNT\SYSTEM32\COMMAND.COM 5 13 8" xfId="1390"/>
    <cellStyle name="=C:\WINNT\SYSTEM32\COMMAND.COM 5 14" xfId="1391"/>
    <cellStyle name="=C:\WINNT\SYSTEM32\COMMAND.COM 5 14 2" xfId="1392"/>
    <cellStyle name="=C:\WINNT\SYSTEM32\COMMAND.COM 5 14 3" xfId="1393"/>
    <cellStyle name="=C:\WINNT\SYSTEM32\COMMAND.COM 5 14 4" xfId="1394"/>
    <cellStyle name="=C:\WINNT\SYSTEM32\COMMAND.COM 5 14 5" xfId="1395"/>
    <cellStyle name="=C:\WINNT\SYSTEM32\COMMAND.COM 5 14 6" xfId="1396"/>
    <cellStyle name="=C:\WINNT\SYSTEM32\COMMAND.COM 5 14 7" xfId="1397"/>
    <cellStyle name="=C:\WINNT\SYSTEM32\COMMAND.COM 5 14 8" xfId="1398"/>
    <cellStyle name="=C:\WINNT\SYSTEM32\COMMAND.COM 5 15" xfId="1399"/>
    <cellStyle name="=C:\WINNT\SYSTEM32\COMMAND.COM 5 15 2" xfId="1400"/>
    <cellStyle name="=C:\WINNT\SYSTEM32\COMMAND.COM 5 15 3" xfId="1401"/>
    <cellStyle name="=C:\WINNT\SYSTEM32\COMMAND.COM 5 15 4" xfId="1402"/>
    <cellStyle name="=C:\WINNT\SYSTEM32\COMMAND.COM 5 15 5" xfId="1403"/>
    <cellStyle name="=C:\WINNT\SYSTEM32\COMMAND.COM 5 15 6" xfId="1404"/>
    <cellStyle name="=C:\WINNT\SYSTEM32\COMMAND.COM 5 15 7" xfId="1405"/>
    <cellStyle name="=C:\WINNT\SYSTEM32\COMMAND.COM 5 15 8" xfId="1406"/>
    <cellStyle name="=C:\WINNT\SYSTEM32\COMMAND.COM 5 16" xfId="1407"/>
    <cellStyle name="=C:\WINNT\SYSTEM32\COMMAND.COM 5 16 2" xfId="1408"/>
    <cellStyle name="=C:\WINNT\SYSTEM32\COMMAND.COM 5 16 3" xfId="1409"/>
    <cellStyle name="=C:\WINNT\SYSTEM32\COMMAND.COM 5 16 4" xfId="1410"/>
    <cellStyle name="=C:\WINNT\SYSTEM32\COMMAND.COM 5 16 5" xfId="1411"/>
    <cellStyle name="=C:\WINNT\SYSTEM32\COMMAND.COM 5 16 6" xfId="1412"/>
    <cellStyle name="=C:\WINNT\SYSTEM32\COMMAND.COM 5 16 7" xfId="1413"/>
    <cellStyle name="=C:\WINNT\SYSTEM32\COMMAND.COM 5 16 8" xfId="1414"/>
    <cellStyle name="=C:\WINNT\SYSTEM32\COMMAND.COM 5 17" xfId="1415"/>
    <cellStyle name="=C:\WINNT\SYSTEM32\COMMAND.COM 5 17 2" xfId="1416"/>
    <cellStyle name="=C:\WINNT\SYSTEM32\COMMAND.COM 5 17 3" xfId="1417"/>
    <cellStyle name="=C:\WINNT\SYSTEM32\COMMAND.COM 5 17 4" xfId="1418"/>
    <cellStyle name="=C:\WINNT\SYSTEM32\COMMAND.COM 5 17 5" xfId="1419"/>
    <cellStyle name="=C:\WINNT\SYSTEM32\COMMAND.COM 5 17 6" xfId="1420"/>
    <cellStyle name="=C:\WINNT\SYSTEM32\COMMAND.COM 5 17 7" xfId="1421"/>
    <cellStyle name="=C:\WINNT\SYSTEM32\COMMAND.COM 5 17 8" xfId="1422"/>
    <cellStyle name="=C:\WINNT\SYSTEM32\COMMAND.COM 5 18" xfId="1423"/>
    <cellStyle name="=C:\WINNT\SYSTEM32\COMMAND.COM 5 18 2" xfId="1424"/>
    <cellStyle name="=C:\WINNT\SYSTEM32\COMMAND.COM 5 18 3" xfId="1425"/>
    <cellStyle name="=C:\WINNT\SYSTEM32\COMMAND.COM 5 18 4" xfId="1426"/>
    <cellStyle name="=C:\WINNT\SYSTEM32\COMMAND.COM 5 18 5" xfId="1427"/>
    <cellStyle name="=C:\WINNT\SYSTEM32\COMMAND.COM 5 18 6" xfId="1428"/>
    <cellStyle name="=C:\WINNT\SYSTEM32\COMMAND.COM 5 18 7" xfId="1429"/>
    <cellStyle name="=C:\WINNT\SYSTEM32\COMMAND.COM 5 18 8" xfId="1430"/>
    <cellStyle name="=C:\WINNT\SYSTEM32\COMMAND.COM 5 19" xfId="1431"/>
    <cellStyle name="=C:\WINNT\SYSTEM32\COMMAND.COM 5 19 2" xfId="1432"/>
    <cellStyle name="=C:\WINNT\SYSTEM32\COMMAND.COM 5 19 3" xfId="1433"/>
    <cellStyle name="=C:\WINNT\SYSTEM32\COMMAND.COM 5 19 4" xfId="1434"/>
    <cellStyle name="=C:\WINNT\SYSTEM32\COMMAND.COM 5 19 5" xfId="1435"/>
    <cellStyle name="=C:\WINNT\SYSTEM32\COMMAND.COM 5 19 6" xfId="1436"/>
    <cellStyle name="=C:\WINNT\SYSTEM32\COMMAND.COM 5 19 7" xfId="1437"/>
    <cellStyle name="=C:\WINNT\SYSTEM32\COMMAND.COM 5 19 8" xfId="1438"/>
    <cellStyle name="=C:\WINNT\SYSTEM32\COMMAND.COM 5 2" xfId="1439"/>
    <cellStyle name="=C:\WINNT\SYSTEM32\COMMAND.COM 5 2 2" xfId="1440"/>
    <cellStyle name="=C:\WINNT\SYSTEM32\COMMAND.COM 5 2 3" xfId="1441"/>
    <cellStyle name="=C:\WINNT\SYSTEM32\COMMAND.COM 5 2 4" xfId="1442"/>
    <cellStyle name="=C:\WINNT\SYSTEM32\COMMAND.COM 5 2 5" xfId="1443"/>
    <cellStyle name="=C:\WINNT\SYSTEM32\COMMAND.COM 5 2 6" xfId="1444"/>
    <cellStyle name="=C:\WINNT\SYSTEM32\COMMAND.COM 5 2 7" xfId="1445"/>
    <cellStyle name="=C:\WINNT\SYSTEM32\COMMAND.COM 5 2 8" xfId="1446"/>
    <cellStyle name="=C:\WINNT\SYSTEM32\COMMAND.COM 5 2 9" xfId="1447"/>
    <cellStyle name="=C:\WINNT\SYSTEM32\COMMAND.COM 5 20" xfId="1448"/>
    <cellStyle name="=C:\WINNT\SYSTEM32\COMMAND.COM 5 20 2" xfId="1449"/>
    <cellStyle name="=C:\WINNT\SYSTEM32\COMMAND.COM 5 20 3" xfId="1450"/>
    <cellStyle name="=C:\WINNT\SYSTEM32\COMMAND.COM 5 20 4" xfId="1451"/>
    <cellStyle name="=C:\WINNT\SYSTEM32\COMMAND.COM 5 20 5" xfId="1452"/>
    <cellStyle name="=C:\WINNT\SYSTEM32\COMMAND.COM 5 20 6" xfId="1453"/>
    <cellStyle name="=C:\WINNT\SYSTEM32\COMMAND.COM 5 20 7" xfId="1454"/>
    <cellStyle name="=C:\WINNT\SYSTEM32\COMMAND.COM 5 20 8" xfId="1455"/>
    <cellStyle name="=C:\WINNT\SYSTEM32\COMMAND.COM 5 21" xfId="1456"/>
    <cellStyle name="=C:\WINNT\SYSTEM32\COMMAND.COM 5 21 2" xfId="1457"/>
    <cellStyle name="=C:\WINNT\SYSTEM32\COMMAND.COM 5 21 3" xfId="1458"/>
    <cellStyle name="=C:\WINNT\SYSTEM32\COMMAND.COM 5 21 4" xfId="1459"/>
    <cellStyle name="=C:\WINNT\SYSTEM32\COMMAND.COM 5 21 5" xfId="1460"/>
    <cellStyle name="=C:\WINNT\SYSTEM32\COMMAND.COM 5 21 6" xfId="1461"/>
    <cellStyle name="=C:\WINNT\SYSTEM32\COMMAND.COM 5 21 7" xfId="1462"/>
    <cellStyle name="=C:\WINNT\SYSTEM32\COMMAND.COM 5 21 8" xfId="1463"/>
    <cellStyle name="=C:\WINNT\SYSTEM32\COMMAND.COM 5 22" xfId="1464"/>
    <cellStyle name="=C:\WINNT\SYSTEM32\COMMAND.COM 5 22 2" xfId="1465"/>
    <cellStyle name="=C:\WINNT\SYSTEM32\COMMAND.COM 5 22 3" xfId="1466"/>
    <cellStyle name="=C:\WINNT\SYSTEM32\COMMAND.COM 5 22 4" xfId="1467"/>
    <cellStyle name="=C:\WINNT\SYSTEM32\COMMAND.COM 5 22 5" xfId="1468"/>
    <cellStyle name="=C:\WINNT\SYSTEM32\COMMAND.COM 5 22 6" xfId="1469"/>
    <cellStyle name="=C:\WINNT\SYSTEM32\COMMAND.COM 5 22 7" xfId="1470"/>
    <cellStyle name="=C:\WINNT\SYSTEM32\COMMAND.COM 5 22 8" xfId="1471"/>
    <cellStyle name="=C:\WINNT\SYSTEM32\COMMAND.COM 5 3" xfId="1472"/>
    <cellStyle name="=C:\WINNT\SYSTEM32\COMMAND.COM 5 3 2" xfId="1473"/>
    <cellStyle name="=C:\WINNT\SYSTEM32\COMMAND.COM 5 3 3" xfId="1474"/>
    <cellStyle name="=C:\WINNT\SYSTEM32\COMMAND.COM 5 3 4" xfId="1475"/>
    <cellStyle name="=C:\WINNT\SYSTEM32\COMMAND.COM 5 3 5" xfId="1476"/>
    <cellStyle name="=C:\WINNT\SYSTEM32\COMMAND.COM 5 3 6" xfId="1477"/>
    <cellStyle name="=C:\WINNT\SYSTEM32\COMMAND.COM 5 3 7" xfId="1478"/>
    <cellStyle name="=C:\WINNT\SYSTEM32\COMMAND.COM 5 3 8" xfId="1479"/>
    <cellStyle name="=C:\WINNT\SYSTEM32\COMMAND.COM 5 4" xfId="1480"/>
    <cellStyle name="=C:\WINNT\SYSTEM32\COMMAND.COM 5 4 2" xfId="1481"/>
    <cellStyle name="=C:\WINNT\SYSTEM32\COMMAND.COM 5 4 3" xfId="1482"/>
    <cellStyle name="=C:\WINNT\SYSTEM32\COMMAND.COM 5 4 4" xfId="1483"/>
    <cellStyle name="=C:\WINNT\SYSTEM32\COMMAND.COM 5 4 5" xfId="1484"/>
    <cellStyle name="=C:\WINNT\SYSTEM32\COMMAND.COM 5 4 6" xfId="1485"/>
    <cellStyle name="=C:\WINNT\SYSTEM32\COMMAND.COM 5 4 7" xfId="1486"/>
    <cellStyle name="=C:\WINNT\SYSTEM32\COMMAND.COM 5 4 8" xfId="1487"/>
    <cellStyle name="=C:\WINNT\SYSTEM32\COMMAND.COM 5 5" xfId="1488"/>
    <cellStyle name="=C:\WINNT\SYSTEM32\COMMAND.COM 5 5 2" xfId="1489"/>
    <cellStyle name="=C:\WINNT\SYSTEM32\COMMAND.COM 5 5 3" xfId="1490"/>
    <cellStyle name="=C:\WINNT\SYSTEM32\COMMAND.COM 5 5 4" xfId="1491"/>
    <cellStyle name="=C:\WINNT\SYSTEM32\COMMAND.COM 5 5 5" xfId="1492"/>
    <cellStyle name="=C:\WINNT\SYSTEM32\COMMAND.COM 5 5 6" xfId="1493"/>
    <cellStyle name="=C:\WINNT\SYSTEM32\COMMAND.COM 5 5 7" xfId="1494"/>
    <cellStyle name="=C:\WINNT\SYSTEM32\COMMAND.COM 5 5 8" xfId="1495"/>
    <cellStyle name="=C:\WINNT\SYSTEM32\COMMAND.COM 5 6" xfId="1496"/>
    <cellStyle name="=C:\WINNT\SYSTEM32\COMMAND.COM 5 6 2" xfId="1497"/>
    <cellStyle name="=C:\WINNT\SYSTEM32\COMMAND.COM 5 6 3" xfId="1498"/>
    <cellStyle name="=C:\WINNT\SYSTEM32\COMMAND.COM 5 6 4" xfId="1499"/>
    <cellStyle name="=C:\WINNT\SYSTEM32\COMMAND.COM 5 6 5" xfId="1500"/>
    <cellStyle name="=C:\WINNT\SYSTEM32\COMMAND.COM 5 6 6" xfId="1501"/>
    <cellStyle name="=C:\WINNT\SYSTEM32\COMMAND.COM 5 6 7" xfId="1502"/>
    <cellStyle name="=C:\WINNT\SYSTEM32\COMMAND.COM 5 6 8" xfId="1503"/>
    <cellStyle name="=C:\WINNT\SYSTEM32\COMMAND.COM 5 7" xfId="1504"/>
    <cellStyle name="=C:\WINNT\SYSTEM32\COMMAND.COM 5 7 2" xfId="1505"/>
    <cellStyle name="=C:\WINNT\SYSTEM32\COMMAND.COM 5 7 3" xfId="1506"/>
    <cellStyle name="=C:\WINNT\SYSTEM32\COMMAND.COM 5 7 4" xfId="1507"/>
    <cellStyle name="=C:\WINNT\SYSTEM32\COMMAND.COM 5 7 5" xfId="1508"/>
    <cellStyle name="=C:\WINNT\SYSTEM32\COMMAND.COM 5 7 6" xfId="1509"/>
    <cellStyle name="=C:\WINNT\SYSTEM32\COMMAND.COM 5 7 7" xfId="1510"/>
    <cellStyle name="=C:\WINNT\SYSTEM32\COMMAND.COM 5 7 8" xfId="1511"/>
    <cellStyle name="=C:\WINNT\SYSTEM32\COMMAND.COM 5 8" xfId="1512"/>
    <cellStyle name="=C:\WINNT\SYSTEM32\COMMAND.COM 5 8 2" xfId="1513"/>
    <cellStyle name="=C:\WINNT\SYSTEM32\COMMAND.COM 5 8 3" xfId="1514"/>
    <cellStyle name="=C:\WINNT\SYSTEM32\COMMAND.COM 5 8 4" xfId="1515"/>
    <cellStyle name="=C:\WINNT\SYSTEM32\COMMAND.COM 5 8 5" xfId="1516"/>
    <cellStyle name="=C:\WINNT\SYSTEM32\COMMAND.COM 5 8 6" xfId="1517"/>
    <cellStyle name="=C:\WINNT\SYSTEM32\COMMAND.COM 5 8 7" xfId="1518"/>
    <cellStyle name="=C:\WINNT\SYSTEM32\COMMAND.COM 5 8 8" xfId="1519"/>
    <cellStyle name="=C:\WINNT\SYSTEM32\COMMAND.COM 5 9" xfId="1520"/>
    <cellStyle name="=C:\WINNT\SYSTEM32\COMMAND.COM 5 9 2" xfId="1521"/>
    <cellStyle name="=C:\WINNT\SYSTEM32\COMMAND.COM 5 9 3" xfId="1522"/>
    <cellStyle name="=C:\WINNT\SYSTEM32\COMMAND.COM 5 9 4" xfId="1523"/>
    <cellStyle name="=C:\WINNT\SYSTEM32\COMMAND.COM 5 9 5" xfId="1524"/>
    <cellStyle name="=C:\WINNT\SYSTEM32\COMMAND.COM 5 9 6" xfId="1525"/>
    <cellStyle name="=C:\WINNT\SYSTEM32\COMMAND.COM 5 9 7" xfId="1526"/>
    <cellStyle name="=C:\WINNT\SYSTEM32\COMMAND.COM 5 9 8" xfId="1527"/>
    <cellStyle name="=C:\WINNT\SYSTEM32\COMMAND.COM 50" xfId="1528"/>
    <cellStyle name="=C:\WINNT\SYSTEM32\COMMAND.COM 51" xfId="1529"/>
    <cellStyle name="=C:\WINNT\SYSTEM32\COMMAND.COM 52" xfId="1530"/>
    <cellStyle name="=C:\WINNT\SYSTEM32\COMMAND.COM 53" xfId="1531"/>
    <cellStyle name="=C:\WINNT\SYSTEM32\COMMAND.COM 54" xfId="1532"/>
    <cellStyle name="=C:\WINNT\SYSTEM32\COMMAND.COM 55" xfId="1533"/>
    <cellStyle name="=C:\WINNT\SYSTEM32\COMMAND.COM 56" xfId="1534"/>
    <cellStyle name="=C:\WINNT\SYSTEM32\COMMAND.COM 57" xfId="1535"/>
    <cellStyle name="=C:\WINNT\SYSTEM32\COMMAND.COM 58" xfId="1536"/>
    <cellStyle name="=C:\WINNT\SYSTEM32\COMMAND.COM 59" xfId="1537"/>
    <cellStyle name="=C:\WINNT\SYSTEM32\COMMAND.COM 6" xfId="1538"/>
    <cellStyle name="=C:\WINNT\SYSTEM32\COMMAND.COM 6 2" xfId="1539"/>
    <cellStyle name="=C:\WINNT\SYSTEM32\COMMAND.COM 6 3" xfId="1540"/>
    <cellStyle name="=C:\WINNT\SYSTEM32\COMMAND.COM 60" xfId="1541"/>
    <cellStyle name="=C:\WINNT\SYSTEM32\COMMAND.COM 61" xfId="1542"/>
    <cellStyle name="=C:\WINNT\SYSTEM32\COMMAND.COM 62" xfId="1543"/>
    <cellStyle name="=C:\WINNT\SYSTEM32\COMMAND.COM 63" xfId="1544"/>
    <cellStyle name="=C:\WINNT\SYSTEM32\COMMAND.COM 64" xfId="1545"/>
    <cellStyle name="=C:\WINNT\SYSTEM32\COMMAND.COM 65" xfId="1546"/>
    <cellStyle name="=C:\WINNT\SYSTEM32\COMMAND.COM 66" xfId="1547"/>
    <cellStyle name="=C:\WINNT\SYSTEM32\COMMAND.COM 7" xfId="1548"/>
    <cellStyle name="=C:\WINNT\SYSTEM32\COMMAND.COM 7 2" xfId="1549"/>
    <cellStyle name="=C:\WINNT\SYSTEM32\COMMAND.COM 7 2 2" xfId="1550"/>
    <cellStyle name="=C:\WINNT\SYSTEM32\COMMAND.COM 7 2 2 2" xfId="1551"/>
    <cellStyle name="=C:\WINNT\SYSTEM32\COMMAND.COM 7 2 3" xfId="1552"/>
    <cellStyle name="=C:\WINNT\SYSTEM32\COMMAND.COM 7 3" xfId="1553"/>
    <cellStyle name="=C:\WINNT\SYSTEM32\COMMAND.COM 7 3 2" xfId="1554"/>
    <cellStyle name="=C:\WINNT\SYSTEM32\COMMAND.COM 7 4" xfId="1555"/>
    <cellStyle name="=C:\WINNT\SYSTEM32\COMMAND.COM 8" xfId="1556"/>
    <cellStyle name="=C:\WINNT\SYSTEM32\COMMAND.COM 8 2" xfId="1557"/>
    <cellStyle name="=C:\WINNT\SYSTEM32\COMMAND.COM 9" xfId="1558"/>
    <cellStyle name="=C:\WINNT\SYSTEM32\COMMAND.COM_1.5 Opex Reconciliation NG" xfId="1559"/>
    <cellStyle name="=C:\WINNT35\SYSTEM32\COMMAND.COM" xfId="1560"/>
    <cellStyle name="=C:\WINNT35\SYSTEM32\COMMAND.COM 10" xfId="1561"/>
    <cellStyle name="=C:\WINNT35\SYSTEM32\COMMAND.COM 11" xfId="1562"/>
    <cellStyle name="=C:\WINNT35\SYSTEM32\COMMAND.COM 12" xfId="1563"/>
    <cellStyle name="=C:\WINNT35\SYSTEM32\COMMAND.COM 13" xfId="1564"/>
    <cellStyle name="=C:\WINNT35\SYSTEM32\COMMAND.COM 14" xfId="1565"/>
    <cellStyle name="=C:\WINNT35\SYSTEM32\COMMAND.COM 15" xfId="1566"/>
    <cellStyle name="=C:\WINNT35\SYSTEM32\COMMAND.COM 16" xfId="1567"/>
    <cellStyle name="=C:\WINNT35\SYSTEM32\COMMAND.COM 17" xfId="1568"/>
    <cellStyle name="=C:\WINNT35\SYSTEM32\COMMAND.COM 18" xfId="1569"/>
    <cellStyle name="=C:\WINNT35\SYSTEM32\COMMAND.COM 19" xfId="1570"/>
    <cellStyle name="=C:\WINNT35\SYSTEM32\COMMAND.COM 2" xfId="1571"/>
    <cellStyle name="=C:\WINNT35\SYSTEM32\COMMAND.COM 20" xfId="1572"/>
    <cellStyle name="=C:\WINNT35\SYSTEM32\COMMAND.COM 21" xfId="1573"/>
    <cellStyle name="=C:\WINNT35\SYSTEM32\COMMAND.COM 22" xfId="1574"/>
    <cellStyle name="=C:\WINNT35\SYSTEM32\COMMAND.COM 23" xfId="1575"/>
    <cellStyle name="=C:\WINNT35\SYSTEM32\COMMAND.COM 24" xfId="1576"/>
    <cellStyle name="=C:\WINNT35\SYSTEM32\COMMAND.COM 25" xfId="1577"/>
    <cellStyle name="=C:\WINNT35\SYSTEM32\COMMAND.COM 26" xfId="1578"/>
    <cellStyle name="=C:\WINNT35\SYSTEM32\COMMAND.COM 27" xfId="1579"/>
    <cellStyle name="=C:\WINNT35\SYSTEM32\COMMAND.COM 28" xfId="1580"/>
    <cellStyle name="=C:\WINNT35\SYSTEM32\COMMAND.COM 29" xfId="1581"/>
    <cellStyle name="=C:\WINNT35\SYSTEM32\COMMAND.COM 3" xfId="1582"/>
    <cellStyle name="=C:\WINNT35\SYSTEM32\COMMAND.COM 30" xfId="1583"/>
    <cellStyle name="=C:\WINNT35\SYSTEM32\COMMAND.COM 31" xfId="1584"/>
    <cellStyle name="=C:\WINNT35\SYSTEM32\COMMAND.COM 32" xfId="1585"/>
    <cellStyle name="=C:\WINNT35\SYSTEM32\COMMAND.COM 33" xfId="1586"/>
    <cellStyle name="=C:\WINNT35\SYSTEM32\COMMAND.COM 34" xfId="1587"/>
    <cellStyle name="=C:\WINNT35\SYSTEM32\COMMAND.COM 35" xfId="1588"/>
    <cellStyle name="=C:\WINNT35\SYSTEM32\COMMAND.COM 36" xfId="1589"/>
    <cellStyle name="=C:\WINNT35\SYSTEM32\COMMAND.COM 37" xfId="1590"/>
    <cellStyle name="=C:\WINNT35\SYSTEM32\COMMAND.COM 38" xfId="1591"/>
    <cellStyle name="=C:\WINNT35\SYSTEM32\COMMAND.COM 39" xfId="1592"/>
    <cellStyle name="=C:\WINNT35\SYSTEM32\COMMAND.COM 4" xfId="1593"/>
    <cellStyle name="=C:\WINNT35\SYSTEM32\COMMAND.COM 40" xfId="1594"/>
    <cellStyle name="=C:\WINNT35\SYSTEM32\COMMAND.COM 41" xfId="1595"/>
    <cellStyle name="=C:\WINNT35\SYSTEM32\COMMAND.COM 42" xfId="1596"/>
    <cellStyle name="=C:\WINNT35\SYSTEM32\COMMAND.COM 43" xfId="1597"/>
    <cellStyle name="=C:\WINNT35\SYSTEM32\COMMAND.COM 44" xfId="1598"/>
    <cellStyle name="=C:\WINNT35\SYSTEM32\COMMAND.COM 45" xfId="1599"/>
    <cellStyle name="=C:\WINNT35\SYSTEM32\COMMAND.COM 46" xfId="1600"/>
    <cellStyle name="=C:\WINNT35\SYSTEM32\COMMAND.COM 47" xfId="1601"/>
    <cellStyle name="=C:\WINNT35\SYSTEM32\COMMAND.COM 5" xfId="1602"/>
    <cellStyle name="=C:\WINNT35\SYSTEM32\COMMAND.COM 6" xfId="1603"/>
    <cellStyle name="=C:\WINNT35\SYSTEM32\COMMAND.COM 7" xfId="1604"/>
    <cellStyle name="=C:\WINNT35\SYSTEM32\COMMAND.COM 8" xfId="1605"/>
    <cellStyle name="=C:\WINNT35\SYSTEM32\COMMAND.COM 9" xfId="1606"/>
    <cellStyle name="=C:\WINNT35\SYSTEM32\COMMAND.COM_1.3s Accounting C Costs Scots" xfId="1607"/>
    <cellStyle name="•W_Area" xfId="1608"/>
    <cellStyle name="0" xfId="1609"/>
    <cellStyle name="0,0_x000a__x000a_NA_x000a__x000a_" xfId="1610"/>
    <cellStyle name="0,0_x000a__x000a_NA_x000a__x000a_ 2" xfId="1611"/>
    <cellStyle name="0_Credit Rating Ratios" xfId="1612"/>
    <cellStyle name="0_Pension numbers in 09 Plan  Budget (3)" xfId="1613"/>
    <cellStyle name="0_Vattenfall Euro CY" xfId="1614"/>
    <cellStyle name="0DP" xfId="1615"/>
    <cellStyle name="0DP bold" xfId="1616"/>
    <cellStyle name="0DP_calcSens" xfId="1617"/>
    <cellStyle name="1000s (0)" xfId="1618"/>
    <cellStyle name="12pt Title" xfId="1619"/>
    <cellStyle name="14pt Title" xfId="1620"/>
    <cellStyle name="1DP" xfId="1621"/>
    <cellStyle name="1DP bold" xfId="1622"/>
    <cellStyle name="1DP_Draft RIIO plan presentation template - Customer Opsx Centre V7" xfId="1623"/>
    <cellStyle name="20% - Accent1 2" xfId="1624"/>
    <cellStyle name="20% - Accent1 2 2" xfId="1625"/>
    <cellStyle name="20% - Accent1 2 2 2" xfId="1626"/>
    <cellStyle name="20% - Accent1 2 2 2 2" xfId="1627"/>
    <cellStyle name="20% - Accent1 2 2 2 2 2" xfId="1628"/>
    <cellStyle name="20% - Accent1 2 2 2 3" xfId="1629"/>
    <cellStyle name="20% - Accent1 2 2 2 4" xfId="1630"/>
    <cellStyle name="20% - Accent1 2 2 3" xfId="1631"/>
    <cellStyle name="20% - Accent1 2 2 3 2" xfId="1632"/>
    <cellStyle name="20% - Accent1 2 2 3 2 2" xfId="1633"/>
    <cellStyle name="20% - Accent1 2 2 4" xfId="1634"/>
    <cellStyle name="20% - Accent1 2 2 5" xfId="1635"/>
    <cellStyle name="20% - Accent1 2 2 6" xfId="1636"/>
    <cellStyle name="20% - Accent1 2 2 6 2" xfId="1637"/>
    <cellStyle name="20% - Accent1 2 3" xfId="1638"/>
    <cellStyle name="20% - Accent1 2 4" xfId="1639"/>
    <cellStyle name="20% - Accent1 2 4 2" xfId="1640"/>
    <cellStyle name="20% - Accent1 2 4 2 2" xfId="1641"/>
    <cellStyle name="20% - Accent1 2 5" xfId="1642"/>
    <cellStyle name="20% - Accent1 2 5 2" xfId="1643"/>
    <cellStyle name="20% - Accent1 2 5 2 2" xfId="1644"/>
    <cellStyle name="20% - Accent1 2 6" xfId="1645"/>
    <cellStyle name="20% - Accent1 2 7" xfId="1646"/>
    <cellStyle name="20% - Accent1 3" xfId="1647"/>
    <cellStyle name="20% - Accent1 3 2" xfId="1648"/>
    <cellStyle name="20% - Accent1 3 3" xfId="1649"/>
    <cellStyle name="20% - Accent1 4" xfId="1650"/>
    <cellStyle name="20% - Accent1 5" xfId="1651"/>
    <cellStyle name="20% - Accent1 6" xfId="1652"/>
    <cellStyle name="20% - Accent1 7" xfId="1653"/>
    <cellStyle name="20% - Accent2 2" xfId="1654"/>
    <cellStyle name="20% - Accent2 2 2" xfId="1655"/>
    <cellStyle name="20% - Accent2 2 2 2" xfId="1656"/>
    <cellStyle name="20% - Accent2 2 2 2 2" xfId="1657"/>
    <cellStyle name="20% - Accent2 2 2 2 2 2" xfId="1658"/>
    <cellStyle name="20% - Accent2 2 2 2 3" xfId="1659"/>
    <cellStyle name="20% - Accent2 2 2 2 4" xfId="1660"/>
    <cellStyle name="20% - Accent2 2 2 3" xfId="1661"/>
    <cellStyle name="20% - Accent2 2 2 3 2" xfId="1662"/>
    <cellStyle name="20% - Accent2 2 2 3 2 2" xfId="1663"/>
    <cellStyle name="20% - Accent2 2 2 4" xfId="1664"/>
    <cellStyle name="20% - Accent2 2 2 5" xfId="1665"/>
    <cellStyle name="20% - Accent2 2 2 6" xfId="1666"/>
    <cellStyle name="20% - Accent2 2 2 6 2" xfId="1667"/>
    <cellStyle name="20% - Accent2 2 3" xfId="1668"/>
    <cellStyle name="20% - Accent2 2 4" xfId="1669"/>
    <cellStyle name="20% - Accent2 2 4 2" xfId="1670"/>
    <cellStyle name="20% - Accent2 2 4 2 2" xfId="1671"/>
    <cellStyle name="20% - Accent2 2 5" xfId="1672"/>
    <cellStyle name="20% - Accent2 2 5 2" xfId="1673"/>
    <cellStyle name="20% - Accent2 2 5 2 2" xfId="1674"/>
    <cellStyle name="20% - Accent2 2 6" xfId="1675"/>
    <cellStyle name="20% - Accent2 2 7" xfId="1676"/>
    <cellStyle name="20% - Accent2 3" xfId="1677"/>
    <cellStyle name="20% - Accent2 3 2" xfId="1678"/>
    <cellStyle name="20% - Accent2 3 3" xfId="1679"/>
    <cellStyle name="20% - Accent2 4" xfId="1680"/>
    <cellStyle name="20% - Accent2 5" xfId="1681"/>
    <cellStyle name="20% - Accent2 6" xfId="1682"/>
    <cellStyle name="20% - Accent2 7" xfId="1683"/>
    <cellStyle name="20% - Accent3 2" xfId="1684"/>
    <cellStyle name="20% - Accent3 2 2" xfId="1685"/>
    <cellStyle name="20% - Accent3 2 2 2" xfId="1686"/>
    <cellStyle name="20% - Accent3 2 2 2 2" xfId="1687"/>
    <cellStyle name="20% - Accent3 2 2 2 2 2" xfId="1688"/>
    <cellStyle name="20% - Accent3 2 2 2 3" xfId="1689"/>
    <cellStyle name="20% - Accent3 2 2 2 4" xfId="1690"/>
    <cellStyle name="20% - Accent3 2 2 3" xfId="1691"/>
    <cellStyle name="20% - Accent3 2 2 3 2" xfId="1692"/>
    <cellStyle name="20% - Accent3 2 2 3 2 2" xfId="1693"/>
    <cellStyle name="20% - Accent3 2 2 4" xfId="1694"/>
    <cellStyle name="20% - Accent3 2 2 5" xfId="1695"/>
    <cellStyle name="20% - Accent3 2 2 6" xfId="1696"/>
    <cellStyle name="20% - Accent3 2 2 6 2" xfId="1697"/>
    <cellStyle name="20% - Accent3 2 3" xfId="1698"/>
    <cellStyle name="20% - Accent3 2 4" xfId="1699"/>
    <cellStyle name="20% - Accent3 2 4 2" xfId="1700"/>
    <cellStyle name="20% - Accent3 2 4 2 2" xfId="1701"/>
    <cellStyle name="20% - Accent3 2 5" xfId="1702"/>
    <cellStyle name="20% - Accent3 2 5 2" xfId="1703"/>
    <cellStyle name="20% - Accent3 2 5 2 2" xfId="1704"/>
    <cellStyle name="20% - Accent3 2 6" xfId="1705"/>
    <cellStyle name="20% - Accent3 2 7" xfId="1706"/>
    <cellStyle name="20% - Accent3 3" xfId="1707"/>
    <cellStyle name="20% - Accent3 3 2" xfId="1708"/>
    <cellStyle name="20% - Accent3 3 3" xfId="1709"/>
    <cellStyle name="20% - Accent3 4" xfId="1710"/>
    <cellStyle name="20% - Accent3 5" xfId="1711"/>
    <cellStyle name="20% - Accent3 6" xfId="1712"/>
    <cellStyle name="20% - Accent3 7" xfId="1713"/>
    <cellStyle name="20% - Accent4 2" xfId="1714"/>
    <cellStyle name="20% - Accent4 2 2" xfId="1715"/>
    <cellStyle name="20% - Accent4 2 2 2" xfId="1716"/>
    <cellStyle name="20% - Accent4 2 2 2 2" xfId="1717"/>
    <cellStyle name="20% - Accent4 2 2 2 2 2" xfId="1718"/>
    <cellStyle name="20% - Accent4 2 2 2 3" xfId="1719"/>
    <cellStyle name="20% - Accent4 2 2 2 4" xfId="1720"/>
    <cellStyle name="20% - Accent4 2 2 3" xfId="1721"/>
    <cellStyle name="20% - Accent4 2 2 3 2" xfId="1722"/>
    <cellStyle name="20% - Accent4 2 2 3 2 2" xfId="1723"/>
    <cellStyle name="20% - Accent4 2 2 4" xfId="1724"/>
    <cellStyle name="20% - Accent4 2 2 5" xfId="1725"/>
    <cellStyle name="20% - Accent4 2 2 6" xfId="1726"/>
    <cellStyle name="20% - Accent4 2 2 6 2" xfId="1727"/>
    <cellStyle name="20% - Accent4 2 3" xfId="1728"/>
    <cellStyle name="20% - Accent4 2 4" xfId="1729"/>
    <cellStyle name="20% - Accent4 2 4 2" xfId="1730"/>
    <cellStyle name="20% - Accent4 2 4 2 2" xfId="1731"/>
    <cellStyle name="20% - Accent4 2 5" xfId="1732"/>
    <cellStyle name="20% - Accent4 2 5 2" xfId="1733"/>
    <cellStyle name="20% - Accent4 2 5 2 2" xfId="1734"/>
    <cellStyle name="20% - Accent4 2 6" xfId="1735"/>
    <cellStyle name="20% - Accent4 2 7" xfId="1736"/>
    <cellStyle name="20% - Accent4 3" xfId="1737"/>
    <cellStyle name="20% - Accent4 3 2" xfId="1738"/>
    <cellStyle name="20% - Accent4 3 3" xfId="1739"/>
    <cellStyle name="20% - Accent4 4" xfId="1740"/>
    <cellStyle name="20% - Accent4 5" xfId="1741"/>
    <cellStyle name="20% - Accent4 6" xfId="1742"/>
    <cellStyle name="20% - Accent4 7" xfId="1743"/>
    <cellStyle name="20% - Accent5 2" xfId="1744"/>
    <cellStyle name="20% - Accent5 2 2" xfId="1745"/>
    <cellStyle name="20% - Accent5 2 2 2" xfId="1746"/>
    <cellStyle name="20% - Accent5 2 2 2 2" xfId="1747"/>
    <cellStyle name="20% - Accent5 2 2 2 2 2" xfId="1748"/>
    <cellStyle name="20% - Accent5 2 2 2 3" xfId="1749"/>
    <cellStyle name="20% - Accent5 2 2 2 4" xfId="1750"/>
    <cellStyle name="20% - Accent5 2 2 3" xfId="1751"/>
    <cellStyle name="20% - Accent5 2 2 3 2" xfId="1752"/>
    <cellStyle name="20% - Accent5 2 2 3 2 2" xfId="1753"/>
    <cellStyle name="20% - Accent5 2 2 4" xfId="1754"/>
    <cellStyle name="20% - Accent5 2 2 5" xfId="1755"/>
    <cellStyle name="20% - Accent5 2 2 6" xfId="1756"/>
    <cellStyle name="20% - Accent5 2 2 6 2" xfId="1757"/>
    <cellStyle name="20% - Accent5 2 3" xfId="1758"/>
    <cellStyle name="20% - Accent5 2 4" xfId="1759"/>
    <cellStyle name="20% - Accent5 2 4 2" xfId="1760"/>
    <cellStyle name="20% - Accent5 2 4 2 2" xfId="1761"/>
    <cellStyle name="20% - Accent5 2 5" xfId="1762"/>
    <cellStyle name="20% - Accent5 2 5 2" xfId="1763"/>
    <cellStyle name="20% - Accent5 2 5 2 2" xfId="1764"/>
    <cellStyle name="20% - Accent5 2 6" xfId="1765"/>
    <cellStyle name="20% - Accent5 2 7" xfId="1766"/>
    <cellStyle name="20% - Accent5 3" xfId="1767"/>
    <cellStyle name="20% - Accent5 3 2" xfId="1768"/>
    <cellStyle name="20% - Accent5 3 3" xfId="1769"/>
    <cellStyle name="20% - Accent5 4" xfId="1770"/>
    <cellStyle name="20% - Accent5 5" xfId="1771"/>
    <cellStyle name="20% - Accent5 6" xfId="1772"/>
    <cellStyle name="20% - Accent5 7" xfId="1773"/>
    <cellStyle name="20% - Accent6 2" xfId="1774"/>
    <cellStyle name="20% - Accent6 2 2" xfId="1775"/>
    <cellStyle name="20% - Accent6 2 2 2" xfId="1776"/>
    <cellStyle name="20% - Accent6 2 2 2 2" xfId="1777"/>
    <cellStyle name="20% - Accent6 2 2 2 2 2" xfId="1778"/>
    <cellStyle name="20% - Accent6 2 2 2 3" xfId="1779"/>
    <cellStyle name="20% - Accent6 2 2 2 4" xfId="1780"/>
    <cellStyle name="20% - Accent6 2 2 3" xfId="1781"/>
    <cellStyle name="20% - Accent6 2 2 3 2" xfId="1782"/>
    <cellStyle name="20% - Accent6 2 2 3 2 2" xfId="1783"/>
    <cellStyle name="20% - Accent6 2 2 4" xfId="1784"/>
    <cellStyle name="20% - Accent6 2 2 5" xfId="1785"/>
    <cellStyle name="20% - Accent6 2 2 6" xfId="1786"/>
    <cellStyle name="20% - Accent6 2 2 6 2" xfId="1787"/>
    <cellStyle name="20% - Accent6 2 3" xfId="1788"/>
    <cellStyle name="20% - Accent6 2 4" xfId="1789"/>
    <cellStyle name="20% - Accent6 2 4 2" xfId="1790"/>
    <cellStyle name="20% - Accent6 2 4 2 2" xfId="1791"/>
    <cellStyle name="20% - Accent6 2 5" xfId="1792"/>
    <cellStyle name="20% - Accent6 2 5 2" xfId="1793"/>
    <cellStyle name="20% - Accent6 2 5 2 2" xfId="1794"/>
    <cellStyle name="20% - Accent6 2 6" xfId="1795"/>
    <cellStyle name="20% - Accent6 2 7" xfId="1796"/>
    <cellStyle name="20% - Accent6 3" xfId="1797"/>
    <cellStyle name="20% - Accent6 3 2" xfId="1798"/>
    <cellStyle name="20% - Accent6 3 3" xfId="1799"/>
    <cellStyle name="20% - Accent6 4" xfId="1800"/>
    <cellStyle name="20% - Accent6 5" xfId="1801"/>
    <cellStyle name="20% - Accent6 6" xfId="1802"/>
    <cellStyle name="20% - Accent6 7" xfId="1803"/>
    <cellStyle name="2DP" xfId="1804"/>
    <cellStyle name="2DP bold" xfId="1805"/>
    <cellStyle name="2DP_Draft RIIO plan presentation template - Customer Opsx Centre V7" xfId="1806"/>
    <cellStyle name="3 V1.00 CORE IMAGE (5200MM3.100 08/01/97)_x000d__x000a__x000d__x000a_[windows]_x000d__x000a_;spooler=yes_x000d__x000a_load=nw" xfId="1807"/>
    <cellStyle name="3 V1.00 CORE IMAGE (5200MM3.100 08/01/97)_x000d__x000a__x000d__x000a_[windows]_x000d__x000a_;spooler=yes_x000d__x000a_load=nw 2" xfId="1808"/>
    <cellStyle name="3DP" xfId="1809"/>
    <cellStyle name="40% - Accent1 2" xfId="31"/>
    <cellStyle name="40% - Accent1 2 10" xfId="1810"/>
    <cellStyle name="40% - Accent1 2 10 2" xfId="4477"/>
    <cellStyle name="40% - Accent1 2 10 2 2" xfId="4849"/>
    <cellStyle name="40% - Accent1 2 10 2 2 2" xfId="8592"/>
    <cellStyle name="40% - Accent1 2 10 2 2 2 2" xfId="15140"/>
    <cellStyle name="40% - Accent1 2 10 2 2 3" xfId="6873"/>
    <cellStyle name="40% - Accent1 2 10 2 2 3 2" xfId="13559"/>
    <cellStyle name="40% - Accent1 2 10 2 2 4" xfId="11774"/>
    <cellStyle name="40% - Accent1 2 10 2 3" xfId="5304"/>
    <cellStyle name="40% - Accent1 2 10 2 3 2" xfId="9047"/>
    <cellStyle name="40% - Accent1 2 10 2 3 2 2" xfId="15591"/>
    <cellStyle name="40% - Accent1 2 10 2 3 3" xfId="7328"/>
    <cellStyle name="40% - Accent1 2 10 2 3 3 2" xfId="14010"/>
    <cellStyle name="40% - Accent1 2 10 2 3 4" xfId="12225"/>
    <cellStyle name="40% - Accent1 2 10 2 4" xfId="5742"/>
    <cellStyle name="40% - Accent1 2 10 2 4 2" xfId="9483"/>
    <cellStyle name="40% - Accent1 2 10 2 4 2 2" xfId="15985"/>
    <cellStyle name="40% - Accent1 2 10 2 4 3" xfId="7764"/>
    <cellStyle name="40% - Accent1 2 10 2 4 3 2" xfId="14404"/>
    <cellStyle name="40% - Accent1 2 10 2 4 4" xfId="12635"/>
    <cellStyle name="40% - Accent1 2 10 2 5" xfId="9845"/>
    <cellStyle name="40% - Accent1 2 10 2 5 2" xfId="16326"/>
    <cellStyle name="40% - Accent1 2 10 2 6" xfId="8241"/>
    <cellStyle name="40% - Accent1 2 10 2 6 2" xfId="14798"/>
    <cellStyle name="40% - Accent1 2 10 2 7" xfId="6522"/>
    <cellStyle name="40% - Accent1 2 10 2 7 2" xfId="13212"/>
    <cellStyle name="40% - Accent1 2 10 2 8" xfId="11422"/>
    <cellStyle name="40% - Accent1 2 10 3" xfId="4831"/>
    <cellStyle name="40% - Accent1 2 10 3 2" xfId="8574"/>
    <cellStyle name="40% - Accent1 2 10 3 2 2" xfId="15122"/>
    <cellStyle name="40% - Accent1 2 10 3 3" xfId="6855"/>
    <cellStyle name="40% - Accent1 2 10 3 3 2" xfId="13541"/>
    <cellStyle name="40% - Accent1 2 10 3 4" xfId="11756"/>
    <cellStyle name="40% - Accent1 2 10 4" xfId="5107"/>
    <cellStyle name="40% - Accent1 2 10 4 2" xfId="8850"/>
    <cellStyle name="40% - Accent1 2 10 4 2 2" xfId="15394"/>
    <cellStyle name="40% - Accent1 2 10 4 3" xfId="7131"/>
    <cellStyle name="40% - Accent1 2 10 4 3 2" xfId="13813"/>
    <cellStyle name="40% - Accent1 2 10 4 4" xfId="12028"/>
    <cellStyle name="40% - Accent1 2 10 5" xfId="5540"/>
    <cellStyle name="40% - Accent1 2 10 5 2" xfId="9281"/>
    <cellStyle name="40% - Accent1 2 10 5 2 2" xfId="15788"/>
    <cellStyle name="40% - Accent1 2 10 5 3" xfId="7562"/>
    <cellStyle name="40% - Accent1 2 10 5 3 2" xfId="14207"/>
    <cellStyle name="40% - Accent1 2 10 5 4" xfId="12433"/>
    <cellStyle name="40% - Accent1 2 10 6" xfId="9822"/>
    <cellStyle name="40% - Accent1 2 10 6 2" xfId="16308"/>
    <cellStyle name="40% - Accent1 2 10 7" xfId="7970"/>
    <cellStyle name="40% - Accent1 2 10 7 2" xfId="14601"/>
    <cellStyle name="40% - Accent1 2 10 8" xfId="6117"/>
    <cellStyle name="40% - Accent1 2 10 8 2" xfId="12842"/>
    <cellStyle name="40% - Accent1 2 10 9" xfId="10276"/>
    <cellStyle name="40% - Accent1 2 11" xfId="4466"/>
    <cellStyle name="40% - Accent1 2 11 2" xfId="4850"/>
    <cellStyle name="40% - Accent1 2 11 2 2" xfId="8593"/>
    <cellStyle name="40% - Accent1 2 11 2 2 2" xfId="15141"/>
    <cellStyle name="40% - Accent1 2 11 2 3" xfId="6874"/>
    <cellStyle name="40% - Accent1 2 11 2 3 2" xfId="13560"/>
    <cellStyle name="40% - Accent1 2 11 2 4" xfId="11775"/>
    <cellStyle name="40% - Accent1 2 11 3" xfId="5294"/>
    <cellStyle name="40% - Accent1 2 11 3 2" xfId="9037"/>
    <cellStyle name="40% - Accent1 2 11 3 2 2" xfId="15581"/>
    <cellStyle name="40% - Accent1 2 11 3 3" xfId="7318"/>
    <cellStyle name="40% - Accent1 2 11 3 3 2" xfId="14000"/>
    <cellStyle name="40% - Accent1 2 11 3 4" xfId="12215"/>
    <cellStyle name="40% - Accent1 2 11 4" xfId="5732"/>
    <cellStyle name="40% - Accent1 2 11 4 2" xfId="9473"/>
    <cellStyle name="40% - Accent1 2 11 4 2 2" xfId="15975"/>
    <cellStyle name="40% - Accent1 2 11 4 3" xfId="7754"/>
    <cellStyle name="40% - Accent1 2 11 4 3 2" xfId="14394"/>
    <cellStyle name="40% - Accent1 2 11 4 4" xfId="12625"/>
    <cellStyle name="40% - Accent1 2 11 5" xfId="9846"/>
    <cellStyle name="40% - Accent1 2 11 5 2" xfId="16327"/>
    <cellStyle name="40% - Accent1 2 11 6" xfId="8231"/>
    <cellStyle name="40% - Accent1 2 11 6 2" xfId="14788"/>
    <cellStyle name="40% - Accent1 2 11 7" xfId="6512"/>
    <cellStyle name="40% - Accent1 2 11 7 2" xfId="13202"/>
    <cellStyle name="40% - Accent1 2 11 8" xfId="11411"/>
    <cellStyle name="40% - Accent1 2 12" xfId="4672"/>
    <cellStyle name="40% - Accent1 2 12 2" xfId="8418"/>
    <cellStyle name="40% - Accent1 2 12 2 2" xfId="14970"/>
    <cellStyle name="40% - Accent1 2 12 3" xfId="6699"/>
    <cellStyle name="40% - Accent1 2 12 3 2" xfId="13389"/>
    <cellStyle name="40% - Accent1 2 12 4" xfId="11603"/>
    <cellStyle name="40% - Accent1 2 13" xfId="5093"/>
    <cellStyle name="40% - Accent1 2 13 2" xfId="8836"/>
    <cellStyle name="40% - Accent1 2 13 2 2" xfId="15384"/>
    <cellStyle name="40% - Accent1 2 13 3" xfId="7117"/>
    <cellStyle name="40% - Accent1 2 13 3 2" xfId="13803"/>
    <cellStyle name="40% - Accent1 2 13 4" xfId="12018"/>
    <cellStyle name="40% - Accent1 2 14" xfId="5530"/>
    <cellStyle name="40% - Accent1 2 14 2" xfId="9271"/>
    <cellStyle name="40% - Accent1 2 14 2 2" xfId="15778"/>
    <cellStyle name="40% - Accent1 2 14 3" xfId="7552"/>
    <cellStyle name="40% - Accent1 2 14 3 2" xfId="14197"/>
    <cellStyle name="40% - Accent1 2 14 4" xfId="12423"/>
    <cellStyle name="40% - Accent1 2 15" xfId="9652"/>
    <cellStyle name="40% - Accent1 2 15 2" xfId="16154"/>
    <cellStyle name="40% - Accent1 2 16" xfId="7951"/>
    <cellStyle name="40% - Accent1 2 16 2" xfId="14591"/>
    <cellStyle name="40% - Accent1 2 17" xfId="5930"/>
    <cellStyle name="40% - Accent1 2 17 2" xfId="12823"/>
    <cellStyle name="40% - Accent1 2 18" xfId="10265"/>
    <cellStyle name="40% - Accent1 2 2" xfId="1811"/>
    <cellStyle name="40% - Accent1 2 2 2" xfId="1812"/>
    <cellStyle name="40% - Accent1 2 2 2 2" xfId="1813"/>
    <cellStyle name="40% - Accent1 2 2 2 2 2" xfId="1814"/>
    <cellStyle name="40% - Accent1 2 2 2 3" xfId="1815"/>
    <cellStyle name="40% - Accent1 2 2 2 4" xfId="1816"/>
    <cellStyle name="40% - Accent1 2 2 3" xfId="1817"/>
    <cellStyle name="40% - Accent1 2 2 3 2" xfId="1818"/>
    <cellStyle name="40% - Accent1 2 2 3 2 2" xfId="1819"/>
    <cellStyle name="40% - Accent1 2 2 4" xfId="1820"/>
    <cellStyle name="40% - Accent1 2 2 5" xfId="1821"/>
    <cellStyle name="40% - Accent1 2 2 6" xfId="1822"/>
    <cellStyle name="40% - Accent1 2 2 6 2" xfId="1823"/>
    <cellStyle name="40% - Accent1 2 3" xfId="1824"/>
    <cellStyle name="40% - Accent1 2 4" xfId="1825"/>
    <cellStyle name="40% - Accent1 2 4 2" xfId="1826"/>
    <cellStyle name="40% - Accent1 2 4 2 2" xfId="1827"/>
    <cellStyle name="40% - Accent1 2 5" xfId="1828"/>
    <cellStyle name="40% - Accent1 2 5 2" xfId="1829"/>
    <cellStyle name="40% - Accent1 2 5 2 2" xfId="1830"/>
    <cellStyle name="40% - Accent1 2 6" xfId="1831"/>
    <cellStyle name="40% - Accent1 2 7" xfId="1832"/>
    <cellStyle name="40% - Accent1 2 8" xfId="1833"/>
    <cellStyle name="40% - Accent1 2 9" xfId="1834"/>
    <cellStyle name="40% - Accent1 2 9 2" xfId="4478"/>
    <cellStyle name="40% - Accent1 2 9 2 2" xfId="4851"/>
    <cellStyle name="40% - Accent1 2 9 2 2 2" xfId="8594"/>
    <cellStyle name="40% - Accent1 2 9 2 2 2 2" xfId="15142"/>
    <cellStyle name="40% - Accent1 2 9 2 2 3" xfId="6875"/>
    <cellStyle name="40% - Accent1 2 9 2 2 3 2" xfId="13561"/>
    <cellStyle name="40% - Accent1 2 9 2 2 4" xfId="11776"/>
    <cellStyle name="40% - Accent1 2 9 2 3" xfId="5305"/>
    <cellStyle name="40% - Accent1 2 9 2 3 2" xfId="9048"/>
    <cellStyle name="40% - Accent1 2 9 2 3 2 2" xfId="15592"/>
    <cellStyle name="40% - Accent1 2 9 2 3 3" xfId="7329"/>
    <cellStyle name="40% - Accent1 2 9 2 3 3 2" xfId="14011"/>
    <cellStyle name="40% - Accent1 2 9 2 3 4" xfId="12226"/>
    <cellStyle name="40% - Accent1 2 9 2 4" xfId="5743"/>
    <cellStyle name="40% - Accent1 2 9 2 4 2" xfId="9484"/>
    <cellStyle name="40% - Accent1 2 9 2 4 2 2" xfId="15986"/>
    <cellStyle name="40% - Accent1 2 9 2 4 3" xfId="7765"/>
    <cellStyle name="40% - Accent1 2 9 2 4 3 2" xfId="14405"/>
    <cellStyle name="40% - Accent1 2 9 2 4 4" xfId="12636"/>
    <cellStyle name="40% - Accent1 2 9 2 5" xfId="9847"/>
    <cellStyle name="40% - Accent1 2 9 2 5 2" xfId="16328"/>
    <cellStyle name="40% - Accent1 2 9 2 6" xfId="8242"/>
    <cellStyle name="40% - Accent1 2 9 2 6 2" xfId="14799"/>
    <cellStyle name="40% - Accent1 2 9 2 7" xfId="6523"/>
    <cellStyle name="40% - Accent1 2 9 2 7 2" xfId="13213"/>
    <cellStyle name="40% - Accent1 2 9 2 8" xfId="11423"/>
    <cellStyle name="40% - Accent1 2 9 3" xfId="4763"/>
    <cellStyle name="40% - Accent1 2 9 3 2" xfId="8506"/>
    <cellStyle name="40% - Accent1 2 9 3 2 2" xfId="15058"/>
    <cellStyle name="40% - Accent1 2 9 3 3" xfId="6787"/>
    <cellStyle name="40% - Accent1 2 9 3 3 2" xfId="13477"/>
    <cellStyle name="40% - Accent1 2 9 3 4" xfId="11692"/>
    <cellStyle name="40% - Accent1 2 9 4" xfId="5108"/>
    <cellStyle name="40% - Accent1 2 9 4 2" xfId="8851"/>
    <cellStyle name="40% - Accent1 2 9 4 2 2" xfId="15395"/>
    <cellStyle name="40% - Accent1 2 9 4 3" xfId="7132"/>
    <cellStyle name="40% - Accent1 2 9 4 3 2" xfId="13814"/>
    <cellStyle name="40% - Accent1 2 9 4 4" xfId="12029"/>
    <cellStyle name="40% - Accent1 2 9 5" xfId="5541"/>
    <cellStyle name="40% - Accent1 2 9 5 2" xfId="9282"/>
    <cellStyle name="40% - Accent1 2 9 5 2 2" xfId="15789"/>
    <cellStyle name="40% - Accent1 2 9 5 3" xfId="7563"/>
    <cellStyle name="40% - Accent1 2 9 5 3 2" xfId="14208"/>
    <cellStyle name="40% - Accent1 2 9 5 4" xfId="12434"/>
    <cellStyle name="40% - Accent1 2 9 6" xfId="9753"/>
    <cellStyle name="40% - Accent1 2 9 6 2" xfId="16244"/>
    <cellStyle name="40% - Accent1 2 9 7" xfId="7971"/>
    <cellStyle name="40% - Accent1 2 9 7 2" xfId="14602"/>
    <cellStyle name="40% - Accent1 2 9 8" xfId="6118"/>
    <cellStyle name="40% - Accent1 2 9 8 2" xfId="12843"/>
    <cellStyle name="40% - Accent1 2 9 9" xfId="10277"/>
    <cellStyle name="40% - Accent1 3" xfId="1835"/>
    <cellStyle name="40% - Accent1 3 2" xfId="1836"/>
    <cellStyle name="40% - Accent1 3 3" xfId="1837"/>
    <cellStyle name="40% - Accent1 4" xfId="1838"/>
    <cellStyle name="40% - Accent1 5" xfId="1839"/>
    <cellStyle name="40% - Accent1 6" xfId="1840"/>
    <cellStyle name="40% - Accent1 7" xfId="1841"/>
    <cellStyle name="40% - Accent2 2" xfId="1842"/>
    <cellStyle name="40% - Accent2 2 2" xfId="1843"/>
    <cellStyle name="40% - Accent2 2 2 2" xfId="1844"/>
    <cellStyle name="40% - Accent2 2 2 2 2" xfId="1845"/>
    <cellStyle name="40% - Accent2 2 2 2 2 2" xfId="1846"/>
    <cellStyle name="40% - Accent2 2 2 2 3" xfId="1847"/>
    <cellStyle name="40% - Accent2 2 2 2 4" xfId="1848"/>
    <cellStyle name="40% - Accent2 2 2 3" xfId="1849"/>
    <cellStyle name="40% - Accent2 2 2 3 2" xfId="1850"/>
    <cellStyle name="40% - Accent2 2 2 3 2 2" xfId="1851"/>
    <cellStyle name="40% - Accent2 2 2 4" xfId="1852"/>
    <cellStyle name="40% - Accent2 2 2 5" xfId="1853"/>
    <cellStyle name="40% - Accent2 2 2 6" xfId="1854"/>
    <cellStyle name="40% - Accent2 2 2 6 2" xfId="1855"/>
    <cellStyle name="40% - Accent2 2 3" xfId="1856"/>
    <cellStyle name="40% - Accent2 2 4" xfId="1857"/>
    <cellStyle name="40% - Accent2 2 4 2" xfId="1858"/>
    <cellStyle name="40% - Accent2 2 4 2 2" xfId="1859"/>
    <cellStyle name="40% - Accent2 2 5" xfId="1860"/>
    <cellStyle name="40% - Accent2 2 5 2" xfId="1861"/>
    <cellStyle name="40% - Accent2 2 5 2 2" xfId="1862"/>
    <cellStyle name="40% - Accent2 2 6" xfId="1863"/>
    <cellStyle name="40% - Accent2 2 7" xfId="1864"/>
    <cellStyle name="40% - Accent2 3" xfId="1865"/>
    <cellStyle name="40% - Accent2 3 2" xfId="1866"/>
    <cellStyle name="40% - Accent2 3 3" xfId="1867"/>
    <cellStyle name="40% - Accent2 4" xfId="1868"/>
    <cellStyle name="40% - Accent2 5" xfId="1869"/>
    <cellStyle name="40% - Accent2 6" xfId="1870"/>
    <cellStyle name="40% - Accent2 7" xfId="1871"/>
    <cellStyle name="40% - Accent3 2" xfId="1872"/>
    <cellStyle name="40% - Accent3 2 2" xfId="1873"/>
    <cellStyle name="40% - Accent3 2 2 2" xfId="1874"/>
    <cellStyle name="40% - Accent3 2 2 2 2" xfId="1875"/>
    <cellStyle name="40% - Accent3 2 2 2 2 2" xfId="1876"/>
    <cellStyle name="40% - Accent3 2 2 2 3" xfId="1877"/>
    <cellStyle name="40% - Accent3 2 2 2 4" xfId="1878"/>
    <cellStyle name="40% - Accent3 2 2 3" xfId="1879"/>
    <cellStyle name="40% - Accent3 2 2 3 2" xfId="1880"/>
    <cellStyle name="40% - Accent3 2 2 3 2 2" xfId="1881"/>
    <cellStyle name="40% - Accent3 2 2 4" xfId="1882"/>
    <cellStyle name="40% - Accent3 2 2 5" xfId="1883"/>
    <cellStyle name="40% - Accent3 2 2 6" xfId="1884"/>
    <cellStyle name="40% - Accent3 2 2 6 2" xfId="1885"/>
    <cellStyle name="40% - Accent3 2 3" xfId="1886"/>
    <cellStyle name="40% - Accent3 2 4" xfId="1887"/>
    <cellStyle name="40% - Accent3 2 4 2" xfId="1888"/>
    <cellStyle name="40% - Accent3 2 4 2 2" xfId="1889"/>
    <cellStyle name="40% - Accent3 2 5" xfId="1890"/>
    <cellStyle name="40% - Accent3 2 5 2" xfId="1891"/>
    <cellStyle name="40% - Accent3 2 5 2 2" xfId="1892"/>
    <cellStyle name="40% - Accent3 2 6" xfId="1893"/>
    <cellStyle name="40% - Accent3 2 7" xfId="1894"/>
    <cellStyle name="40% - Accent3 3" xfId="1895"/>
    <cellStyle name="40% - Accent3 3 2" xfId="1896"/>
    <cellStyle name="40% - Accent3 3 3" xfId="1897"/>
    <cellStyle name="40% - Accent3 4" xfId="1898"/>
    <cellStyle name="40% - Accent3 5" xfId="1899"/>
    <cellStyle name="40% - Accent3 6" xfId="1900"/>
    <cellStyle name="40% - Accent3 7" xfId="1901"/>
    <cellStyle name="40% - Accent4 2" xfId="1902"/>
    <cellStyle name="40% - Accent4 2 2" xfId="1903"/>
    <cellStyle name="40% - Accent4 2 2 2" xfId="1904"/>
    <cellStyle name="40% - Accent4 2 2 2 2" xfId="1905"/>
    <cellStyle name="40% - Accent4 2 2 2 2 2" xfId="1906"/>
    <cellStyle name="40% - Accent4 2 2 2 3" xfId="1907"/>
    <cellStyle name="40% - Accent4 2 2 2 4" xfId="1908"/>
    <cellStyle name="40% - Accent4 2 2 3" xfId="1909"/>
    <cellStyle name="40% - Accent4 2 2 3 2" xfId="1910"/>
    <cellStyle name="40% - Accent4 2 2 3 2 2" xfId="1911"/>
    <cellStyle name="40% - Accent4 2 2 4" xfId="1912"/>
    <cellStyle name="40% - Accent4 2 2 5" xfId="1913"/>
    <cellStyle name="40% - Accent4 2 2 6" xfId="1914"/>
    <cellStyle name="40% - Accent4 2 2 6 2" xfId="1915"/>
    <cellStyle name="40% - Accent4 2 3" xfId="1916"/>
    <cellStyle name="40% - Accent4 2 4" xfId="1917"/>
    <cellStyle name="40% - Accent4 2 4 2" xfId="1918"/>
    <cellStyle name="40% - Accent4 2 4 2 2" xfId="1919"/>
    <cellStyle name="40% - Accent4 2 5" xfId="1920"/>
    <cellStyle name="40% - Accent4 2 5 2" xfId="1921"/>
    <cellStyle name="40% - Accent4 2 5 2 2" xfId="1922"/>
    <cellStyle name="40% - Accent4 2 6" xfId="1923"/>
    <cellStyle name="40% - Accent4 2 7" xfId="1924"/>
    <cellStyle name="40% - Accent4 3" xfId="1925"/>
    <cellStyle name="40% - Accent4 3 2" xfId="1926"/>
    <cellStyle name="40% - Accent4 3 3" xfId="1927"/>
    <cellStyle name="40% - Accent4 4" xfId="1928"/>
    <cellStyle name="40% - Accent4 5" xfId="1929"/>
    <cellStyle name="40% - Accent4 6" xfId="1930"/>
    <cellStyle name="40% - Accent4 7" xfId="1931"/>
    <cellStyle name="40% - Accent5 2" xfId="1932"/>
    <cellStyle name="40% - Accent5 2 2" xfId="1933"/>
    <cellStyle name="40% - Accent5 2 2 2" xfId="1934"/>
    <cellStyle name="40% - Accent5 2 2 2 2" xfId="1935"/>
    <cellStyle name="40% - Accent5 2 2 2 2 2" xfId="1936"/>
    <cellStyle name="40% - Accent5 2 2 2 3" xfId="1937"/>
    <cellStyle name="40% - Accent5 2 2 2 4" xfId="1938"/>
    <cellStyle name="40% - Accent5 2 2 3" xfId="1939"/>
    <cellStyle name="40% - Accent5 2 2 3 2" xfId="1940"/>
    <cellStyle name="40% - Accent5 2 2 3 2 2" xfId="1941"/>
    <cellStyle name="40% - Accent5 2 2 4" xfId="1942"/>
    <cellStyle name="40% - Accent5 2 2 5" xfId="1943"/>
    <cellStyle name="40% - Accent5 2 2 6" xfId="1944"/>
    <cellStyle name="40% - Accent5 2 2 6 2" xfId="1945"/>
    <cellStyle name="40% - Accent5 2 3" xfId="1946"/>
    <cellStyle name="40% - Accent5 2 4" xfId="1947"/>
    <cellStyle name="40% - Accent5 2 4 2" xfId="1948"/>
    <cellStyle name="40% - Accent5 2 4 2 2" xfId="1949"/>
    <cellStyle name="40% - Accent5 2 5" xfId="1950"/>
    <cellStyle name="40% - Accent5 2 5 2" xfId="1951"/>
    <cellStyle name="40% - Accent5 2 5 2 2" xfId="1952"/>
    <cellStyle name="40% - Accent5 2 6" xfId="1953"/>
    <cellStyle name="40% - Accent5 2 7" xfId="1954"/>
    <cellStyle name="40% - Accent5 3" xfId="1955"/>
    <cellStyle name="40% - Accent5 3 2" xfId="1956"/>
    <cellStyle name="40% - Accent5 3 3" xfId="1957"/>
    <cellStyle name="40% - Accent5 4" xfId="1958"/>
    <cellStyle name="40% - Accent5 5" xfId="1959"/>
    <cellStyle name="40% - Accent5 6" xfId="1960"/>
    <cellStyle name="40% - Accent5 7" xfId="1961"/>
    <cellStyle name="40% - Accent6 2" xfId="1962"/>
    <cellStyle name="40% - Accent6 2 2" xfId="1963"/>
    <cellStyle name="40% - Accent6 2 2 2" xfId="1964"/>
    <cellStyle name="40% - Accent6 2 2 2 2" xfId="1965"/>
    <cellStyle name="40% - Accent6 2 2 2 2 2" xfId="1966"/>
    <cellStyle name="40% - Accent6 2 2 2 3" xfId="1967"/>
    <cellStyle name="40% - Accent6 2 2 2 4" xfId="1968"/>
    <cellStyle name="40% - Accent6 2 2 3" xfId="1969"/>
    <cellStyle name="40% - Accent6 2 2 3 2" xfId="1970"/>
    <cellStyle name="40% - Accent6 2 2 3 2 2" xfId="1971"/>
    <cellStyle name="40% - Accent6 2 2 4" xfId="1972"/>
    <cellStyle name="40% - Accent6 2 2 5" xfId="1973"/>
    <cellStyle name="40% - Accent6 2 2 6" xfId="1974"/>
    <cellStyle name="40% - Accent6 2 2 6 2" xfId="1975"/>
    <cellStyle name="40% - Accent6 2 3" xfId="1976"/>
    <cellStyle name="40% - Accent6 2 4" xfId="1977"/>
    <cellStyle name="40% - Accent6 2 4 2" xfId="1978"/>
    <cellStyle name="40% - Accent6 2 4 2 2" xfId="1979"/>
    <cellStyle name="40% - Accent6 2 5" xfId="1980"/>
    <cellStyle name="40% - Accent6 2 5 2" xfId="1981"/>
    <cellStyle name="40% - Accent6 2 5 2 2" xfId="1982"/>
    <cellStyle name="40% - Accent6 2 6" xfId="1983"/>
    <cellStyle name="40% - Accent6 2 7" xfId="1984"/>
    <cellStyle name="40% - Accent6 3" xfId="1985"/>
    <cellStyle name="40% - Accent6 3 2" xfId="1986"/>
    <cellStyle name="40% - Accent6 3 3" xfId="1987"/>
    <cellStyle name="40% - Accent6 4" xfId="1988"/>
    <cellStyle name="40% - Accent6 5" xfId="1989"/>
    <cellStyle name="40% - Accent6 6" xfId="1990"/>
    <cellStyle name="40% - Accent6 7" xfId="1991"/>
    <cellStyle name="60% - Accent1 2" xfId="1992"/>
    <cellStyle name="60% - Accent1 2 2" xfId="1993"/>
    <cellStyle name="60% - Accent1 2 2 2" xfId="1994"/>
    <cellStyle name="60% - Accent1 2 2 2 2" xfId="1995"/>
    <cellStyle name="60% - Accent1 2 2 2 2 2" xfId="1996"/>
    <cellStyle name="60% - Accent1 2 2 2 3" xfId="1997"/>
    <cellStyle name="60% - Accent1 2 2 2 4" xfId="1998"/>
    <cellStyle name="60% - Accent1 2 2 3" xfId="1999"/>
    <cellStyle name="60% - Accent1 2 2 3 2" xfId="2000"/>
    <cellStyle name="60% - Accent1 2 2 3 2 2" xfId="2001"/>
    <cellStyle name="60% - Accent1 2 2 4" xfId="2002"/>
    <cellStyle name="60% - Accent1 2 2 5" xfId="2003"/>
    <cellStyle name="60% - Accent1 2 2 6" xfId="2004"/>
    <cellStyle name="60% - Accent1 2 2 6 2" xfId="2005"/>
    <cellStyle name="60% - Accent1 2 3" xfId="2006"/>
    <cellStyle name="60% - Accent1 2 4" xfId="2007"/>
    <cellStyle name="60% - Accent1 2 4 2" xfId="2008"/>
    <cellStyle name="60% - Accent1 2 4 2 2" xfId="2009"/>
    <cellStyle name="60% - Accent1 2 5" xfId="2010"/>
    <cellStyle name="60% - Accent1 2 5 2" xfId="2011"/>
    <cellStyle name="60% - Accent1 2 5 2 2" xfId="2012"/>
    <cellStyle name="60% - Accent1 2 6" xfId="2013"/>
    <cellStyle name="60% - Accent1 2 7" xfId="2014"/>
    <cellStyle name="60% - Accent1 3" xfId="2015"/>
    <cellStyle name="60% - Accent1 3 2" xfId="2016"/>
    <cellStyle name="60% - Accent1 3 3" xfId="2017"/>
    <cellStyle name="60% - Accent1 4" xfId="2018"/>
    <cellStyle name="60% - Accent1 5" xfId="2019"/>
    <cellStyle name="60% - Accent1 6" xfId="2020"/>
    <cellStyle name="60% - Accent1 7" xfId="2021"/>
    <cellStyle name="60% - Accent2 2" xfId="2022"/>
    <cellStyle name="60% - Accent2 2 2" xfId="2023"/>
    <cellStyle name="60% - Accent2 2 2 2" xfId="2024"/>
    <cellStyle name="60% - Accent2 2 2 2 2" xfId="2025"/>
    <cellStyle name="60% - Accent2 2 2 2 2 2" xfId="2026"/>
    <cellStyle name="60% - Accent2 2 2 2 3" xfId="2027"/>
    <cellStyle name="60% - Accent2 2 2 2 4" xfId="2028"/>
    <cellStyle name="60% - Accent2 2 2 3" xfId="2029"/>
    <cellStyle name="60% - Accent2 2 2 3 2" xfId="2030"/>
    <cellStyle name="60% - Accent2 2 2 3 2 2" xfId="2031"/>
    <cellStyle name="60% - Accent2 2 2 4" xfId="2032"/>
    <cellStyle name="60% - Accent2 2 2 5" xfId="2033"/>
    <cellStyle name="60% - Accent2 2 2 6" xfId="2034"/>
    <cellStyle name="60% - Accent2 2 2 6 2" xfId="2035"/>
    <cellStyle name="60% - Accent2 2 3" xfId="2036"/>
    <cellStyle name="60% - Accent2 2 4" xfId="2037"/>
    <cellStyle name="60% - Accent2 2 4 2" xfId="2038"/>
    <cellStyle name="60% - Accent2 2 4 2 2" xfId="2039"/>
    <cellStyle name="60% - Accent2 2 5" xfId="2040"/>
    <cellStyle name="60% - Accent2 2 5 2" xfId="2041"/>
    <cellStyle name="60% - Accent2 2 5 2 2" xfId="2042"/>
    <cellStyle name="60% - Accent2 2 6" xfId="2043"/>
    <cellStyle name="60% - Accent2 2 7" xfId="2044"/>
    <cellStyle name="60% - Accent2 3" xfId="2045"/>
    <cellStyle name="60% - Accent2 3 2" xfId="2046"/>
    <cellStyle name="60% - Accent2 3 3" xfId="2047"/>
    <cellStyle name="60% - Accent2 4" xfId="2048"/>
    <cellStyle name="60% - Accent2 5" xfId="2049"/>
    <cellStyle name="60% - Accent2 6" xfId="2050"/>
    <cellStyle name="60% - Accent2 7" xfId="2051"/>
    <cellStyle name="60% - Accent3 2" xfId="2052"/>
    <cellStyle name="60% - Accent3 2 2" xfId="2053"/>
    <cellStyle name="60% - Accent3 2 2 2" xfId="2054"/>
    <cellStyle name="60% - Accent3 2 2 2 2" xfId="2055"/>
    <cellStyle name="60% - Accent3 2 2 2 2 2" xfId="2056"/>
    <cellStyle name="60% - Accent3 2 2 2 3" xfId="2057"/>
    <cellStyle name="60% - Accent3 2 2 2 4" xfId="2058"/>
    <cellStyle name="60% - Accent3 2 2 3" xfId="2059"/>
    <cellStyle name="60% - Accent3 2 2 3 2" xfId="2060"/>
    <cellStyle name="60% - Accent3 2 2 3 2 2" xfId="2061"/>
    <cellStyle name="60% - Accent3 2 2 4" xfId="2062"/>
    <cellStyle name="60% - Accent3 2 2 5" xfId="2063"/>
    <cellStyle name="60% - Accent3 2 2 6" xfId="2064"/>
    <cellStyle name="60% - Accent3 2 2 6 2" xfId="2065"/>
    <cellStyle name="60% - Accent3 2 3" xfId="2066"/>
    <cellStyle name="60% - Accent3 2 4" xfId="2067"/>
    <cellStyle name="60% - Accent3 2 4 2" xfId="2068"/>
    <cellStyle name="60% - Accent3 2 4 2 2" xfId="2069"/>
    <cellStyle name="60% - Accent3 2 5" xfId="2070"/>
    <cellStyle name="60% - Accent3 2 5 2" xfId="2071"/>
    <cellStyle name="60% - Accent3 2 5 2 2" xfId="2072"/>
    <cellStyle name="60% - Accent3 2 6" xfId="2073"/>
    <cellStyle name="60% - Accent3 2 7" xfId="2074"/>
    <cellStyle name="60% - Accent3 3" xfId="2075"/>
    <cellStyle name="60% - Accent3 3 2" xfId="2076"/>
    <cellStyle name="60% - Accent3 3 3" xfId="2077"/>
    <cellStyle name="60% - Accent3 4" xfId="2078"/>
    <cellStyle name="60% - Accent3 5" xfId="2079"/>
    <cellStyle name="60% - Accent3 6" xfId="2080"/>
    <cellStyle name="60% - Accent3 7" xfId="2081"/>
    <cellStyle name="60% - Accent4 2" xfId="2082"/>
    <cellStyle name="60% - Accent4 2 2" xfId="2083"/>
    <cellStyle name="60% - Accent4 2 2 2" xfId="2084"/>
    <cellStyle name="60% - Accent4 2 2 2 2" xfId="2085"/>
    <cellStyle name="60% - Accent4 2 2 2 2 2" xfId="2086"/>
    <cellStyle name="60% - Accent4 2 2 2 3" xfId="2087"/>
    <cellStyle name="60% - Accent4 2 2 2 4" xfId="2088"/>
    <cellStyle name="60% - Accent4 2 2 3" xfId="2089"/>
    <cellStyle name="60% - Accent4 2 2 3 2" xfId="2090"/>
    <cellStyle name="60% - Accent4 2 2 3 2 2" xfId="2091"/>
    <cellStyle name="60% - Accent4 2 2 4" xfId="2092"/>
    <cellStyle name="60% - Accent4 2 2 5" xfId="2093"/>
    <cellStyle name="60% - Accent4 2 2 6" xfId="2094"/>
    <cellStyle name="60% - Accent4 2 2 6 2" xfId="2095"/>
    <cellStyle name="60% - Accent4 2 3" xfId="2096"/>
    <cellStyle name="60% - Accent4 2 4" xfId="2097"/>
    <cellStyle name="60% - Accent4 2 4 2" xfId="2098"/>
    <cellStyle name="60% - Accent4 2 4 2 2" xfId="2099"/>
    <cellStyle name="60% - Accent4 2 5" xfId="2100"/>
    <cellStyle name="60% - Accent4 2 5 2" xfId="2101"/>
    <cellStyle name="60% - Accent4 2 5 2 2" xfId="2102"/>
    <cellStyle name="60% - Accent4 2 6" xfId="2103"/>
    <cellStyle name="60% - Accent4 2 7" xfId="2104"/>
    <cellStyle name="60% - Accent4 3" xfId="2105"/>
    <cellStyle name="60% - Accent4 3 2" xfId="2106"/>
    <cellStyle name="60% - Accent4 3 3" xfId="2107"/>
    <cellStyle name="60% - Accent4 4" xfId="2108"/>
    <cellStyle name="60% - Accent4 5" xfId="2109"/>
    <cellStyle name="60% - Accent4 6" xfId="2110"/>
    <cellStyle name="60% - Accent4 7" xfId="2111"/>
    <cellStyle name="60% - Accent5 2" xfId="2112"/>
    <cellStyle name="60% - Accent5 2 2" xfId="2113"/>
    <cellStyle name="60% - Accent5 2 2 2" xfId="2114"/>
    <cellStyle name="60% - Accent5 2 2 2 2" xfId="2115"/>
    <cellStyle name="60% - Accent5 2 2 2 2 2" xfId="2116"/>
    <cellStyle name="60% - Accent5 2 2 2 3" xfId="2117"/>
    <cellStyle name="60% - Accent5 2 2 2 4" xfId="2118"/>
    <cellStyle name="60% - Accent5 2 2 3" xfId="2119"/>
    <cellStyle name="60% - Accent5 2 2 3 2" xfId="2120"/>
    <cellStyle name="60% - Accent5 2 2 3 2 2" xfId="2121"/>
    <cellStyle name="60% - Accent5 2 2 4" xfId="2122"/>
    <cellStyle name="60% - Accent5 2 2 5" xfId="2123"/>
    <cellStyle name="60% - Accent5 2 2 6" xfId="2124"/>
    <cellStyle name="60% - Accent5 2 2 6 2" xfId="2125"/>
    <cellStyle name="60% - Accent5 2 3" xfId="2126"/>
    <cellStyle name="60% - Accent5 2 4" xfId="2127"/>
    <cellStyle name="60% - Accent5 2 4 2" xfId="2128"/>
    <cellStyle name="60% - Accent5 2 4 2 2" xfId="2129"/>
    <cellStyle name="60% - Accent5 2 5" xfId="2130"/>
    <cellStyle name="60% - Accent5 2 5 2" xfId="2131"/>
    <cellStyle name="60% - Accent5 2 5 2 2" xfId="2132"/>
    <cellStyle name="60% - Accent5 2 6" xfId="2133"/>
    <cellStyle name="60% - Accent5 2 7" xfId="2134"/>
    <cellStyle name="60% - Accent5 3" xfId="2135"/>
    <cellStyle name="60% - Accent5 3 2" xfId="2136"/>
    <cellStyle name="60% - Accent5 3 3" xfId="2137"/>
    <cellStyle name="60% - Accent5 4" xfId="2138"/>
    <cellStyle name="60% - Accent5 5" xfId="2139"/>
    <cellStyle name="60% - Accent5 6" xfId="2140"/>
    <cellStyle name="60% - Accent5 7" xfId="2141"/>
    <cellStyle name="60% - Accent6 2" xfId="2142"/>
    <cellStyle name="60% - Accent6 2 2" xfId="2143"/>
    <cellStyle name="60% - Accent6 2 2 2" xfId="2144"/>
    <cellStyle name="60% - Accent6 2 2 2 2" xfId="2145"/>
    <cellStyle name="60% - Accent6 2 2 2 2 2" xfId="2146"/>
    <cellStyle name="60% - Accent6 2 2 2 3" xfId="2147"/>
    <cellStyle name="60% - Accent6 2 2 2 4" xfId="2148"/>
    <cellStyle name="60% - Accent6 2 2 3" xfId="2149"/>
    <cellStyle name="60% - Accent6 2 2 3 2" xfId="2150"/>
    <cellStyle name="60% - Accent6 2 2 3 2 2" xfId="2151"/>
    <cellStyle name="60% - Accent6 2 2 4" xfId="2152"/>
    <cellStyle name="60% - Accent6 2 2 5" xfId="2153"/>
    <cellStyle name="60% - Accent6 2 2 6" xfId="2154"/>
    <cellStyle name="60% - Accent6 2 2 6 2" xfId="2155"/>
    <cellStyle name="60% - Accent6 2 3" xfId="2156"/>
    <cellStyle name="60% - Accent6 2 4" xfId="2157"/>
    <cellStyle name="60% - Accent6 2 4 2" xfId="2158"/>
    <cellStyle name="60% - Accent6 2 4 2 2" xfId="2159"/>
    <cellStyle name="60% - Accent6 2 5" xfId="2160"/>
    <cellStyle name="60% - Accent6 2 5 2" xfId="2161"/>
    <cellStyle name="60% - Accent6 2 5 2 2" xfId="2162"/>
    <cellStyle name="60% - Accent6 2 6" xfId="2163"/>
    <cellStyle name="60% - Accent6 2 7" xfId="2164"/>
    <cellStyle name="60% - Accent6 3" xfId="2165"/>
    <cellStyle name="60% - Accent6 3 2" xfId="2166"/>
    <cellStyle name="60% - Accent6 3 3" xfId="2167"/>
    <cellStyle name="60% - Accent6 4" xfId="2168"/>
    <cellStyle name="60% - Accent6 5" xfId="2169"/>
    <cellStyle name="60% - Accent6 6" xfId="2170"/>
    <cellStyle name="60% - Accent6 7" xfId="2171"/>
    <cellStyle name="aaa" xfId="2172"/>
    <cellStyle name="Accent1 - 20%" xfId="2173"/>
    <cellStyle name="Accent1 - 20% 2" xfId="2174"/>
    <cellStyle name="Accent1 - 40%" xfId="2175"/>
    <cellStyle name="Accent1 - 40% 2" xfId="2176"/>
    <cellStyle name="Accent1 - 60%" xfId="2177"/>
    <cellStyle name="Accent1 2" xfId="2178"/>
    <cellStyle name="Accent1 2 2" xfId="2179"/>
    <cellStyle name="Accent1 2 2 2" xfId="2180"/>
    <cellStyle name="Accent1 2 2 2 2" xfId="2181"/>
    <cellStyle name="Accent1 2 2 2 2 2" xfId="2182"/>
    <cellStyle name="Accent1 2 2 2 3" xfId="2183"/>
    <cellStyle name="Accent1 2 2 2 4" xfId="2184"/>
    <cellStyle name="Accent1 2 2 3" xfId="2185"/>
    <cellStyle name="Accent1 2 2 3 2" xfId="2186"/>
    <cellStyle name="Accent1 2 2 3 2 2" xfId="2187"/>
    <cellStyle name="Accent1 2 2 4" xfId="2188"/>
    <cellStyle name="Accent1 2 2 5" xfId="2189"/>
    <cellStyle name="Accent1 2 2 6" xfId="2190"/>
    <cellStyle name="Accent1 2 2 6 2" xfId="2191"/>
    <cellStyle name="Accent1 2 3" xfId="2192"/>
    <cellStyle name="Accent1 2 4" xfId="2193"/>
    <cellStyle name="Accent1 2 4 2" xfId="2194"/>
    <cellStyle name="Accent1 2 4 2 2" xfId="2195"/>
    <cellStyle name="Accent1 2 5" xfId="2196"/>
    <cellStyle name="Accent1 2 5 2" xfId="2197"/>
    <cellStyle name="Accent1 2 5 2 2" xfId="2198"/>
    <cellStyle name="Accent1 2 6" xfId="2199"/>
    <cellStyle name="Accent1 2 7" xfId="2200"/>
    <cellStyle name="Accent1 3" xfId="2201"/>
    <cellStyle name="Accent1 3 2" xfId="2202"/>
    <cellStyle name="Accent1 3 3" xfId="2203"/>
    <cellStyle name="Accent1 4" xfId="2204"/>
    <cellStyle name="Accent1 5" xfId="2205"/>
    <cellStyle name="Accent1 6" xfId="2206"/>
    <cellStyle name="Accent1 7" xfId="2207"/>
    <cellStyle name="Accent2 - 20%" xfId="2208"/>
    <cellStyle name="Accent2 - 20% 2" xfId="2209"/>
    <cellStyle name="Accent2 - 40%" xfId="2210"/>
    <cellStyle name="Accent2 - 40% 2" xfId="2211"/>
    <cellStyle name="Accent2 - 60%" xfId="2212"/>
    <cellStyle name="Accent2 2" xfId="2213"/>
    <cellStyle name="Accent2 2 2" xfId="2214"/>
    <cellStyle name="Accent2 2 2 2" xfId="2215"/>
    <cellStyle name="Accent2 2 2 2 2" xfId="2216"/>
    <cellStyle name="Accent2 2 2 2 2 2" xfId="2217"/>
    <cellStyle name="Accent2 2 2 2 3" xfId="2218"/>
    <cellStyle name="Accent2 2 2 2 4" xfId="2219"/>
    <cellStyle name="Accent2 2 2 3" xfId="2220"/>
    <cellStyle name="Accent2 2 2 3 2" xfId="2221"/>
    <cellStyle name="Accent2 2 2 3 2 2" xfId="2222"/>
    <cellStyle name="Accent2 2 2 4" xfId="2223"/>
    <cellStyle name="Accent2 2 2 5" xfId="2224"/>
    <cellStyle name="Accent2 2 2 6" xfId="2225"/>
    <cellStyle name="Accent2 2 2 6 2" xfId="2226"/>
    <cellStyle name="Accent2 2 3" xfId="2227"/>
    <cellStyle name="Accent2 2 4" xfId="2228"/>
    <cellStyle name="Accent2 2 4 2" xfId="2229"/>
    <cellStyle name="Accent2 2 4 2 2" xfId="2230"/>
    <cellStyle name="Accent2 2 5" xfId="2231"/>
    <cellStyle name="Accent2 2 5 2" xfId="2232"/>
    <cellStyle name="Accent2 2 5 2 2" xfId="2233"/>
    <cellStyle name="Accent2 2 6" xfId="2234"/>
    <cellStyle name="Accent2 2 7" xfId="2235"/>
    <cellStyle name="Accent2 3" xfId="2236"/>
    <cellStyle name="Accent2 3 2" xfId="2237"/>
    <cellStyle name="Accent2 3 3" xfId="2238"/>
    <cellStyle name="Accent2 4" xfId="2239"/>
    <cellStyle name="Accent2 5" xfId="2240"/>
    <cellStyle name="Accent2 6" xfId="2241"/>
    <cellStyle name="Accent2 7" xfId="2242"/>
    <cellStyle name="Accent3 - 20%" xfId="2243"/>
    <cellStyle name="Accent3 - 20% 2" xfId="2244"/>
    <cellStyle name="Accent3 - 40%" xfId="2245"/>
    <cellStyle name="Accent3 - 40% 2" xfId="2246"/>
    <cellStyle name="Accent3 - 60%" xfId="2247"/>
    <cellStyle name="Accent3 2" xfId="2248"/>
    <cellStyle name="Accent3 2 2" xfId="2249"/>
    <cellStyle name="Accent3 2 2 2" xfId="2250"/>
    <cellStyle name="Accent3 2 2 2 2" xfId="2251"/>
    <cellStyle name="Accent3 2 2 2 2 2" xfId="2252"/>
    <cellStyle name="Accent3 2 2 2 3" xfId="2253"/>
    <cellStyle name="Accent3 2 2 2 4" xfId="2254"/>
    <cellStyle name="Accent3 2 2 3" xfId="2255"/>
    <cellStyle name="Accent3 2 2 3 2" xfId="2256"/>
    <cellStyle name="Accent3 2 2 3 2 2" xfId="2257"/>
    <cellStyle name="Accent3 2 2 4" xfId="2258"/>
    <cellStyle name="Accent3 2 2 5" xfId="2259"/>
    <cellStyle name="Accent3 2 2 6" xfId="2260"/>
    <cellStyle name="Accent3 2 2 6 2" xfId="2261"/>
    <cellStyle name="Accent3 2 3" xfId="2262"/>
    <cellStyle name="Accent3 2 4" xfId="2263"/>
    <cellStyle name="Accent3 2 4 2" xfId="2264"/>
    <cellStyle name="Accent3 2 4 2 2" xfId="2265"/>
    <cellStyle name="Accent3 2 5" xfId="2266"/>
    <cellStyle name="Accent3 2 5 2" xfId="2267"/>
    <cellStyle name="Accent3 2 5 2 2" xfId="2268"/>
    <cellStyle name="Accent3 2 6" xfId="2269"/>
    <cellStyle name="Accent3 2 7" xfId="2270"/>
    <cellStyle name="Accent3 3" xfId="2271"/>
    <cellStyle name="Accent3 3 2" xfId="2272"/>
    <cellStyle name="Accent3 3 3" xfId="2273"/>
    <cellStyle name="Accent3 4" xfId="2274"/>
    <cellStyle name="Accent3 5" xfId="2275"/>
    <cellStyle name="Accent3 6" xfId="2276"/>
    <cellStyle name="Accent3 7" xfId="2277"/>
    <cellStyle name="Accent4 - 20%" xfId="2278"/>
    <cellStyle name="Accent4 - 20% 2" xfId="2279"/>
    <cellStyle name="Accent4 - 40%" xfId="2280"/>
    <cellStyle name="Accent4 - 40% 2" xfId="2281"/>
    <cellStyle name="Accent4 - 60%" xfId="2282"/>
    <cellStyle name="Accent4 2" xfId="2283"/>
    <cellStyle name="Accent4 2 2" xfId="2284"/>
    <cellStyle name="Accent4 2 2 2" xfId="2285"/>
    <cellStyle name="Accent4 2 2 2 2" xfId="2286"/>
    <cellStyle name="Accent4 2 2 2 2 2" xfId="2287"/>
    <cellStyle name="Accent4 2 2 2 3" xfId="2288"/>
    <cellStyle name="Accent4 2 2 2 4" xfId="2289"/>
    <cellStyle name="Accent4 2 2 3" xfId="2290"/>
    <cellStyle name="Accent4 2 2 3 2" xfId="2291"/>
    <cellStyle name="Accent4 2 2 3 2 2" xfId="2292"/>
    <cellStyle name="Accent4 2 2 4" xfId="2293"/>
    <cellStyle name="Accent4 2 2 5" xfId="2294"/>
    <cellStyle name="Accent4 2 2 6" xfId="2295"/>
    <cellStyle name="Accent4 2 2 6 2" xfId="2296"/>
    <cellStyle name="Accent4 2 3" xfId="2297"/>
    <cellStyle name="Accent4 2 4" xfId="2298"/>
    <cellStyle name="Accent4 2 4 2" xfId="2299"/>
    <cellStyle name="Accent4 2 4 2 2" xfId="2300"/>
    <cellStyle name="Accent4 2 5" xfId="2301"/>
    <cellStyle name="Accent4 2 5 2" xfId="2302"/>
    <cellStyle name="Accent4 2 5 2 2" xfId="2303"/>
    <cellStyle name="Accent4 2 6" xfId="2304"/>
    <cellStyle name="Accent4 2 7" xfId="2305"/>
    <cellStyle name="Accent4 3" xfId="2306"/>
    <cellStyle name="Accent4 3 2" xfId="2307"/>
    <cellStyle name="Accent4 3 3" xfId="2308"/>
    <cellStyle name="Accent4 4" xfId="2309"/>
    <cellStyle name="Accent4 5" xfId="2310"/>
    <cellStyle name="Accent4 6" xfId="2311"/>
    <cellStyle name="Accent4 7" xfId="2312"/>
    <cellStyle name="Accent5 - 20%" xfId="2313"/>
    <cellStyle name="Accent5 - 20% 2" xfId="2314"/>
    <cellStyle name="Accent5 - 40%" xfId="2315"/>
    <cellStyle name="Accent5 - 40% 2" xfId="2316"/>
    <cellStyle name="Accent5 - 60%" xfId="2317"/>
    <cellStyle name="Accent5 2" xfId="2318"/>
    <cellStyle name="Accent5 2 2" xfId="2319"/>
    <cellStyle name="Accent5 2 2 2" xfId="2320"/>
    <cellStyle name="Accent5 2 2 2 2" xfId="2321"/>
    <cellStyle name="Accent5 2 2 2 2 2" xfId="2322"/>
    <cellStyle name="Accent5 2 2 2 3" xfId="2323"/>
    <cellStyle name="Accent5 2 2 2 4" xfId="2324"/>
    <cellStyle name="Accent5 2 2 3" xfId="2325"/>
    <cellStyle name="Accent5 2 2 3 2" xfId="2326"/>
    <cellStyle name="Accent5 2 2 3 2 2" xfId="2327"/>
    <cellStyle name="Accent5 2 2 4" xfId="2328"/>
    <cellStyle name="Accent5 2 2 5" xfId="2329"/>
    <cellStyle name="Accent5 2 2 6" xfId="2330"/>
    <cellStyle name="Accent5 2 2 6 2" xfId="2331"/>
    <cellStyle name="Accent5 2 3" xfId="2332"/>
    <cellStyle name="Accent5 2 4" xfId="2333"/>
    <cellStyle name="Accent5 2 4 2" xfId="2334"/>
    <cellStyle name="Accent5 2 4 2 2" xfId="2335"/>
    <cellStyle name="Accent5 2 5" xfId="2336"/>
    <cellStyle name="Accent5 2 5 2" xfId="2337"/>
    <cellStyle name="Accent5 2 5 2 2" xfId="2338"/>
    <cellStyle name="Accent5 2 6" xfId="2339"/>
    <cellStyle name="Accent5 2 7" xfId="2340"/>
    <cellStyle name="Accent5 3" xfId="2341"/>
    <cellStyle name="Accent5 3 2" xfId="2342"/>
    <cellStyle name="Accent5 3 3" xfId="2343"/>
    <cellStyle name="Accent5 4" xfId="2344"/>
    <cellStyle name="Accent5 5" xfId="2345"/>
    <cellStyle name="Accent5 6" xfId="2346"/>
    <cellStyle name="Accent5 7" xfId="2347"/>
    <cellStyle name="Accent6 - 20%" xfId="2348"/>
    <cellStyle name="Accent6 - 20% 2" xfId="2349"/>
    <cellStyle name="Accent6 - 40%" xfId="2350"/>
    <cellStyle name="Accent6 - 40% 2" xfId="2351"/>
    <cellStyle name="Accent6 - 60%" xfId="2352"/>
    <cellStyle name="Accent6 2" xfId="2353"/>
    <cellStyle name="Accent6 2 2" xfId="2354"/>
    <cellStyle name="Accent6 2 2 2" xfId="2355"/>
    <cellStyle name="Accent6 2 2 2 2" xfId="2356"/>
    <cellStyle name="Accent6 2 2 2 2 2" xfId="2357"/>
    <cellStyle name="Accent6 2 2 2 3" xfId="2358"/>
    <cellStyle name="Accent6 2 2 2 4" xfId="2359"/>
    <cellStyle name="Accent6 2 2 3" xfId="2360"/>
    <cellStyle name="Accent6 2 2 3 2" xfId="2361"/>
    <cellStyle name="Accent6 2 2 3 2 2" xfId="2362"/>
    <cellStyle name="Accent6 2 2 4" xfId="2363"/>
    <cellStyle name="Accent6 2 2 5" xfId="2364"/>
    <cellStyle name="Accent6 2 2 6" xfId="2365"/>
    <cellStyle name="Accent6 2 2 6 2" xfId="2366"/>
    <cellStyle name="Accent6 2 3" xfId="2367"/>
    <cellStyle name="Accent6 2 4" xfId="2368"/>
    <cellStyle name="Accent6 2 4 2" xfId="2369"/>
    <cellStyle name="Accent6 2 4 2 2" xfId="2370"/>
    <cellStyle name="Accent6 2 5" xfId="2371"/>
    <cellStyle name="Accent6 2 5 2" xfId="2372"/>
    <cellStyle name="Accent6 2 5 2 2" xfId="2373"/>
    <cellStyle name="Accent6 2 6" xfId="2374"/>
    <cellStyle name="Accent6 2 7" xfId="2375"/>
    <cellStyle name="Accent6 3" xfId="2376"/>
    <cellStyle name="Accent6 3 2" xfId="2377"/>
    <cellStyle name="Accent6 3 3" xfId="2378"/>
    <cellStyle name="Accent6 4" xfId="2379"/>
    <cellStyle name="Accent6 5" xfId="2380"/>
    <cellStyle name="Accent6 6" xfId="2381"/>
    <cellStyle name="Accent6 7" xfId="2382"/>
    <cellStyle name="Acrual" xfId="2383"/>
    <cellStyle name="Actual" xfId="2384"/>
    <cellStyle name="Actual Date" xfId="2385"/>
    <cellStyle name="ÅëÈ­ [0]_±âÅ¸" xfId="2386"/>
    <cellStyle name="ÅëÈ­_±âÅ¸" xfId="2387"/>
    <cellStyle name="AFE" xfId="2388"/>
    <cellStyle name="Allign center" xfId="2389"/>
    <cellStyle name="alternate" xfId="2390"/>
    <cellStyle name="Ancillary" xfId="2391"/>
    <cellStyle name="Anos" xfId="2392"/>
    <cellStyle name="Array" xfId="2393"/>
    <cellStyle name="ÄÞ¸¶ [0]_±âÅ¸" xfId="2394"/>
    <cellStyle name="ÄÞ¸¶_±âÅ¸" xfId="2395"/>
    <cellStyle name="Bad 2" xfId="2396"/>
    <cellStyle name="Bad 2 10" xfId="2397"/>
    <cellStyle name="Bad 2 11" xfId="2398"/>
    <cellStyle name="Bad 2 12" xfId="2399"/>
    <cellStyle name="Bad 2 13" xfId="2400"/>
    <cellStyle name="Bad 2 14" xfId="2401"/>
    <cellStyle name="Bad 2 15" xfId="2402"/>
    <cellStyle name="Bad 2 16" xfId="2403"/>
    <cellStyle name="Bad 2 17" xfId="2404"/>
    <cellStyle name="Bad 2 18" xfId="2405"/>
    <cellStyle name="Bad 2 19" xfId="2406"/>
    <cellStyle name="Bad 2 2" xfId="2407"/>
    <cellStyle name="Bad 2 2 2" xfId="2408"/>
    <cellStyle name="Bad 2 2 2 2" xfId="2409"/>
    <cellStyle name="Bad 2 2 2 2 2" xfId="2410"/>
    <cellStyle name="Bad 2 2 2 3" xfId="2411"/>
    <cellStyle name="Bad 2 2 2 4" xfId="2412"/>
    <cellStyle name="Bad 2 2 3" xfId="2413"/>
    <cellStyle name="Bad 2 2 3 2" xfId="2414"/>
    <cellStyle name="Bad 2 2 3 2 2" xfId="2415"/>
    <cellStyle name="Bad 2 2 4" xfId="2416"/>
    <cellStyle name="Bad 2 2 5" xfId="2417"/>
    <cellStyle name="Bad 2 2 6" xfId="2418"/>
    <cellStyle name="Bad 2 2 6 2" xfId="2419"/>
    <cellStyle name="Bad 2 20" xfId="2420"/>
    <cellStyle name="Bad 2 21" xfId="2421"/>
    <cellStyle name="Bad 2 22" xfId="2422"/>
    <cellStyle name="Bad 2 23" xfId="2423"/>
    <cellStyle name="Bad 2 24" xfId="2424"/>
    <cellStyle name="Bad 2 25" xfId="2425"/>
    <cellStyle name="Bad 2 26" xfId="2426"/>
    <cellStyle name="Bad 2 27" xfId="2427"/>
    <cellStyle name="Bad 2 28" xfId="2428"/>
    <cellStyle name="Bad 2 29" xfId="2429"/>
    <cellStyle name="Bad 2 3" xfId="2430"/>
    <cellStyle name="Bad 2 30" xfId="2431"/>
    <cellStyle name="Bad 2 31" xfId="2432"/>
    <cellStyle name="Bad 2 32" xfId="2433"/>
    <cellStyle name="Bad 2 33" xfId="2434"/>
    <cellStyle name="Bad 2 34" xfId="2435"/>
    <cellStyle name="Bad 2 35" xfId="2436"/>
    <cellStyle name="Bad 2 36" xfId="2437"/>
    <cellStyle name="Bad 2 37" xfId="2438"/>
    <cellStyle name="Bad 2 38" xfId="2439"/>
    <cellStyle name="Bad 2 39" xfId="2440"/>
    <cellStyle name="Bad 2 4" xfId="2441"/>
    <cellStyle name="Bad 2 4 2" xfId="2442"/>
    <cellStyle name="Bad 2 4 2 2" xfId="2443"/>
    <cellStyle name="Bad 2 40" xfId="2444"/>
    <cellStyle name="Bad 2 41" xfId="2445"/>
    <cellStyle name="Bad 2 42" xfId="2446"/>
    <cellStyle name="Bad 2 43" xfId="2447"/>
    <cellStyle name="Bad 2 44" xfId="2448"/>
    <cellStyle name="Bad 2 45" xfId="2449"/>
    <cellStyle name="Bad 2 46" xfId="2450"/>
    <cellStyle name="Bad 2 47" xfId="2451"/>
    <cellStyle name="Bad 2 48" xfId="2452"/>
    <cellStyle name="Bad 2 49" xfId="2453"/>
    <cellStyle name="Bad 2 5" xfId="2454"/>
    <cellStyle name="Bad 2 5 2" xfId="2455"/>
    <cellStyle name="Bad 2 5 2 2" xfId="2456"/>
    <cellStyle name="Bad 2 50" xfId="2457"/>
    <cellStyle name="Bad 2 51" xfId="2458"/>
    <cellStyle name="Bad 2 52" xfId="2459"/>
    <cellStyle name="Bad 2 53" xfId="2460"/>
    <cellStyle name="Bad 2 54" xfId="2461"/>
    <cellStyle name="Bad 2 55" xfId="2462"/>
    <cellStyle name="Bad 2 56" xfId="2463"/>
    <cellStyle name="Bad 2 57" xfId="2464"/>
    <cellStyle name="Bad 2 58" xfId="2465"/>
    <cellStyle name="Bad 2 59" xfId="2466"/>
    <cellStyle name="Bad 2 6" xfId="2467"/>
    <cellStyle name="Bad 2 60" xfId="2468"/>
    <cellStyle name="Bad 2 61" xfId="2469"/>
    <cellStyle name="Bad 2 62" xfId="2470"/>
    <cellStyle name="Bad 2 63" xfId="2471"/>
    <cellStyle name="Bad 2 7" xfId="2472"/>
    <cellStyle name="Bad 2 8" xfId="2473"/>
    <cellStyle name="Bad 2 9" xfId="2474"/>
    <cellStyle name="Bad 3" xfId="2475"/>
    <cellStyle name="Bad 3 10" xfId="2476"/>
    <cellStyle name="Bad 3 11" xfId="2477"/>
    <cellStyle name="Bad 3 12" xfId="2478"/>
    <cellStyle name="Bad 3 13" xfId="2479"/>
    <cellStyle name="Bad 3 14" xfId="2480"/>
    <cellStyle name="Bad 3 2" xfId="2481"/>
    <cellStyle name="Bad 3 3" xfId="2482"/>
    <cellStyle name="Bad 3 4" xfId="2483"/>
    <cellStyle name="Bad 3 5" xfId="2484"/>
    <cellStyle name="Bad 3 6" xfId="2485"/>
    <cellStyle name="Bad 3 7" xfId="2486"/>
    <cellStyle name="Bad 3 8" xfId="2487"/>
    <cellStyle name="Bad 3 9" xfId="2488"/>
    <cellStyle name="Bad 4" xfId="2489"/>
    <cellStyle name="Bad 4 2" xfId="2490"/>
    <cellStyle name="Bad 4 3" xfId="2491"/>
    <cellStyle name="Bad 5" xfId="2492"/>
    <cellStyle name="Bad 6" xfId="2493"/>
    <cellStyle name="Bad 7" xfId="2494"/>
    <cellStyle name="Bad 8" xfId="2495"/>
    <cellStyle name="Band 1" xfId="2496"/>
    <cellStyle name="Band 2" xfId="2497"/>
    <cellStyle name="billion" xfId="2498"/>
    <cellStyle name="blank" xfId="2499"/>
    <cellStyle name="BlankCellReferenced" xfId="2500"/>
    <cellStyle name="BlankCellReferenced 2" xfId="6116"/>
    <cellStyle name="blue axis cells" xfId="2501"/>
    <cellStyle name="Blue Percent" xfId="2502"/>
    <cellStyle name="blue text cells" xfId="2503"/>
    <cellStyle name="BMHeading" xfId="2504"/>
    <cellStyle name="BMPercent" xfId="2505"/>
    <cellStyle name="Body" xfId="2506"/>
    <cellStyle name="Bold/Border" xfId="2507"/>
    <cellStyle name="BooleanYorN" xfId="2508"/>
    <cellStyle name="bp--" xfId="2509"/>
    <cellStyle name="brakcomma" xfId="2510"/>
    <cellStyle name="Brand Default" xfId="2511"/>
    <cellStyle name="Brand Source" xfId="2512"/>
    <cellStyle name="Brand Subtitle with Underline" xfId="2513"/>
    <cellStyle name="Brand Title" xfId="2514"/>
    <cellStyle name="Bullet" xfId="2515"/>
    <cellStyle name="c" xfId="2516"/>
    <cellStyle name="c_Bal Sheets" xfId="2517"/>
    <cellStyle name="c_Credit (2)" xfId="2518"/>
    <cellStyle name="c_Earnings" xfId="2519"/>
    <cellStyle name="c_Earnings (2)" xfId="2520"/>
    <cellStyle name="c_finsumm" xfId="2521"/>
    <cellStyle name="c_GoroWipTax-to2050_fromCo_Oct21_99" xfId="2522"/>
    <cellStyle name="c_HardInc " xfId="2523"/>
    <cellStyle name="c_Hist Inputs (2)" xfId="2524"/>
    <cellStyle name="c_IEL_finsumm" xfId="2525"/>
    <cellStyle name="c_IEL_finsumm1" xfId="2526"/>
    <cellStyle name="c_LBO Summary" xfId="2527"/>
    <cellStyle name="c_Schedules" xfId="2528"/>
    <cellStyle name="c_Trans Assump (2)" xfId="2529"/>
    <cellStyle name="c_Unit Price Sen. (2)" xfId="2530"/>
    <cellStyle name="Ç¥ÁØ_¿ù°£¿ä¾àº¸°í" xfId="2531"/>
    <cellStyle name="CALC Amount" xfId="2532"/>
    <cellStyle name="CALC Amount [1]" xfId="2533"/>
    <cellStyle name="CALC Amount [2]" xfId="2534"/>
    <cellStyle name="CALC Amount Total" xfId="2535"/>
    <cellStyle name="CALC Amount Total [1]" xfId="2536"/>
    <cellStyle name="CALC Amount Total [1] 2" xfId="2537"/>
    <cellStyle name="CALC Amount Total [2]" xfId="2538"/>
    <cellStyle name="CALC Amount Total [2] 2" xfId="2539"/>
    <cellStyle name="CALC Amount Total 2" xfId="2540"/>
    <cellStyle name="CALC Currency" xfId="2541"/>
    <cellStyle name="Calc Currency (0)" xfId="2542"/>
    <cellStyle name="CALC Currency [1]" xfId="2543"/>
    <cellStyle name="CALC Currency [2]" xfId="2544"/>
    <cellStyle name="CALC Currency Total" xfId="2545"/>
    <cellStyle name="CALC Currency Total [1]" xfId="2546"/>
    <cellStyle name="CALC Currency Total [1] 2" xfId="2547"/>
    <cellStyle name="CALC Currency Total [2]" xfId="2548"/>
    <cellStyle name="CALC Currency Total [2] 2" xfId="2549"/>
    <cellStyle name="CALC Currency Total 2" xfId="2550"/>
    <cellStyle name="CALC Date Long" xfId="2551"/>
    <cellStyle name="CALC Date Short" xfId="2552"/>
    <cellStyle name="CALC Percent" xfId="2553"/>
    <cellStyle name="CALC Percent [1]" xfId="2554"/>
    <cellStyle name="CALC Percent [2]" xfId="2555"/>
    <cellStyle name="CALC Percent Total" xfId="2556"/>
    <cellStyle name="CALC Percent Total [1]" xfId="2557"/>
    <cellStyle name="CALC Percent Total [1] 2" xfId="2558"/>
    <cellStyle name="CALC Percent Total [2]" xfId="2559"/>
    <cellStyle name="CALC Percent Total [2] 2" xfId="2560"/>
    <cellStyle name="CALC Percent Total 2" xfId="2561"/>
    <cellStyle name="Calc0" xfId="2562"/>
    <cellStyle name="Calc1" xfId="2563"/>
    <cellStyle name="Calc2" xfId="2564"/>
    <cellStyle name="Calc4" xfId="2565"/>
    <cellStyle name="CalcInput" xfId="2566"/>
    <cellStyle name="Calcs" xfId="2567"/>
    <cellStyle name="Calculation 2" xfId="2568"/>
    <cellStyle name="Calculation 2 10" xfId="2569"/>
    <cellStyle name="Calculation 2 10 2" xfId="6114"/>
    <cellStyle name="Calculation 2 11" xfId="2570"/>
    <cellStyle name="Calculation 2 11 2" xfId="6113"/>
    <cellStyle name="Calculation 2 12" xfId="2571"/>
    <cellStyle name="Calculation 2 12 2" xfId="6112"/>
    <cellStyle name="Calculation 2 13" xfId="2572"/>
    <cellStyle name="Calculation 2 13 2" xfId="6111"/>
    <cellStyle name="Calculation 2 14" xfId="2573"/>
    <cellStyle name="Calculation 2 14 2" xfId="6110"/>
    <cellStyle name="Calculation 2 15" xfId="2574"/>
    <cellStyle name="Calculation 2 15 2" xfId="6109"/>
    <cellStyle name="Calculation 2 16" xfId="2575"/>
    <cellStyle name="Calculation 2 16 2" xfId="6108"/>
    <cellStyle name="Calculation 2 17" xfId="2576"/>
    <cellStyle name="Calculation 2 17 2" xfId="6107"/>
    <cellStyle name="Calculation 2 18" xfId="2577"/>
    <cellStyle name="Calculation 2 18 2" xfId="6106"/>
    <cellStyle name="Calculation 2 19" xfId="2578"/>
    <cellStyle name="Calculation 2 19 2" xfId="6105"/>
    <cellStyle name="Calculation 2 2" xfId="2579"/>
    <cellStyle name="Calculation 2 2 10" xfId="2580"/>
    <cellStyle name="Calculation 2 2 10 2" xfId="6103"/>
    <cellStyle name="Calculation 2 2 11" xfId="2581"/>
    <cellStyle name="Calculation 2 2 11 2" xfId="6102"/>
    <cellStyle name="Calculation 2 2 12" xfId="2582"/>
    <cellStyle name="Calculation 2 2 12 2" xfId="6101"/>
    <cellStyle name="Calculation 2 2 13" xfId="2583"/>
    <cellStyle name="Calculation 2 2 13 2" xfId="6100"/>
    <cellStyle name="Calculation 2 2 14" xfId="2584"/>
    <cellStyle name="Calculation 2 2 14 2" xfId="6099"/>
    <cellStyle name="Calculation 2 2 15" xfId="2585"/>
    <cellStyle name="Calculation 2 2 15 2" xfId="6098"/>
    <cellStyle name="Calculation 2 2 16" xfId="2586"/>
    <cellStyle name="Calculation 2 2 16 2" xfId="6097"/>
    <cellStyle name="Calculation 2 2 17" xfId="2587"/>
    <cellStyle name="Calculation 2 2 17 2" xfId="6096"/>
    <cellStyle name="Calculation 2 2 18" xfId="2588"/>
    <cellStyle name="Calculation 2 2 18 2" xfId="6095"/>
    <cellStyle name="Calculation 2 2 19" xfId="2589"/>
    <cellStyle name="Calculation 2 2 19 2" xfId="6094"/>
    <cellStyle name="Calculation 2 2 2" xfId="2590"/>
    <cellStyle name="Calculation 2 2 2 2" xfId="6093"/>
    <cellStyle name="Calculation 2 2 20" xfId="2591"/>
    <cellStyle name="Calculation 2 2 20 2" xfId="6092"/>
    <cellStyle name="Calculation 2 2 21" xfId="2592"/>
    <cellStyle name="Calculation 2 2 21 2" xfId="6091"/>
    <cellStyle name="Calculation 2 2 22" xfId="2593"/>
    <cellStyle name="Calculation 2 2 22 2" xfId="6090"/>
    <cellStyle name="Calculation 2 2 23" xfId="2594"/>
    <cellStyle name="Calculation 2 2 23 2" xfId="6089"/>
    <cellStyle name="Calculation 2 2 24" xfId="2595"/>
    <cellStyle name="Calculation 2 2 24 2" xfId="6088"/>
    <cellStyle name="Calculation 2 2 25" xfId="2596"/>
    <cellStyle name="Calculation 2 2 25 2" xfId="6087"/>
    <cellStyle name="Calculation 2 2 26" xfId="2597"/>
    <cellStyle name="Calculation 2 2 26 2" xfId="6086"/>
    <cellStyle name="Calculation 2 2 27" xfId="2598"/>
    <cellStyle name="Calculation 2 2 27 2" xfId="6085"/>
    <cellStyle name="Calculation 2 2 28" xfId="2599"/>
    <cellStyle name="Calculation 2 2 28 2" xfId="6084"/>
    <cellStyle name="Calculation 2 2 29" xfId="2600"/>
    <cellStyle name="Calculation 2 2 29 2" xfId="6083"/>
    <cellStyle name="Calculation 2 2 3" xfId="2601"/>
    <cellStyle name="Calculation 2 2 3 2" xfId="6082"/>
    <cellStyle name="Calculation 2 2 30" xfId="2602"/>
    <cellStyle name="Calculation 2 2 30 2" xfId="6081"/>
    <cellStyle name="Calculation 2 2 31" xfId="2603"/>
    <cellStyle name="Calculation 2 2 31 2" xfId="6080"/>
    <cellStyle name="Calculation 2 2 32" xfId="2604"/>
    <cellStyle name="Calculation 2 2 32 2" xfId="6079"/>
    <cellStyle name="Calculation 2 2 33" xfId="6104"/>
    <cellStyle name="Calculation 2 2 4" xfId="2605"/>
    <cellStyle name="Calculation 2 2 4 2" xfId="6078"/>
    <cellStyle name="Calculation 2 2 5" xfId="2606"/>
    <cellStyle name="Calculation 2 2 5 2" xfId="6077"/>
    <cellStyle name="Calculation 2 2 6" xfId="2607"/>
    <cellStyle name="Calculation 2 2 6 2" xfId="6076"/>
    <cellStyle name="Calculation 2 2 7" xfId="2608"/>
    <cellStyle name="Calculation 2 2 7 2" xfId="6075"/>
    <cellStyle name="Calculation 2 2 8" xfId="2609"/>
    <cellStyle name="Calculation 2 2 8 2" xfId="6074"/>
    <cellStyle name="Calculation 2 2 9" xfId="2610"/>
    <cellStyle name="Calculation 2 2 9 2" xfId="6073"/>
    <cellStyle name="Calculation 2 20" xfId="2611"/>
    <cellStyle name="Calculation 2 20 2" xfId="6072"/>
    <cellStyle name="Calculation 2 21" xfId="2612"/>
    <cellStyle name="Calculation 2 21 2" xfId="6071"/>
    <cellStyle name="Calculation 2 22" xfId="2613"/>
    <cellStyle name="Calculation 2 22 2" xfId="6070"/>
    <cellStyle name="Calculation 2 23" xfId="2614"/>
    <cellStyle name="Calculation 2 23 2" xfId="6069"/>
    <cellStyle name="Calculation 2 24" xfId="2615"/>
    <cellStyle name="Calculation 2 24 2" xfId="6068"/>
    <cellStyle name="Calculation 2 25" xfId="2616"/>
    <cellStyle name="Calculation 2 25 2" xfId="6067"/>
    <cellStyle name="Calculation 2 26" xfId="2617"/>
    <cellStyle name="Calculation 2 26 2" xfId="6066"/>
    <cellStyle name="Calculation 2 27" xfId="2618"/>
    <cellStyle name="Calculation 2 27 2" xfId="6065"/>
    <cellStyle name="Calculation 2 28" xfId="2619"/>
    <cellStyle name="Calculation 2 28 2" xfId="6064"/>
    <cellStyle name="Calculation 2 29" xfId="2620"/>
    <cellStyle name="Calculation 2 29 2" xfId="6063"/>
    <cellStyle name="Calculation 2 3" xfId="2621"/>
    <cellStyle name="Calculation 2 3 10" xfId="2622"/>
    <cellStyle name="Calculation 2 3 10 2" xfId="6061"/>
    <cellStyle name="Calculation 2 3 11" xfId="2623"/>
    <cellStyle name="Calculation 2 3 11 2" xfId="6060"/>
    <cellStyle name="Calculation 2 3 12" xfId="2624"/>
    <cellStyle name="Calculation 2 3 12 2" xfId="6059"/>
    <cellStyle name="Calculation 2 3 13" xfId="2625"/>
    <cellStyle name="Calculation 2 3 13 2" xfId="6058"/>
    <cellStyle name="Calculation 2 3 14" xfId="2626"/>
    <cellStyle name="Calculation 2 3 14 2" xfId="6057"/>
    <cellStyle name="Calculation 2 3 15" xfId="2627"/>
    <cellStyle name="Calculation 2 3 15 2" xfId="6056"/>
    <cellStyle name="Calculation 2 3 16" xfId="2628"/>
    <cellStyle name="Calculation 2 3 16 2" xfId="6055"/>
    <cellStyle name="Calculation 2 3 17" xfId="2629"/>
    <cellStyle name="Calculation 2 3 17 2" xfId="6054"/>
    <cellStyle name="Calculation 2 3 18" xfId="2630"/>
    <cellStyle name="Calculation 2 3 18 2" xfId="6053"/>
    <cellStyle name="Calculation 2 3 19" xfId="2631"/>
    <cellStyle name="Calculation 2 3 19 2" xfId="6052"/>
    <cellStyle name="Calculation 2 3 2" xfId="2632"/>
    <cellStyle name="Calculation 2 3 2 2" xfId="6051"/>
    <cellStyle name="Calculation 2 3 20" xfId="2633"/>
    <cellStyle name="Calculation 2 3 20 2" xfId="6050"/>
    <cellStyle name="Calculation 2 3 21" xfId="2634"/>
    <cellStyle name="Calculation 2 3 21 2" xfId="6049"/>
    <cellStyle name="Calculation 2 3 22" xfId="2635"/>
    <cellStyle name="Calculation 2 3 22 2" xfId="6048"/>
    <cellStyle name="Calculation 2 3 23" xfId="2636"/>
    <cellStyle name="Calculation 2 3 23 2" xfId="6047"/>
    <cellStyle name="Calculation 2 3 24" xfId="2637"/>
    <cellStyle name="Calculation 2 3 24 2" xfId="6046"/>
    <cellStyle name="Calculation 2 3 25" xfId="2638"/>
    <cellStyle name="Calculation 2 3 25 2" xfId="6045"/>
    <cellStyle name="Calculation 2 3 26" xfId="2639"/>
    <cellStyle name="Calculation 2 3 26 2" xfId="6044"/>
    <cellStyle name="Calculation 2 3 27" xfId="2640"/>
    <cellStyle name="Calculation 2 3 27 2" xfId="6043"/>
    <cellStyle name="Calculation 2 3 28" xfId="2641"/>
    <cellStyle name="Calculation 2 3 28 2" xfId="6042"/>
    <cellStyle name="Calculation 2 3 29" xfId="2642"/>
    <cellStyle name="Calculation 2 3 29 2" xfId="6041"/>
    <cellStyle name="Calculation 2 3 3" xfId="2643"/>
    <cellStyle name="Calculation 2 3 3 2" xfId="6040"/>
    <cellStyle name="Calculation 2 3 30" xfId="2644"/>
    <cellStyle name="Calculation 2 3 30 2" xfId="6039"/>
    <cellStyle name="Calculation 2 3 31" xfId="2645"/>
    <cellStyle name="Calculation 2 3 31 2" xfId="6038"/>
    <cellStyle name="Calculation 2 3 32" xfId="2646"/>
    <cellStyle name="Calculation 2 3 32 2" xfId="6037"/>
    <cellStyle name="Calculation 2 3 33" xfId="6062"/>
    <cellStyle name="Calculation 2 3 4" xfId="2647"/>
    <cellStyle name="Calculation 2 3 4 2" xfId="6036"/>
    <cellStyle name="Calculation 2 3 5" xfId="2648"/>
    <cellStyle name="Calculation 2 3 5 2" xfId="6035"/>
    <cellStyle name="Calculation 2 3 6" xfId="2649"/>
    <cellStyle name="Calculation 2 3 6 2" xfId="6034"/>
    <cellStyle name="Calculation 2 3 7" xfId="2650"/>
    <cellStyle name="Calculation 2 3 7 2" xfId="6033"/>
    <cellStyle name="Calculation 2 3 8" xfId="2651"/>
    <cellStyle name="Calculation 2 3 8 2" xfId="6032"/>
    <cellStyle name="Calculation 2 3 9" xfId="2652"/>
    <cellStyle name="Calculation 2 3 9 2" xfId="6031"/>
    <cellStyle name="Calculation 2 30" xfId="2653"/>
    <cellStyle name="Calculation 2 30 2" xfId="6030"/>
    <cellStyle name="Calculation 2 31" xfId="2654"/>
    <cellStyle name="Calculation 2 31 2" xfId="6029"/>
    <cellStyle name="Calculation 2 32" xfId="2655"/>
    <cellStyle name="Calculation 2 32 2" xfId="6028"/>
    <cellStyle name="Calculation 2 33" xfId="2656"/>
    <cellStyle name="Calculation 2 33 2" xfId="6027"/>
    <cellStyle name="Calculation 2 34" xfId="2657"/>
    <cellStyle name="Calculation 2 34 2" xfId="6026"/>
    <cellStyle name="Calculation 2 35" xfId="2658"/>
    <cellStyle name="Calculation 2 35 2" xfId="6025"/>
    <cellStyle name="Calculation 2 36" xfId="2659"/>
    <cellStyle name="Calculation 2 36 2" xfId="6024"/>
    <cellStyle name="Calculation 2 37" xfId="6115"/>
    <cellStyle name="Calculation 2 4" xfId="2660"/>
    <cellStyle name="Calculation 2 4 10" xfId="2661"/>
    <cellStyle name="Calculation 2 4 10 2" xfId="6022"/>
    <cellStyle name="Calculation 2 4 11" xfId="2662"/>
    <cellStyle name="Calculation 2 4 11 2" xfId="6021"/>
    <cellStyle name="Calculation 2 4 12" xfId="2663"/>
    <cellStyle name="Calculation 2 4 12 2" xfId="6020"/>
    <cellStyle name="Calculation 2 4 13" xfId="2664"/>
    <cellStyle name="Calculation 2 4 13 2" xfId="6019"/>
    <cellStyle name="Calculation 2 4 14" xfId="2665"/>
    <cellStyle name="Calculation 2 4 14 2" xfId="6018"/>
    <cellStyle name="Calculation 2 4 15" xfId="2666"/>
    <cellStyle name="Calculation 2 4 15 2" xfId="6017"/>
    <cellStyle name="Calculation 2 4 16" xfId="2667"/>
    <cellStyle name="Calculation 2 4 16 2" xfId="6016"/>
    <cellStyle name="Calculation 2 4 17" xfId="2668"/>
    <cellStyle name="Calculation 2 4 17 2" xfId="6015"/>
    <cellStyle name="Calculation 2 4 18" xfId="2669"/>
    <cellStyle name="Calculation 2 4 18 2" xfId="6014"/>
    <cellStyle name="Calculation 2 4 19" xfId="2670"/>
    <cellStyle name="Calculation 2 4 19 2" xfId="6013"/>
    <cellStyle name="Calculation 2 4 2" xfId="2671"/>
    <cellStyle name="Calculation 2 4 2 2" xfId="6012"/>
    <cellStyle name="Calculation 2 4 20" xfId="2672"/>
    <cellStyle name="Calculation 2 4 20 2" xfId="6011"/>
    <cellStyle name="Calculation 2 4 21" xfId="2673"/>
    <cellStyle name="Calculation 2 4 21 2" xfId="6010"/>
    <cellStyle name="Calculation 2 4 22" xfId="2674"/>
    <cellStyle name="Calculation 2 4 22 2" xfId="6009"/>
    <cellStyle name="Calculation 2 4 23" xfId="2675"/>
    <cellStyle name="Calculation 2 4 23 2" xfId="6008"/>
    <cellStyle name="Calculation 2 4 24" xfId="2676"/>
    <cellStyle name="Calculation 2 4 24 2" xfId="6007"/>
    <cellStyle name="Calculation 2 4 25" xfId="2677"/>
    <cellStyle name="Calculation 2 4 25 2" xfId="6006"/>
    <cellStyle name="Calculation 2 4 26" xfId="2678"/>
    <cellStyle name="Calculation 2 4 26 2" xfId="6005"/>
    <cellStyle name="Calculation 2 4 27" xfId="2679"/>
    <cellStyle name="Calculation 2 4 27 2" xfId="6004"/>
    <cellStyle name="Calculation 2 4 28" xfId="2680"/>
    <cellStyle name="Calculation 2 4 28 2" xfId="6003"/>
    <cellStyle name="Calculation 2 4 29" xfId="2681"/>
    <cellStyle name="Calculation 2 4 29 2" xfId="6002"/>
    <cellStyle name="Calculation 2 4 3" xfId="2682"/>
    <cellStyle name="Calculation 2 4 3 2" xfId="6001"/>
    <cellStyle name="Calculation 2 4 30" xfId="2683"/>
    <cellStyle name="Calculation 2 4 30 2" xfId="6000"/>
    <cellStyle name="Calculation 2 4 31" xfId="2684"/>
    <cellStyle name="Calculation 2 4 31 2" xfId="5999"/>
    <cellStyle name="Calculation 2 4 32" xfId="2685"/>
    <cellStyle name="Calculation 2 4 32 2" xfId="5998"/>
    <cellStyle name="Calculation 2 4 33" xfId="6023"/>
    <cellStyle name="Calculation 2 4 4" xfId="2686"/>
    <cellStyle name="Calculation 2 4 4 2" xfId="5997"/>
    <cellStyle name="Calculation 2 4 5" xfId="2687"/>
    <cellStyle name="Calculation 2 4 5 2" xfId="5996"/>
    <cellStyle name="Calculation 2 4 6" xfId="2688"/>
    <cellStyle name="Calculation 2 4 6 2" xfId="5995"/>
    <cellStyle name="Calculation 2 4 7" xfId="2689"/>
    <cellStyle name="Calculation 2 4 7 2" xfId="5994"/>
    <cellStyle name="Calculation 2 4 8" xfId="2690"/>
    <cellStyle name="Calculation 2 4 8 2" xfId="5993"/>
    <cellStyle name="Calculation 2 4 9" xfId="2691"/>
    <cellStyle name="Calculation 2 4 9 2" xfId="5992"/>
    <cellStyle name="Calculation 2 5" xfId="2692"/>
    <cellStyle name="Calculation 2 5 10" xfId="2693"/>
    <cellStyle name="Calculation 2 5 10 2" xfId="5990"/>
    <cellStyle name="Calculation 2 5 11" xfId="2694"/>
    <cellStyle name="Calculation 2 5 11 2" xfId="5989"/>
    <cellStyle name="Calculation 2 5 12" xfId="2695"/>
    <cellStyle name="Calculation 2 5 12 2" xfId="5988"/>
    <cellStyle name="Calculation 2 5 13" xfId="2696"/>
    <cellStyle name="Calculation 2 5 13 2" xfId="5987"/>
    <cellStyle name="Calculation 2 5 14" xfId="2697"/>
    <cellStyle name="Calculation 2 5 14 2" xfId="5986"/>
    <cellStyle name="Calculation 2 5 15" xfId="2698"/>
    <cellStyle name="Calculation 2 5 15 2" xfId="5985"/>
    <cellStyle name="Calculation 2 5 16" xfId="2699"/>
    <cellStyle name="Calculation 2 5 16 2" xfId="5984"/>
    <cellStyle name="Calculation 2 5 17" xfId="2700"/>
    <cellStyle name="Calculation 2 5 17 2" xfId="5983"/>
    <cellStyle name="Calculation 2 5 18" xfId="2701"/>
    <cellStyle name="Calculation 2 5 18 2" xfId="5982"/>
    <cellStyle name="Calculation 2 5 19" xfId="2702"/>
    <cellStyle name="Calculation 2 5 19 2" xfId="5981"/>
    <cellStyle name="Calculation 2 5 2" xfId="2703"/>
    <cellStyle name="Calculation 2 5 2 2" xfId="5980"/>
    <cellStyle name="Calculation 2 5 20" xfId="2704"/>
    <cellStyle name="Calculation 2 5 20 2" xfId="5979"/>
    <cellStyle name="Calculation 2 5 21" xfId="2705"/>
    <cellStyle name="Calculation 2 5 21 2" xfId="5978"/>
    <cellStyle name="Calculation 2 5 22" xfId="2706"/>
    <cellStyle name="Calculation 2 5 22 2" xfId="5977"/>
    <cellStyle name="Calculation 2 5 23" xfId="2707"/>
    <cellStyle name="Calculation 2 5 23 2" xfId="5976"/>
    <cellStyle name="Calculation 2 5 24" xfId="2708"/>
    <cellStyle name="Calculation 2 5 24 2" xfId="5975"/>
    <cellStyle name="Calculation 2 5 25" xfId="2709"/>
    <cellStyle name="Calculation 2 5 25 2" xfId="5974"/>
    <cellStyle name="Calculation 2 5 26" xfId="2710"/>
    <cellStyle name="Calculation 2 5 26 2" xfId="5973"/>
    <cellStyle name="Calculation 2 5 27" xfId="2711"/>
    <cellStyle name="Calculation 2 5 27 2" xfId="5972"/>
    <cellStyle name="Calculation 2 5 28" xfId="2712"/>
    <cellStyle name="Calculation 2 5 28 2" xfId="5971"/>
    <cellStyle name="Calculation 2 5 29" xfId="2713"/>
    <cellStyle name="Calculation 2 5 29 2" xfId="5970"/>
    <cellStyle name="Calculation 2 5 3" xfId="2714"/>
    <cellStyle name="Calculation 2 5 3 2" xfId="5969"/>
    <cellStyle name="Calculation 2 5 30" xfId="2715"/>
    <cellStyle name="Calculation 2 5 30 2" xfId="5968"/>
    <cellStyle name="Calculation 2 5 31" xfId="2716"/>
    <cellStyle name="Calculation 2 5 31 2" xfId="5967"/>
    <cellStyle name="Calculation 2 5 32" xfId="2717"/>
    <cellStyle name="Calculation 2 5 32 2" xfId="5966"/>
    <cellStyle name="Calculation 2 5 33" xfId="5991"/>
    <cellStyle name="Calculation 2 5 4" xfId="2718"/>
    <cellStyle name="Calculation 2 5 4 2" xfId="5965"/>
    <cellStyle name="Calculation 2 5 5" xfId="2719"/>
    <cellStyle name="Calculation 2 5 5 2" xfId="5964"/>
    <cellStyle name="Calculation 2 5 6" xfId="2720"/>
    <cellStyle name="Calculation 2 5 6 2" xfId="5963"/>
    <cellStyle name="Calculation 2 5 7" xfId="2721"/>
    <cellStyle name="Calculation 2 5 7 2" xfId="5962"/>
    <cellStyle name="Calculation 2 5 8" xfId="2722"/>
    <cellStyle name="Calculation 2 5 8 2" xfId="5961"/>
    <cellStyle name="Calculation 2 5 9" xfId="2723"/>
    <cellStyle name="Calculation 2 5 9 2" xfId="5960"/>
    <cellStyle name="Calculation 2 6" xfId="2724"/>
    <cellStyle name="Calculation 2 6 2" xfId="5959"/>
    <cellStyle name="Calculation 2 7" xfId="2725"/>
    <cellStyle name="Calculation 2 7 2" xfId="5958"/>
    <cellStyle name="Calculation 2 8" xfId="2726"/>
    <cellStyle name="Calculation 2 8 2" xfId="5957"/>
    <cellStyle name="Calculation 2 9" xfId="2727"/>
    <cellStyle name="Calculation 2 9 2" xfId="5956"/>
    <cellStyle name="Calculation 3" xfId="2728"/>
    <cellStyle name="Calculation 3 2" xfId="5955"/>
    <cellStyle name="CalculationDate" xfId="2729"/>
    <cellStyle name="CalculationDate 2" xfId="5954"/>
    <cellStyle name="Cash (0dp)" xfId="2730"/>
    <cellStyle name="Cash (0dp+NZ)" xfId="2731"/>
    <cellStyle name="Cash (2dp)" xfId="2732"/>
    <cellStyle name="Cash (2dp+NZ)" xfId="2733"/>
    <cellStyle name="Check" xfId="2734"/>
    <cellStyle name="Check Cell 2" xfId="2735"/>
    <cellStyle name="Check Cell 3" xfId="2736"/>
    <cellStyle name="ColBlue" xfId="2737"/>
    <cellStyle name="ColGreen" xfId="2738"/>
    <cellStyle name="ColRed" xfId="2739"/>
    <cellStyle name="column Head Underlined" xfId="2740"/>
    <cellStyle name="Column Heading" xfId="2741"/>
    <cellStyle name="ColumnHeading" xfId="2742"/>
    <cellStyle name="ColumnHeadings" xfId="2743"/>
    <cellStyle name="ColumnHeadings2" xfId="2744"/>
    <cellStyle name="Comma" xfId="1" builtinId="3"/>
    <cellStyle name="Comma  - Style1" xfId="2745"/>
    <cellStyle name="Comma  - Style2" xfId="2746"/>
    <cellStyle name="Comma  - Style3" xfId="2747"/>
    <cellStyle name="Comma  - Style4" xfId="2748"/>
    <cellStyle name="Comma  - Style5" xfId="2749"/>
    <cellStyle name="Comma  - Style6" xfId="2750"/>
    <cellStyle name="Comma  - Style7" xfId="2751"/>
    <cellStyle name="Comma  - Style8" xfId="2752"/>
    <cellStyle name="Comma (0)" xfId="2753"/>
    <cellStyle name="Comma (0dp)" xfId="2754"/>
    <cellStyle name="Comma (0dp+NZ)" xfId="2755"/>
    <cellStyle name="Comma (1)" xfId="2756"/>
    <cellStyle name="Comma (2)" xfId="2757"/>
    <cellStyle name="Comma (2dp)" xfId="2758"/>
    <cellStyle name="Comma (2dp) Dashed" xfId="2759"/>
    <cellStyle name="Comma (2dp) Nil" xfId="2760"/>
    <cellStyle name="Comma (2dp)_Budget Est Oct 03" xfId="2761"/>
    <cellStyle name="Comma (2dp+NZ)" xfId="2762"/>
    <cellStyle name="Comma (nz)" xfId="2763"/>
    <cellStyle name="Comma [1]" xfId="2764"/>
    <cellStyle name="Comma [2]" xfId="2765"/>
    <cellStyle name="Comma [3]" xfId="2766"/>
    <cellStyle name="Comma 0" xfId="2767"/>
    <cellStyle name="Comma 0*" xfId="2768"/>
    <cellStyle name="Comma 0_Model_Sep_2_02" xfId="2769"/>
    <cellStyle name="Comma 10" xfId="2770"/>
    <cellStyle name="Comma 10 2" xfId="10278"/>
    <cellStyle name="Comma 11" xfId="2771"/>
    <cellStyle name="Comma 11 2" xfId="10279"/>
    <cellStyle name="Comma 12" xfId="2772"/>
    <cellStyle name="Comma 12 2" xfId="10280"/>
    <cellStyle name="Comma 13" xfId="2773"/>
    <cellStyle name="Comma 13 2" xfId="10281"/>
    <cellStyle name="Comma 14" xfId="2774"/>
    <cellStyle name="Comma 14 2" xfId="10282"/>
    <cellStyle name="Comma 15" xfId="2775"/>
    <cellStyle name="Comma 15 2" xfId="10283"/>
    <cellStyle name="Comma 16" xfId="2776"/>
    <cellStyle name="Comma 16 2" xfId="10284"/>
    <cellStyle name="Comma 17" xfId="2777"/>
    <cellStyle name="Comma 17 2" xfId="10285"/>
    <cellStyle name="Comma 18" xfId="2778"/>
    <cellStyle name="Comma 18 2" xfId="10286"/>
    <cellStyle name="Comma 19" xfId="2779"/>
    <cellStyle name="Comma 19 10" xfId="6213"/>
    <cellStyle name="Comma 19 10 2" xfId="12938"/>
    <cellStyle name="Comma 19 11" xfId="10287"/>
    <cellStyle name="Comma 19 2" xfId="2780"/>
    <cellStyle name="Comma 19 2 10" xfId="10288"/>
    <cellStyle name="Comma 19 2 2" xfId="2781"/>
    <cellStyle name="Comma 19 2 2 2" xfId="4481"/>
    <cellStyle name="Comma 19 2 2 2 2" xfId="4852"/>
    <cellStyle name="Comma 19 2 2 2 2 2" xfId="8595"/>
    <cellStyle name="Comma 19 2 2 2 2 2 2" xfId="15143"/>
    <cellStyle name="Comma 19 2 2 2 2 3" xfId="6876"/>
    <cellStyle name="Comma 19 2 2 2 2 3 2" xfId="13562"/>
    <cellStyle name="Comma 19 2 2 2 2 4" xfId="11777"/>
    <cellStyle name="Comma 19 2 2 2 3" xfId="5308"/>
    <cellStyle name="Comma 19 2 2 2 3 2" xfId="9051"/>
    <cellStyle name="Comma 19 2 2 2 3 2 2" xfId="15595"/>
    <cellStyle name="Comma 19 2 2 2 3 3" xfId="7332"/>
    <cellStyle name="Comma 19 2 2 2 3 3 2" xfId="14014"/>
    <cellStyle name="Comma 19 2 2 2 3 4" xfId="12229"/>
    <cellStyle name="Comma 19 2 2 2 4" xfId="5746"/>
    <cellStyle name="Comma 19 2 2 2 4 2" xfId="9487"/>
    <cellStyle name="Comma 19 2 2 2 4 2 2" xfId="15989"/>
    <cellStyle name="Comma 19 2 2 2 4 3" xfId="7768"/>
    <cellStyle name="Comma 19 2 2 2 4 3 2" xfId="14408"/>
    <cellStyle name="Comma 19 2 2 2 4 4" xfId="12639"/>
    <cellStyle name="Comma 19 2 2 2 5" xfId="9848"/>
    <cellStyle name="Comma 19 2 2 2 5 2" xfId="16329"/>
    <cellStyle name="Comma 19 2 2 2 6" xfId="8245"/>
    <cellStyle name="Comma 19 2 2 2 6 2" xfId="14802"/>
    <cellStyle name="Comma 19 2 2 2 7" xfId="6526"/>
    <cellStyle name="Comma 19 2 2 2 7 2" xfId="13216"/>
    <cellStyle name="Comma 19 2 2 2 8" xfId="11426"/>
    <cellStyle name="Comma 19 2 2 3" xfId="4756"/>
    <cellStyle name="Comma 19 2 2 3 2" xfId="8499"/>
    <cellStyle name="Comma 19 2 2 3 2 2" xfId="15051"/>
    <cellStyle name="Comma 19 2 2 3 3" xfId="6780"/>
    <cellStyle name="Comma 19 2 2 3 3 2" xfId="13470"/>
    <cellStyle name="Comma 19 2 2 3 4" xfId="11685"/>
    <cellStyle name="Comma 19 2 2 4" xfId="5111"/>
    <cellStyle name="Comma 19 2 2 4 2" xfId="8854"/>
    <cellStyle name="Comma 19 2 2 4 2 2" xfId="15398"/>
    <cellStyle name="Comma 19 2 2 4 3" xfId="7135"/>
    <cellStyle name="Comma 19 2 2 4 3 2" xfId="13817"/>
    <cellStyle name="Comma 19 2 2 4 4" xfId="12032"/>
    <cellStyle name="Comma 19 2 2 5" xfId="5544"/>
    <cellStyle name="Comma 19 2 2 5 2" xfId="9285"/>
    <cellStyle name="Comma 19 2 2 5 2 2" xfId="15792"/>
    <cellStyle name="Comma 19 2 2 5 3" xfId="7566"/>
    <cellStyle name="Comma 19 2 2 5 3 2" xfId="14211"/>
    <cellStyle name="Comma 19 2 2 5 4" xfId="12437"/>
    <cellStyle name="Comma 19 2 2 6" xfId="9746"/>
    <cellStyle name="Comma 19 2 2 6 2" xfId="16237"/>
    <cellStyle name="Comma 19 2 2 7" xfId="7988"/>
    <cellStyle name="Comma 19 2 2 7 2" xfId="14605"/>
    <cellStyle name="Comma 19 2 2 8" xfId="6215"/>
    <cellStyle name="Comma 19 2 2 8 2" xfId="12940"/>
    <cellStyle name="Comma 19 2 2 9" xfId="10289"/>
    <cellStyle name="Comma 19 2 3" xfId="4480"/>
    <cellStyle name="Comma 19 2 3 2" xfId="4853"/>
    <cellStyle name="Comma 19 2 3 2 2" xfId="8596"/>
    <cellStyle name="Comma 19 2 3 2 2 2" xfId="15144"/>
    <cellStyle name="Comma 19 2 3 2 3" xfId="6877"/>
    <cellStyle name="Comma 19 2 3 2 3 2" xfId="13563"/>
    <cellStyle name="Comma 19 2 3 2 4" xfId="11778"/>
    <cellStyle name="Comma 19 2 3 3" xfId="5307"/>
    <cellStyle name="Comma 19 2 3 3 2" xfId="9050"/>
    <cellStyle name="Comma 19 2 3 3 2 2" xfId="15594"/>
    <cellStyle name="Comma 19 2 3 3 3" xfId="7331"/>
    <cellStyle name="Comma 19 2 3 3 3 2" xfId="14013"/>
    <cellStyle name="Comma 19 2 3 3 4" xfId="12228"/>
    <cellStyle name="Comma 19 2 3 4" xfId="5745"/>
    <cellStyle name="Comma 19 2 3 4 2" xfId="9486"/>
    <cellStyle name="Comma 19 2 3 4 2 2" xfId="15988"/>
    <cellStyle name="Comma 19 2 3 4 3" xfId="7767"/>
    <cellStyle name="Comma 19 2 3 4 3 2" xfId="14407"/>
    <cellStyle name="Comma 19 2 3 4 4" xfId="12638"/>
    <cellStyle name="Comma 19 2 3 5" xfId="9849"/>
    <cellStyle name="Comma 19 2 3 5 2" xfId="16330"/>
    <cellStyle name="Comma 19 2 3 6" xfId="8244"/>
    <cellStyle name="Comma 19 2 3 6 2" xfId="14801"/>
    <cellStyle name="Comma 19 2 3 7" xfId="6525"/>
    <cellStyle name="Comma 19 2 3 7 2" xfId="13215"/>
    <cellStyle name="Comma 19 2 3 8" xfId="11425"/>
    <cellStyle name="Comma 19 2 4" xfId="4692"/>
    <cellStyle name="Comma 19 2 4 2" xfId="8438"/>
    <cellStyle name="Comma 19 2 4 2 2" xfId="14990"/>
    <cellStyle name="Comma 19 2 4 3" xfId="6719"/>
    <cellStyle name="Comma 19 2 4 3 2" xfId="13409"/>
    <cellStyle name="Comma 19 2 4 4" xfId="11623"/>
    <cellStyle name="Comma 19 2 5" xfId="5110"/>
    <cellStyle name="Comma 19 2 5 2" xfId="8853"/>
    <cellStyle name="Comma 19 2 5 2 2" xfId="15397"/>
    <cellStyle name="Comma 19 2 5 3" xfId="7134"/>
    <cellStyle name="Comma 19 2 5 3 2" xfId="13816"/>
    <cellStyle name="Comma 19 2 5 4" xfId="12031"/>
    <cellStyle name="Comma 19 2 6" xfId="5543"/>
    <cellStyle name="Comma 19 2 6 2" xfId="9284"/>
    <cellStyle name="Comma 19 2 6 2 2" xfId="15791"/>
    <cellStyle name="Comma 19 2 6 3" xfId="7565"/>
    <cellStyle name="Comma 19 2 6 3 2" xfId="14210"/>
    <cellStyle name="Comma 19 2 6 4" xfId="12436"/>
    <cellStyle name="Comma 19 2 7" xfId="9675"/>
    <cellStyle name="Comma 19 2 7 2" xfId="16175"/>
    <cellStyle name="Comma 19 2 8" xfId="7987"/>
    <cellStyle name="Comma 19 2 8 2" xfId="14604"/>
    <cellStyle name="Comma 19 2 9" xfId="6214"/>
    <cellStyle name="Comma 19 2 9 2" xfId="12939"/>
    <cellStyle name="Comma 19 3" xfId="2782"/>
    <cellStyle name="Comma 19 3 2" xfId="4482"/>
    <cellStyle name="Comma 19 3 2 2" xfId="4854"/>
    <cellStyle name="Comma 19 3 2 2 2" xfId="8597"/>
    <cellStyle name="Comma 19 3 2 2 2 2" xfId="15145"/>
    <cellStyle name="Comma 19 3 2 2 3" xfId="6878"/>
    <cellStyle name="Comma 19 3 2 2 3 2" xfId="13564"/>
    <cellStyle name="Comma 19 3 2 2 4" xfId="11779"/>
    <cellStyle name="Comma 19 3 2 3" xfId="5309"/>
    <cellStyle name="Comma 19 3 2 3 2" xfId="9052"/>
    <cellStyle name="Comma 19 3 2 3 2 2" xfId="15596"/>
    <cellStyle name="Comma 19 3 2 3 3" xfId="7333"/>
    <cellStyle name="Comma 19 3 2 3 3 2" xfId="14015"/>
    <cellStyle name="Comma 19 3 2 3 4" xfId="12230"/>
    <cellStyle name="Comma 19 3 2 4" xfId="5747"/>
    <cellStyle name="Comma 19 3 2 4 2" xfId="9488"/>
    <cellStyle name="Comma 19 3 2 4 2 2" xfId="15990"/>
    <cellStyle name="Comma 19 3 2 4 3" xfId="7769"/>
    <cellStyle name="Comma 19 3 2 4 3 2" xfId="14409"/>
    <cellStyle name="Comma 19 3 2 4 4" xfId="12640"/>
    <cellStyle name="Comma 19 3 2 5" xfId="9850"/>
    <cellStyle name="Comma 19 3 2 5 2" xfId="16331"/>
    <cellStyle name="Comma 19 3 2 6" xfId="8246"/>
    <cellStyle name="Comma 19 3 2 6 2" xfId="14803"/>
    <cellStyle name="Comma 19 3 2 7" xfId="6527"/>
    <cellStyle name="Comma 19 3 2 7 2" xfId="13217"/>
    <cellStyle name="Comma 19 3 2 8" xfId="11427"/>
    <cellStyle name="Comma 19 3 3" xfId="4755"/>
    <cellStyle name="Comma 19 3 3 2" xfId="8498"/>
    <cellStyle name="Comma 19 3 3 2 2" xfId="15050"/>
    <cellStyle name="Comma 19 3 3 3" xfId="6779"/>
    <cellStyle name="Comma 19 3 3 3 2" xfId="13469"/>
    <cellStyle name="Comma 19 3 3 4" xfId="11684"/>
    <cellStyle name="Comma 19 3 4" xfId="5112"/>
    <cellStyle name="Comma 19 3 4 2" xfId="8855"/>
    <cellStyle name="Comma 19 3 4 2 2" xfId="15399"/>
    <cellStyle name="Comma 19 3 4 3" xfId="7136"/>
    <cellStyle name="Comma 19 3 4 3 2" xfId="13818"/>
    <cellStyle name="Comma 19 3 4 4" xfId="12033"/>
    <cellStyle name="Comma 19 3 5" xfId="5545"/>
    <cellStyle name="Comma 19 3 5 2" xfId="9286"/>
    <cellStyle name="Comma 19 3 5 2 2" xfId="15793"/>
    <cellStyle name="Comma 19 3 5 3" xfId="7567"/>
    <cellStyle name="Comma 19 3 5 3 2" xfId="14212"/>
    <cellStyle name="Comma 19 3 5 4" xfId="12438"/>
    <cellStyle name="Comma 19 3 6" xfId="9745"/>
    <cellStyle name="Comma 19 3 6 2" xfId="16236"/>
    <cellStyle name="Comma 19 3 7" xfId="7989"/>
    <cellStyle name="Comma 19 3 7 2" xfId="14606"/>
    <cellStyle name="Comma 19 3 8" xfId="6216"/>
    <cellStyle name="Comma 19 3 8 2" xfId="12941"/>
    <cellStyle name="Comma 19 3 9" xfId="10290"/>
    <cellStyle name="Comma 19 4" xfId="4479"/>
    <cellStyle name="Comma 19 4 2" xfId="4855"/>
    <cellStyle name="Comma 19 4 2 2" xfId="8598"/>
    <cellStyle name="Comma 19 4 2 2 2" xfId="15146"/>
    <cellStyle name="Comma 19 4 2 3" xfId="6879"/>
    <cellStyle name="Comma 19 4 2 3 2" xfId="13565"/>
    <cellStyle name="Comma 19 4 2 4" xfId="11780"/>
    <cellStyle name="Comma 19 4 3" xfId="5306"/>
    <cellStyle name="Comma 19 4 3 2" xfId="9049"/>
    <cellStyle name="Comma 19 4 3 2 2" xfId="15593"/>
    <cellStyle name="Comma 19 4 3 3" xfId="7330"/>
    <cellStyle name="Comma 19 4 3 3 2" xfId="14012"/>
    <cellStyle name="Comma 19 4 3 4" xfId="12227"/>
    <cellStyle name="Comma 19 4 4" xfId="5744"/>
    <cellStyle name="Comma 19 4 4 2" xfId="9485"/>
    <cellStyle name="Comma 19 4 4 2 2" xfId="15987"/>
    <cellStyle name="Comma 19 4 4 3" xfId="7766"/>
    <cellStyle name="Comma 19 4 4 3 2" xfId="14406"/>
    <cellStyle name="Comma 19 4 4 4" xfId="12637"/>
    <cellStyle name="Comma 19 4 5" xfId="9851"/>
    <cellStyle name="Comma 19 4 5 2" xfId="16332"/>
    <cellStyle name="Comma 19 4 6" xfId="8243"/>
    <cellStyle name="Comma 19 4 6 2" xfId="14800"/>
    <cellStyle name="Comma 19 4 7" xfId="6524"/>
    <cellStyle name="Comma 19 4 7 2" xfId="13214"/>
    <cellStyle name="Comma 19 4 8" xfId="11424"/>
    <cellStyle name="Comma 19 5" xfId="4691"/>
    <cellStyle name="Comma 19 5 2" xfId="8437"/>
    <cellStyle name="Comma 19 5 2 2" xfId="14989"/>
    <cellStyle name="Comma 19 5 3" xfId="6718"/>
    <cellStyle name="Comma 19 5 3 2" xfId="13408"/>
    <cellStyle name="Comma 19 5 4" xfId="11622"/>
    <cellStyle name="Comma 19 6" xfId="5109"/>
    <cellStyle name="Comma 19 6 2" xfId="8852"/>
    <cellStyle name="Comma 19 6 2 2" xfId="15396"/>
    <cellStyle name="Comma 19 6 3" xfId="7133"/>
    <cellStyle name="Comma 19 6 3 2" xfId="13815"/>
    <cellStyle name="Comma 19 6 4" xfId="12030"/>
    <cellStyle name="Comma 19 7" xfId="5542"/>
    <cellStyle name="Comma 19 7 2" xfId="9283"/>
    <cellStyle name="Comma 19 7 2 2" xfId="15790"/>
    <cellStyle name="Comma 19 7 3" xfId="7564"/>
    <cellStyle name="Comma 19 7 3 2" xfId="14209"/>
    <cellStyle name="Comma 19 7 4" xfId="12435"/>
    <cellStyle name="Comma 19 8" xfId="9674"/>
    <cellStyle name="Comma 19 8 2" xfId="16174"/>
    <cellStyle name="Comma 19 9" xfId="7986"/>
    <cellStyle name="Comma 19 9 2" xfId="14603"/>
    <cellStyle name="Comma 2" xfId="10"/>
    <cellStyle name="Comma 2 10" xfId="2783"/>
    <cellStyle name="Comma 2 10 10" xfId="2784"/>
    <cellStyle name="Comma 2 10 11" xfId="2785"/>
    <cellStyle name="Comma 2 10 12" xfId="2786"/>
    <cellStyle name="Comma 2 10 13" xfId="10291"/>
    <cellStyle name="Comma 2 10 2" xfId="2787"/>
    <cellStyle name="Comma 2 10 2 2" xfId="2788"/>
    <cellStyle name="Comma 2 10 2 3" xfId="2789"/>
    <cellStyle name="Comma 2 10 3" xfId="2790"/>
    <cellStyle name="Comma 2 10 4" xfId="2791"/>
    <cellStyle name="Comma 2 10 5" xfId="2792"/>
    <cellStyle name="Comma 2 10 6" xfId="2793"/>
    <cellStyle name="Comma 2 10 6 2" xfId="2794"/>
    <cellStyle name="Comma 2 10 7" xfId="2795"/>
    <cellStyle name="Comma 2 10 7 2" xfId="2796"/>
    <cellStyle name="Comma 2 10 7 3" xfId="2797"/>
    <cellStyle name="Comma 2 10 8" xfId="2798"/>
    <cellStyle name="Comma 2 10 9" xfId="2799"/>
    <cellStyle name="Comma 2 100" xfId="2800"/>
    <cellStyle name="Comma 2 101" xfId="2801"/>
    <cellStyle name="Comma 2 102" xfId="2802"/>
    <cellStyle name="Comma 2 103" xfId="2803"/>
    <cellStyle name="Comma 2 104" xfId="2804"/>
    <cellStyle name="Comma 2 105" xfId="2805"/>
    <cellStyle name="Comma 2 106" xfId="2806"/>
    <cellStyle name="Comma 2 107" xfId="2807"/>
    <cellStyle name="Comma 2 108" xfId="2808"/>
    <cellStyle name="Comma 2 109" xfId="2809"/>
    <cellStyle name="Comma 2 11" xfId="2810"/>
    <cellStyle name="Comma 2 11 2" xfId="10292"/>
    <cellStyle name="Comma 2 110" xfId="2811"/>
    <cellStyle name="Comma 2 111" xfId="2812"/>
    <cellStyle name="Comma 2 112" xfId="2813"/>
    <cellStyle name="Comma 2 112 2" xfId="10293"/>
    <cellStyle name="Comma 2 113" xfId="2814"/>
    <cellStyle name="Comma 2 113 2" xfId="10294"/>
    <cellStyle name="Comma 2 114" xfId="2815"/>
    <cellStyle name="Comma 2 114 2" xfId="10295"/>
    <cellStyle name="Comma 2 115" xfId="2816"/>
    <cellStyle name="Comma 2 115 2" xfId="10296"/>
    <cellStyle name="Comma 2 116" xfId="2817"/>
    <cellStyle name="Comma 2 116 2" xfId="10297"/>
    <cellStyle name="Comma 2 117" xfId="2818"/>
    <cellStyle name="Comma 2 117 2" xfId="10298"/>
    <cellStyle name="Comma 2 118" xfId="2819"/>
    <cellStyle name="Comma 2 118 2" xfId="10299"/>
    <cellStyle name="Comma 2 119" xfId="2820"/>
    <cellStyle name="Comma 2 119 2" xfId="10300"/>
    <cellStyle name="Comma 2 12" xfId="2821"/>
    <cellStyle name="Comma 2 12 2" xfId="10301"/>
    <cellStyle name="Comma 2 120" xfId="2822"/>
    <cellStyle name="Comma 2 120 2" xfId="10302"/>
    <cellStyle name="Comma 2 121" xfId="2823"/>
    <cellStyle name="Comma 2 121 2" xfId="10303"/>
    <cellStyle name="Comma 2 122" xfId="2824"/>
    <cellStyle name="Comma 2 122 2" xfId="10304"/>
    <cellStyle name="Comma 2 123" xfId="2825"/>
    <cellStyle name="Comma 2 123 2" xfId="10305"/>
    <cellStyle name="Comma 2 124" xfId="2826"/>
    <cellStyle name="Comma 2 124 2" xfId="10306"/>
    <cellStyle name="Comma 2 125" xfId="2827"/>
    <cellStyle name="Comma 2 125 2" xfId="10307"/>
    <cellStyle name="Comma 2 126" xfId="2828"/>
    <cellStyle name="Comma 2 126 2" xfId="10308"/>
    <cellStyle name="Comma 2 127" xfId="2829"/>
    <cellStyle name="Comma 2 127 2" xfId="10309"/>
    <cellStyle name="Comma 2 128" xfId="2830"/>
    <cellStyle name="Comma 2 128 2" xfId="10310"/>
    <cellStyle name="Comma 2 129" xfId="2831"/>
    <cellStyle name="Comma 2 129 2" xfId="10311"/>
    <cellStyle name="Comma 2 13" xfId="2832"/>
    <cellStyle name="Comma 2 13 2" xfId="10312"/>
    <cellStyle name="Comma 2 130" xfId="10249"/>
    <cellStyle name="Comma 2 14" xfId="2833"/>
    <cellStyle name="Comma 2 14 2" xfId="10313"/>
    <cellStyle name="Comma 2 15" xfId="2834"/>
    <cellStyle name="Comma 2 15 2" xfId="10314"/>
    <cellStyle name="Comma 2 16" xfId="2835"/>
    <cellStyle name="Comma 2 16 2" xfId="10315"/>
    <cellStyle name="Comma 2 17" xfId="2836"/>
    <cellStyle name="Comma 2 17 2" xfId="10316"/>
    <cellStyle name="Comma 2 18" xfId="2837"/>
    <cellStyle name="Comma 2 18 2" xfId="10317"/>
    <cellStyle name="Comma 2 19" xfId="2838"/>
    <cellStyle name="Comma 2 19 2" xfId="10318"/>
    <cellStyle name="Comma 2 2" xfId="11"/>
    <cellStyle name="Comma 2 2 10" xfId="2839"/>
    <cellStyle name="Comma 2 2 11" xfId="2840"/>
    <cellStyle name="Comma 2 2 12" xfId="2841"/>
    <cellStyle name="Comma 2 2 13" xfId="2842"/>
    <cellStyle name="Comma 2 2 14" xfId="2843"/>
    <cellStyle name="Comma 2 2 15" xfId="2844"/>
    <cellStyle name="Comma 2 2 16" xfId="2845"/>
    <cellStyle name="Comma 2 2 17" xfId="2846"/>
    <cellStyle name="Comma 2 2 18" xfId="2847"/>
    <cellStyle name="Comma 2 2 19" xfId="2848"/>
    <cellStyle name="Comma 2 2 2" xfId="2849"/>
    <cellStyle name="Comma 2 2 2 10" xfId="2850"/>
    <cellStyle name="Comma 2 2 2 10 2" xfId="10320"/>
    <cellStyle name="Comma 2 2 2 11" xfId="2851"/>
    <cellStyle name="Comma 2 2 2 11 2" xfId="10321"/>
    <cellStyle name="Comma 2 2 2 12" xfId="2852"/>
    <cellStyle name="Comma 2 2 2 12 2" xfId="10322"/>
    <cellStyle name="Comma 2 2 2 13" xfId="2853"/>
    <cellStyle name="Comma 2 2 2 13 2" xfId="10323"/>
    <cellStyle name="Comma 2 2 2 14" xfId="2854"/>
    <cellStyle name="Comma 2 2 2 14 2" xfId="10324"/>
    <cellStyle name="Comma 2 2 2 15" xfId="2855"/>
    <cellStyle name="Comma 2 2 2 15 2" xfId="10325"/>
    <cellStyle name="Comma 2 2 2 16" xfId="4411"/>
    <cellStyle name="Comma 2 2 2 16 2" xfId="11367"/>
    <cellStyle name="Comma 2 2 2 17" xfId="10319"/>
    <cellStyle name="Comma 2 2 2 2" xfId="2856"/>
    <cellStyle name="Comma 2 2 2 2 2" xfId="2857"/>
    <cellStyle name="Comma 2 2 2 2 2 10" xfId="2858"/>
    <cellStyle name="Comma 2 2 2 2 2 10 2" xfId="10327"/>
    <cellStyle name="Comma 2 2 2 2 2 11" xfId="2859"/>
    <cellStyle name="Comma 2 2 2 2 2 11 2" xfId="10328"/>
    <cellStyle name="Comma 2 2 2 2 2 12" xfId="2860"/>
    <cellStyle name="Comma 2 2 2 2 2 12 2" xfId="10329"/>
    <cellStyle name="Comma 2 2 2 2 2 13" xfId="2861"/>
    <cellStyle name="Comma 2 2 2 2 2 13 2" xfId="10330"/>
    <cellStyle name="Comma 2 2 2 2 2 14" xfId="2862"/>
    <cellStyle name="Comma 2 2 2 2 2 14 2" xfId="10331"/>
    <cellStyle name="Comma 2 2 2 2 2 15" xfId="10326"/>
    <cellStyle name="Comma 2 2 2 2 2 2" xfId="2863"/>
    <cellStyle name="Comma 2 2 2 2 2 3" xfId="2864"/>
    <cellStyle name="Comma 2 2 2 2 2 3 2" xfId="10332"/>
    <cellStyle name="Comma 2 2 2 2 2 4" xfId="2865"/>
    <cellStyle name="Comma 2 2 2 2 2 4 2" xfId="10333"/>
    <cellStyle name="Comma 2 2 2 2 2 5" xfId="2866"/>
    <cellStyle name="Comma 2 2 2 2 2 5 2" xfId="10334"/>
    <cellStyle name="Comma 2 2 2 2 2 6" xfId="2867"/>
    <cellStyle name="Comma 2 2 2 2 2 6 2" xfId="10335"/>
    <cellStyle name="Comma 2 2 2 2 2 7" xfId="2868"/>
    <cellStyle name="Comma 2 2 2 2 2 7 2" xfId="10336"/>
    <cellStyle name="Comma 2 2 2 2 2 8" xfId="2869"/>
    <cellStyle name="Comma 2 2 2 2 2 8 2" xfId="10337"/>
    <cellStyle name="Comma 2 2 2 2 2 9" xfId="2870"/>
    <cellStyle name="Comma 2 2 2 2 2 9 2" xfId="10338"/>
    <cellStyle name="Comma 2 2 2 3" xfId="2871"/>
    <cellStyle name="Comma 2 2 2 4" xfId="2872"/>
    <cellStyle name="Comma 2 2 2 4 2" xfId="10339"/>
    <cellStyle name="Comma 2 2 2 5" xfId="2873"/>
    <cellStyle name="Comma 2 2 2 5 2" xfId="10340"/>
    <cellStyle name="Comma 2 2 2 6" xfId="2874"/>
    <cellStyle name="Comma 2 2 2 6 2" xfId="10341"/>
    <cellStyle name="Comma 2 2 2 7" xfId="2875"/>
    <cellStyle name="Comma 2 2 2 7 2" xfId="10342"/>
    <cellStyle name="Comma 2 2 2 8" xfId="2876"/>
    <cellStyle name="Comma 2 2 2 8 2" xfId="10343"/>
    <cellStyle name="Comma 2 2 2 9" xfId="2877"/>
    <cellStyle name="Comma 2 2 2 9 2" xfId="10344"/>
    <cellStyle name="Comma 2 2 20" xfId="2878"/>
    <cellStyle name="Comma 2 2 21" xfId="2879"/>
    <cellStyle name="Comma 2 2 22" xfId="2880"/>
    <cellStyle name="Comma 2 2 23" xfId="2881"/>
    <cellStyle name="Comma 2 2 24" xfId="2882"/>
    <cellStyle name="Comma 2 2 25" xfId="2883"/>
    <cellStyle name="Comma 2 2 26" xfId="2884"/>
    <cellStyle name="Comma 2 2 27" xfId="2885"/>
    <cellStyle name="Comma 2 2 28" xfId="2886"/>
    <cellStyle name="Comma 2 2 29" xfId="2887"/>
    <cellStyle name="Comma 2 2 3" xfId="2888"/>
    <cellStyle name="Comma 2 2 3 10" xfId="2889"/>
    <cellStyle name="Comma 2 2 3 10 2" xfId="10346"/>
    <cellStyle name="Comma 2 2 3 11" xfId="2890"/>
    <cellStyle name="Comma 2 2 3 11 2" xfId="10347"/>
    <cellStyle name="Comma 2 2 3 12" xfId="2891"/>
    <cellStyle name="Comma 2 2 3 12 2" xfId="10348"/>
    <cellStyle name="Comma 2 2 3 13" xfId="2892"/>
    <cellStyle name="Comma 2 2 3 13 2" xfId="10349"/>
    <cellStyle name="Comma 2 2 3 14" xfId="10345"/>
    <cellStyle name="Comma 2 2 3 2" xfId="2893"/>
    <cellStyle name="Comma 2 2 3 2 2" xfId="10350"/>
    <cellStyle name="Comma 2 2 3 3" xfId="2894"/>
    <cellStyle name="Comma 2 2 3 3 2" xfId="10351"/>
    <cellStyle name="Comma 2 2 3 4" xfId="2895"/>
    <cellStyle name="Comma 2 2 3 4 2" xfId="10352"/>
    <cellStyle name="Comma 2 2 3 5" xfId="2896"/>
    <cellStyle name="Comma 2 2 3 5 2" xfId="10353"/>
    <cellStyle name="Comma 2 2 3 6" xfId="2897"/>
    <cellStyle name="Comma 2 2 3 6 2" xfId="10354"/>
    <cellStyle name="Comma 2 2 3 7" xfId="2898"/>
    <cellStyle name="Comma 2 2 3 7 2" xfId="10355"/>
    <cellStyle name="Comma 2 2 3 8" xfId="2899"/>
    <cellStyle name="Comma 2 2 3 8 2" xfId="10356"/>
    <cellStyle name="Comma 2 2 3 9" xfId="2900"/>
    <cellStyle name="Comma 2 2 3 9 2" xfId="10357"/>
    <cellStyle name="Comma 2 2 30" xfId="2901"/>
    <cellStyle name="Comma 2 2 31" xfId="2902"/>
    <cellStyle name="Comma 2 2 32" xfId="2903"/>
    <cellStyle name="Comma 2 2 33" xfId="2904"/>
    <cellStyle name="Comma 2 2 34" xfId="2905"/>
    <cellStyle name="Comma 2 2 35" xfId="2906"/>
    <cellStyle name="Comma 2 2 36" xfId="2907"/>
    <cellStyle name="Comma 2 2 37" xfId="2908"/>
    <cellStyle name="Comma 2 2 38" xfId="2909"/>
    <cellStyle name="Comma 2 2 39" xfId="2910"/>
    <cellStyle name="Comma 2 2 4" xfId="2911"/>
    <cellStyle name="Comma 2 2 40" xfId="2912"/>
    <cellStyle name="Comma 2 2 41" xfId="2913"/>
    <cellStyle name="Comma 2 2 42" xfId="2914"/>
    <cellStyle name="Comma 2 2 43" xfId="2915"/>
    <cellStyle name="Comma 2 2 44" xfId="2916"/>
    <cellStyle name="Comma 2 2 45" xfId="2917"/>
    <cellStyle name="Comma 2 2 46" xfId="2918"/>
    <cellStyle name="Comma 2 2 47" xfId="2919"/>
    <cellStyle name="Comma 2 2 48" xfId="2920"/>
    <cellStyle name="Comma 2 2 49" xfId="2921"/>
    <cellStyle name="Comma 2 2 49 2" xfId="10358"/>
    <cellStyle name="Comma 2 2 5" xfId="2922"/>
    <cellStyle name="Comma 2 2 6" xfId="2923"/>
    <cellStyle name="Comma 2 2 7" xfId="2924"/>
    <cellStyle name="Comma 2 2 8" xfId="2925"/>
    <cellStyle name="Comma 2 2 9" xfId="2926"/>
    <cellStyle name="Comma 2 2_3.1.2 DB Pension Detail" xfId="2927"/>
    <cellStyle name="Comma 2 20" xfId="2928"/>
    <cellStyle name="Comma 2 20 2" xfId="10359"/>
    <cellStyle name="Comma 2 21" xfId="2929"/>
    <cellStyle name="Comma 2 21 2" xfId="10360"/>
    <cellStyle name="Comma 2 22" xfId="2930"/>
    <cellStyle name="Comma 2 22 2" xfId="10361"/>
    <cellStyle name="Comma 2 23" xfId="2931"/>
    <cellStyle name="Comma 2 23 2" xfId="10362"/>
    <cellStyle name="Comma 2 24" xfId="2932"/>
    <cellStyle name="Comma 2 24 2" xfId="10363"/>
    <cellStyle name="Comma 2 25" xfId="2933"/>
    <cellStyle name="Comma 2 25 2" xfId="10364"/>
    <cellStyle name="Comma 2 26" xfId="2934"/>
    <cellStyle name="Comma 2 26 2" xfId="10365"/>
    <cellStyle name="Comma 2 27" xfId="2935"/>
    <cellStyle name="Comma 2 27 2" xfId="10366"/>
    <cellStyle name="Comma 2 28" xfId="2936"/>
    <cellStyle name="Comma 2 28 2" xfId="10367"/>
    <cellStyle name="Comma 2 29" xfId="2937"/>
    <cellStyle name="Comma 2 29 2" xfId="10368"/>
    <cellStyle name="Comma 2 3" xfId="2938"/>
    <cellStyle name="Comma 2 3 10" xfId="2939"/>
    <cellStyle name="Comma 2 3 10 2" xfId="10369"/>
    <cellStyle name="Comma 2 3 11" xfId="2940"/>
    <cellStyle name="Comma 2 3 11 2" xfId="10370"/>
    <cellStyle name="Comma 2 3 12" xfId="2941"/>
    <cellStyle name="Comma 2 3 12 2" xfId="10371"/>
    <cellStyle name="Comma 2 3 13" xfId="2942"/>
    <cellStyle name="Comma 2 3 13 2" xfId="10372"/>
    <cellStyle name="Comma 2 3 14" xfId="2943"/>
    <cellStyle name="Comma 2 3 14 2" xfId="10373"/>
    <cellStyle name="Comma 2 3 15" xfId="2944"/>
    <cellStyle name="Comma 2 3 15 2" xfId="10374"/>
    <cellStyle name="Comma 2 3 16" xfId="2945"/>
    <cellStyle name="Comma 2 3 16 2" xfId="10375"/>
    <cellStyle name="Comma 2 3 17" xfId="2946"/>
    <cellStyle name="Comma 2 3 17 2" xfId="10376"/>
    <cellStyle name="Comma 2 3 18" xfId="2947"/>
    <cellStyle name="Comma 2 3 18 2" xfId="10377"/>
    <cellStyle name="Comma 2 3 19" xfId="2948"/>
    <cellStyle name="Comma 2 3 19 2" xfId="10378"/>
    <cellStyle name="Comma 2 3 2" xfId="2949"/>
    <cellStyle name="Comma 2 3 2 2" xfId="2950"/>
    <cellStyle name="Comma 2 3 2 2 10" xfId="2951"/>
    <cellStyle name="Comma 2 3 2 2 10 2" xfId="10381"/>
    <cellStyle name="Comma 2 3 2 2 11" xfId="2952"/>
    <cellStyle name="Comma 2 3 2 2 11 2" xfId="10382"/>
    <cellStyle name="Comma 2 3 2 2 12" xfId="2953"/>
    <cellStyle name="Comma 2 3 2 2 12 2" xfId="10383"/>
    <cellStyle name="Comma 2 3 2 2 13" xfId="2954"/>
    <cellStyle name="Comma 2 3 2 2 13 2" xfId="10384"/>
    <cellStyle name="Comma 2 3 2 2 14" xfId="2955"/>
    <cellStyle name="Comma 2 3 2 2 14 2" xfId="10385"/>
    <cellStyle name="Comma 2 3 2 2 15" xfId="2956"/>
    <cellStyle name="Comma 2 3 2 2 15 2" xfId="10386"/>
    <cellStyle name="Comma 2 3 2 2 16" xfId="10380"/>
    <cellStyle name="Comma 2 3 2 2 2" xfId="2957"/>
    <cellStyle name="Comma 2 3 2 2 2 2" xfId="10387"/>
    <cellStyle name="Comma 2 3 2 2 3" xfId="2958"/>
    <cellStyle name="Comma 2 3 2 2 3 2" xfId="10388"/>
    <cellStyle name="Comma 2 3 2 2 4" xfId="2959"/>
    <cellStyle name="Comma 2 3 2 2 4 2" xfId="10389"/>
    <cellStyle name="Comma 2 3 2 2 5" xfId="2960"/>
    <cellStyle name="Comma 2 3 2 2 5 2" xfId="10390"/>
    <cellStyle name="Comma 2 3 2 2 6" xfId="2961"/>
    <cellStyle name="Comma 2 3 2 2 6 2" xfId="10391"/>
    <cellStyle name="Comma 2 3 2 2 7" xfId="2962"/>
    <cellStyle name="Comma 2 3 2 2 7 2" xfId="10392"/>
    <cellStyle name="Comma 2 3 2 2 8" xfId="2963"/>
    <cellStyle name="Comma 2 3 2 2 8 2" xfId="10393"/>
    <cellStyle name="Comma 2 3 2 2 9" xfId="2964"/>
    <cellStyle name="Comma 2 3 2 2 9 2" xfId="10394"/>
    <cellStyle name="Comma 2 3 2 3" xfId="10379"/>
    <cellStyle name="Comma 2 3 2_3.1.2 DB Pension Detail" xfId="2965"/>
    <cellStyle name="Comma 2 3 20" xfId="2966"/>
    <cellStyle name="Comma 2 3 20 2" xfId="10395"/>
    <cellStyle name="Comma 2 3 21" xfId="2967"/>
    <cellStyle name="Comma 2 3 21 2" xfId="10396"/>
    <cellStyle name="Comma 2 3 22" xfId="2968"/>
    <cellStyle name="Comma 2 3 22 2" xfId="10397"/>
    <cellStyle name="Comma 2 3 23" xfId="2969"/>
    <cellStyle name="Comma 2 3 23 2" xfId="10398"/>
    <cellStyle name="Comma 2 3 24" xfId="2970"/>
    <cellStyle name="Comma 2 3 24 2" xfId="10399"/>
    <cellStyle name="Comma 2 3 25" xfId="2971"/>
    <cellStyle name="Comma 2 3 25 2" xfId="10400"/>
    <cellStyle name="Comma 2 3 26" xfId="2972"/>
    <cellStyle name="Comma 2 3 26 2" xfId="10401"/>
    <cellStyle name="Comma 2 3 27" xfId="2973"/>
    <cellStyle name="Comma 2 3 27 2" xfId="10402"/>
    <cellStyle name="Comma 2 3 28" xfId="2974"/>
    <cellStyle name="Comma 2 3 28 2" xfId="10403"/>
    <cellStyle name="Comma 2 3 29" xfId="2975"/>
    <cellStyle name="Comma 2 3 29 2" xfId="10404"/>
    <cellStyle name="Comma 2 3 3" xfId="2976"/>
    <cellStyle name="Comma 2 3 3 10" xfId="2977"/>
    <cellStyle name="Comma 2 3 3 10 2" xfId="10406"/>
    <cellStyle name="Comma 2 3 3 11" xfId="2978"/>
    <cellStyle name="Comma 2 3 3 11 2" xfId="10407"/>
    <cellStyle name="Comma 2 3 3 12" xfId="2979"/>
    <cellStyle name="Comma 2 3 3 12 2" xfId="10408"/>
    <cellStyle name="Comma 2 3 3 13" xfId="2980"/>
    <cellStyle name="Comma 2 3 3 13 2" xfId="10409"/>
    <cellStyle name="Comma 2 3 3 14" xfId="10405"/>
    <cellStyle name="Comma 2 3 3 2" xfId="2981"/>
    <cellStyle name="Comma 2 3 3 2 2" xfId="10410"/>
    <cellStyle name="Comma 2 3 3 3" xfId="2982"/>
    <cellStyle name="Comma 2 3 3 3 2" xfId="10411"/>
    <cellStyle name="Comma 2 3 3 4" xfId="2983"/>
    <cellStyle name="Comma 2 3 3 4 2" xfId="10412"/>
    <cellStyle name="Comma 2 3 3 5" xfId="2984"/>
    <cellStyle name="Comma 2 3 3 5 2" xfId="10413"/>
    <cellStyle name="Comma 2 3 3 6" xfId="2985"/>
    <cellStyle name="Comma 2 3 3 6 2" xfId="10414"/>
    <cellStyle name="Comma 2 3 3 7" xfId="2986"/>
    <cellStyle name="Comma 2 3 3 7 2" xfId="10415"/>
    <cellStyle name="Comma 2 3 3 8" xfId="2987"/>
    <cellStyle name="Comma 2 3 3 8 2" xfId="10416"/>
    <cellStyle name="Comma 2 3 3 9" xfId="2988"/>
    <cellStyle name="Comma 2 3 3 9 2" xfId="10417"/>
    <cellStyle name="Comma 2 3 30" xfId="2989"/>
    <cellStyle name="Comma 2 3 30 2" xfId="10418"/>
    <cellStyle name="Comma 2 3 31" xfId="2990"/>
    <cellStyle name="Comma 2 3 31 2" xfId="10419"/>
    <cellStyle name="Comma 2 3 32" xfId="2991"/>
    <cellStyle name="Comma 2 3 32 2" xfId="10420"/>
    <cellStyle name="Comma 2 3 33" xfId="2992"/>
    <cellStyle name="Comma 2 3 33 2" xfId="10421"/>
    <cellStyle name="Comma 2 3 34" xfId="2993"/>
    <cellStyle name="Comma 2 3 34 2" xfId="10422"/>
    <cellStyle name="Comma 2 3 35" xfId="2994"/>
    <cellStyle name="Comma 2 3 35 2" xfId="10423"/>
    <cellStyle name="Comma 2 3 36" xfId="2995"/>
    <cellStyle name="Comma 2 3 36 2" xfId="10424"/>
    <cellStyle name="Comma 2 3 37" xfId="2996"/>
    <cellStyle name="Comma 2 3 37 2" xfId="10425"/>
    <cellStyle name="Comma 2 3 38" xfId="2997"/>
    <cellStyle name="Comma 2 3 38 2" xfId="10426"/>
    <cellStyle name="Comma 2 3 39" xfId="2998"/>
    <cellStyle name="Comma 2 3 39 2" xfId="10427"/>
    <cellStyle name="Comma 2 3 4" xfId="2999"/>
    <cellStyle name="Comma 2 3 4 2" xfId="10428"/>
    <cellStyle name="Comma 2 3 40" xfId="3000"/>
    <cellStyle name="Comma 2 3 40 2" xfId="10429"/>
    <cellStyle name="Comma 2 3 41" xfId="3001"/>
    <cellStyle name="Comma 2 3 41 2" xfId="10430"/>
    <cellStyle name="Comma 2 3 42" xfId="3002"/>
    <cellStyle name="Comma 2 3 42 2" xfId="10431"/>
    <cellStyle name="Comma 2 3 43" xfId="3003"/>
    <cellStyle name="Comma 2 3 43 2" xfId="10432"/>
    <cellStyle name="Comma 2 3 44" xfId="3004"/>
    <cellStyle name="Comma 2 3 44 2" xfId="10433"/>
    <cellStyle name="Comma 2 3 45" xfId="3005"/>
    <cellStyle name="Comma 2 3 45 2" xfId="10434"/>
    <cellStyle name="Comma 2 3 46" xfId="3006"/>
    <cellStyle name="Comma 2 3 46 2" xfId="10435"/>
    <cellStyle name="Comma 2 3 47" xfId="3007"/>
    <cellStyle name="Comma 2 3 47 2" xfId="10436"/>
    <cellStyle name="Comma 2 3 48" xfId="3008"/>
    <cellStyle name="Comma 2 3 48 2" xfId="10437"/>
    <cellStyle name="Comma 2 3 5" xfId="3009"/>
    <cellStyle name="Comma 2 3 5 2" xfId="10438"/>
    <cellStyle name="Comma 2 3 6" xfId="3010"/>
    <cellStyle name="Comma 2 3 6 2" xfId="10439"/>
    <cellStyle name="Comma 2 3 7" xfId="3011"/>
    <cellStyle name="Comma 2 3 7 2" xfId="10440"/>
    <cellStyle name="Comma 2 3 8" xfId="3012"/>
    <cellStyle name="Comma 2 3 8 2" xfId="10441"/>
    <cellStyle name="Comma 2 3 9" xfId="3013"/>
    <cellStyle name="Comma 2 3 9 2" xfId="10442"/>
    <cellStyle name="Comma 2 3_3.1.2 DB Pension Detail" xfId="3014"/>
    <cellStyle name="Comma 2 30" xfId="3015"/>
    <cellStyle name="Comma 2 30 2" xfId="10443"/>
    <cellStyle name="Comma 2 31" xfId="3016"/>
    <cellStyle name="Comma 2 31 2" xfId="10444"/>
    <cellStyle name="Comma 2 32" xfId="3017"/>
    <cellStyle name="Comma 2 32 2" xfId="10445"/>
    <cellStyle name="Comma 2 33" xfId="3018"/>
    <cellStyle name="Comma 2 33 2" xfId="10446"/>
    <cellStyle name="Comma 2 34" xfId="3019"/>
    <cellStyle name="Comma 2 34 2" xfId="10447"/>
    <cellStyle name="Comma 2 35" xfId="3020"/>
    <cellStyle name="Comma 2 35 2" xfId="10448"/>
    <cellStyle name="Comma 2 36" xfId="3021"/>
    <cellStyle name="Comma 2 36 2" xfId="10449"/>
    <cellStyle name="Comma 2 37" xfId="3022"/>
    <cellStyle name="Comma 2 37 2" xfId="10450"/>
    <cellStyle name="Comma 2 38" xfId="3023"/>
    <cellStyle name="Comma 2 38 2" xfId="10451"/>
    <cellStyle name="Comma 2 39" xfId="3024"/>
    <cellStyle name="Comma 2 39 2" xfId="10452"/>
    <cellStyle name="Comma 2 4" xfId="3025"/>
    <cellStyle name="Comma 2 4 10" xfId="3026"/>
    <cellStyle name="Comma 2 4 10 2" xfId="10454"/>
    <cellStyle name="Comma 2 4 11" xfId="3027"/>
    <cellStyle name="Comma 2 4 11 2" xfId="10455"/>
    <cellStyle name="Comma 2 4 12" xfId="3028"/>
    <cellStyle name="Comma 2 4 12 2" xfId="10456"/>
    <cellStyle name="Comma 2 4 13" xfId="3029"/>
    <cellStyle name="Comma 2 4 13 2" xfId="10457"/>
    <cellStyle name="Comma 2 4 14" xfId="3030"/>
    <cellStyle name="Comma 2 4 14 2" xfId="10458"/>
    <cellStyle name="Comma 2 4 15" xfId="3031"/>
    <cellStyle name="Comma 2 4 15 2" xfId="10459"/>
    <cellStyle name="Comma 2 4 16" xfId="3032"/>
    <cellStyle name="Comma 2 4 16 2" xfId="10460"/>
    <cellStyle name="Comma 2 4 17" xfId="3033"/>
    <cellStyle name="Comma 2 4 17 2" xfId="10461"/>
    <cellStyle name="Comma 2 4 18" xfId="3034"/>
    <cellStyle name="Comma 2 4 18 2" xfId="10462"/>
    <cellStyle name="Comma 2 4 19" xfId="3035"/>
    <cellStyle name="Comma 2 4 19 2" xfId="10463"/>
    <cellStyle name="Comma 2 4 2" xfId="3036"/>
    <cellStyle name="Comma 2 4 2 10" xfId="3037"/>
    <cellStyle name="Comma 2 4 2 10 2" xfId="10465"/>
    <cellStyle name="Comma 2 4 2 11" xfId="3038"/>
    <cellStyle name="Comma 2 4 2 11 2" xfId="10466"/>
    <cellStyle name="Comma 2 4 2 12" xfId="3039"/>
    <cellStyle name="Comma 2 4 2 12 2" xfId="10467"/>
    <cellStyle name="Comma 2 4 2 13" xfId="3040"/>
    <cellStyle name="Comma 2 4 2 13 2" xfId="10468"/>
    <cellStyle name="Comma 2 4 2 14" xfId="3041"/>
    <cellStyle name="Comma 2 4 2 14 2" xfId="10469"/>
    <cellStyle name="Comma 2 4 2 15" xfId="3042"/>
    <cellStyle name="Comma 2 4 2 15 2" xfId="10470"/>
    <cellStyle name="Comma 2 4 2 16" xfId="3043"/>
    <cellStyle name="Comma 2 4 2 16 2" xfId="10471"/>
    <cellStyle name="Comma 2 4 2 17" xfId="3044"/>
    <cellStyle name="Comma 2 4 2 17 2" xfId="10472"/>
    <cellStyle name="Comma 2 4 2 18" xfId="10464"/>
    <cellStyle name="Comma 2 4 2 2" xfId="3045"/>
    <cellStyle name="Comma 2 4 2 2 2" xfId="10473"/>
    <cellStyle name="Comma 2 4 2 3" xfId="3046"/>
    <cellStyle name="Comma 2 4 2 3 2" xfId="10474"/>
    <cellStyle name="Comma 2 4 2 4" xfId="3047"/>
    <cellStyle name="Comma 2 4 2 4 2" xfId="10475"/>
    <cellStyle name="Comma 2 4 2 5" xfId="3048"/>
    <cellStyle name="Comma 2 4 2 5 2" xfId="10476"/>
    <cellStyle name="Comma 2 4 2 6" xfId="3049"/>
    <cellStyle name="Comma 2 4 2 6 2" xfId="10477"/>
    <cellStyle name="Comma 2 4 2 7" xfId="3050"/>
    <cellStyle name="Comma 2 4 2 7 2" xfId="10478"/>
    <cellStyle name="Comma 2 4 2 8" xfId="3051"/>
    <cellStyle name="Comma 2 4 2 8 2" xfId="10479"/>
    <cellStyle name="Comma 2 4 2 9" xfId="3052"/>
    <cellStyle name="Comma 2 4 2 9 2" xfId="10480"/>
    <cellStyle name="Comma 2 4 20" xfId="3053"/>
    <cellStyle name="Comma 2 4 20 2" xfId="10481"/>
    <cellStyle name="Comma 2 4 21" xfId="3054"/>
    <cellStyle name="Comma 2 4 21 2" xfId="10482"/>
    <cellStyle name="Comma 2 4 22" xfId="3055"/>
    <cellStyle name="Comma 2 4 22 2" xfId="10483"/>
    <cellStyle name="Comma 2 4 23" xfId="3056"/>
    <cellStyle name="Comma 2 4 23 2" xfId="10484"/>
    <cellStyle name="Comma 2 4 24" xfId="3057"/>
    <cellStyle name="Comma 2 4 24 2" xfId="10485"/>
    <cellStyle name="Comma 2 4 25" xfId="3058"/>
    <cellStyle name="Comma 2 4 25 2" xfId="10486"/>
    <cellStyle name="Comma 2 4 26" xfId="3059"/>
    <cellStyle name="Comma 2 4 26 2" xfId="10487"/>
    <cellStyle name="Comma 2 4 27" xfId="3060"/>
    <cellStyle name="Comma 2 4 27 2" xfId="10488"/>
    <cellStyle name="Comma 2 4 28" xfId="3061"/>
    <cellStyle name="Comma 2 4 28 2" xfId="10489"/>
    <cellStyle name="Comma 2 4 29" xfId="3062"/>
    <cellStyle name="Comma 2 4 29 2" xfId="10490"/>
    <cellStyle name="Comma 2 4 3" xfId="3063"/>
    <cellStyle name="Comma 2 4 3 2" xfId="10491"/>
    <cellStyle name="Comma 2 4 30" xfId="3064"/>
    <cellStyle name="Comma 2 4 30 2" xfId="10492"/>
    <cellStyle name="Comma 2 4 31" xfId="3065"/>
    <cellStyle name="Comma 2 4 31 2" xfId="10493"/>
    <cellStyle name="Comma 2 4 32" xfId="3066"/>
    <cellStyle name="Comma 2 4 32 2" xfId="10494"/>
    <cellStyle name="Comma 2 4 33" xfId="3067"/>
    <cellStyle name="Comma 2 4 33 2" xfId="10495"/>
    <cellStyle name="Comma 2 4 34" xfId="3068"/>
    <cellStyle name="Comma 2 4 34 2" xfId="10496"/>
    <cellStyle name="Comma 2 4 35" xfId="3069"/>
    <cellStyle name="Comma 2 4 35 2" xfId="10497"/>
    <cellStyle name="Comma 2 4 36" xfId="3070"/>
    <cellStyle name="Comma 2 4 36 2" xfId="10498"/>
    <cellStyle name="Comma 2 4 37" xfId="3071"/>
    <cellStyle name="Comma 2 4 37 2" xfId="10499"/>
    <cellStyle name="Comma 2 4 38" xfId="3072"/>
    <cellStyle name="Comma 2 4 38 2" xfId="10500"/>
    <cellStyle name="Comma 2 4 39" xfId="3073"/>
    <cellStyle name="Comma 2 4 39 2" xfId="10501"/>
    <cellStyle name="Comma 2 4 4" xfId="3074"/>
    <cellStyle name="Comma 2 4 4 2" xfId="10502"/>
    <cellStyle name="Comma 2 4 40" xfId="3075"/>
    <cellStyle name="Comma 2 4 40 2" xfId="10503"/>
    <cellStyle name="Comma 2 4 41" xfId="3076"/>
    <cellStyle name="Comma 2 4 41 2" xfId="10504"/>
    <cellStyle name="Comma 2 4 42" xfId="3077"/>
    <cellStyle name="Comma 2 4 42 2" xfId="10505"/>
    <cellStyle name="Comma 2 4 43" xfId="3078"/>
    <cellStyle name="Comma 2 4 43 2" xfId="10506"/>
    <cellStyle name="Comma 2 4 44" xfId="3079"/>
    <cellStyle name="Comma 2 4 44 2" xfId="10507"/>
    <cellStyle name="Comma 2 4 45" xfId="3080"/>
    <cellStyle name="Comma 2 4 45 2" xfId="10508"/>
    <cellStyle name="Comma 2 4 46" xfId="3081"/>
    <cellStyle name="Comma 2 4 46 2" xfId="10509"/>
    <cellStyle name="Comma 2 4 47" xfId="3082"/>
    <cellStyle name="Comma 2 4 47 2" xfId="10510"/>
    <cellStyle name="Comma 2 4 48" xfId="3083"/>
    <cellStyle name="Comma 2 4 48 2" xfId="10511"/>
    <cellStyle name="Comma 2 4 49" xfId="3084"/>
    <cellStyle name="Comma 2 4 49 2" xfId="10512"/>
    <cellStyle name="Comma 2 4 5" xfId="3085"/>
    <cellStyle name="Comma 2 4 5 2" xfId="10513"/>
    <cellStyle name="Comma 2 4 50" xfId="3086"/>
    <cellStyle name="Comma 2 4 50 2" xfId="10514"/>
    <cellStyle name="Comma 2 4 51" xfId="3087"/>
    <cellStyle name="Comma 2 4 51 2" xfId="10515"/>
    <cellStyle name="Comma 2 4 52" xfId="3088"/>
    <cellStyle name="Comma 2 4 52 2" xfId="10516"/>
    <cellStyle name="Comma 2 4 53" xfId="3089"/>
    <cellStyle name="Comma 2 4 53 2" xfId="10517"/>
    <cellStyle name="Comma 2 4 54" xfId="3090"/>
    <cellStyle name="Comma 2 4 54 2" xfId="10518"/>
    <cellStyle name="Comma 2 4 55" xfId="3091"/>
    <cellStyle name="Comma 2 4 55 2" xfId="10519"/>
    <cellStyle name="Comma 2 4 56" xfId="3092"/>
    <cellStyle name="Comma 2 4 56 2" xfId="10520"/>
    <cellStyle name="Comma 2 4 57" xfId="3093"/>
    <cellStyle name="Comma 2 4 57 2" xfId="10521"/>
    <cellStyle name="Comma 2 4 58" xfId="3094"/>
    <cellStyle name="Comma 2 4 58 2" xfId="10522"/>
    <cellStyle name="Comma 2 4 59" xfId="3095"/>
    <cellStyle name="Comma 2 4 59 2" xfId="10523"/>
    <cellStyle name="Comma 2 4 6" xfId="3096"/>
    <cellStyle name="Comma 2 4 6 2" xfId="10524"/>
    <cellStyle name="Comma 2 4 60" xfId="3097"/>
    <cellStyle name="Comma 2 4 60 2" xfId="10525"/>
    <cellStyle name="Comma 2 4 61" xfId="3098"/>
    <cellStyle name="Comma 2 4 61 2" xfId="10526"/>
    <cellStyle name="Comma 2 4 62" xfId="3099"/>
    <cellStyle name="Comma 2 4 62 2" xfId="10527"/>
    <cellStyle name="Comma 2 4 63" xfId="3100"/>
    <cellStyle name="Comma 2 4 63 2" xfId="10528"/>
    <cellStyle name="Comma 2 4 64" xfId="3101"/>
    <cellStyle name="Comma 2 4 65" xfId="3102"/>
    <cellStyle name="Comma 2 4 66" xfId="3103"/>
    <cellStyle name="Comma 2 4 67" xfId="3104"/>
    <cellStyle name="Comma 2 4 68" xfId="3105"/>
    <cellStyle name="Comma 2 4 69" xfId="3106"/>
    <cellStyle name="Comma 2 4 7" xfId="3107"/>
    <cellStyle name="Comma 2 4 7 2" xfId="10529"/>
    <cellStyle name="Comma 2 4 70" xfId="3108"/>
    <cellStyle name="Comma 2 4 71" xfId="3109"/>
    <cellStyle name="Comma 2 4 72" xfId="3110"/>
    <cellStyle name="Comma 2 4 73" xfId="3111"/>
    <cellStyle name="Comma 2 4 74" xfId="3112"/>
    <cellStyle name="Comma 2 4 75" xfId="3113"/>
    <cellStyle name="Comma 2 4 76" xfId="3114"/>
    <cellStyle name="Comma 2 4 77" xfId="3115"/>
    <cellStyle name="Comma 2 4 78" xfId="3116"/>
    <cellStyle name="Comma 2 4 79" xfId="10453"/>
    <cellStyle name="Comma 2 4 8" xfId="3117"/>
    <cellStyle name="Comma 2 4 8 2" xfId="10530"/>
    <cellStyle name="Comma 2 4 9" xfId="3118"/>
    <cellStyle name="Comma 2 4 9 2" xfId="10531"/>
    <cellStyle name="Comma 2 40" xfId="3119"/>
    <cellStyle name="Comma 2 40 2" xfId="10532"/>
    <cellStyle name="Comma 2 41" xfId="3120"/>
    <cellStyle name="Comma 2 41 2" xfId="10533"/>
    <cellStyle name="Comma 2 42" xfId="3121"/>
    <cellStyle name="Comma 2 42 2" xfId="10534"/>
    <cellStyle name="Comma 2 43" xfId="3122"/>
    <cellStyle name="Comma 2 43 2" xfId="10535"/>
    <cellStyle name="Comma 2 44" xfId="3123"/>
    <cellStyle name="Comma 2 44 2" xfId="10536"/>
    <cellStyle name="Comma 2 45" xfId="3124"/>
    <cellStyle name="Comma 2 45 2" xfId="10537"/>
    <cellStyle name="Comma 2 46" xfId="3125"/>
    <cellStyle name="Comma 2 46 2" xfId="10538"/>
    <cellStyle name="Comma 2 47" xfId="3126"/>
    <cellStyle name="Comma 2 47 2" xfId="10539"/>
    <cellStyle name="Comma 2 48" xfId="3127"/>
    <cellStyle name="Comma 2 48 2" xfId="10540"/>
    <cellStyle name="Comma 2 49" xfId="3128"/>
    <cellStyle name="Comma 2 49 2" xfId="10541"/>
    <cellStyle name="Comma 2 5" xfId="3129"/>
    <cellStyle name="Comma 2 5 2" xfId="10542"/>
    <cellStyle name="Comma 2 50" xfId="3130"/>
    <cellStyle name="Comma 2 50 2" xfId="10543"/>
    <cellStyle name="Comma 2 51" xfId="3131"/>
    <cellStyle name="Comma 2 51 10" xfId="3132"/>
    <cellStyle name="Comma 2 51 11" xfId="3133"/>
    <cellStyle name="Comma 2 51 12" xfId="3134"/>
    <cellStyle name="Comma 2 51 13" xfId="3135"/>
    <cellStyle name="Comma 2 51 14" xfId="3136"/>
    <cellStyle name="Comma 2 51 15" xfId="3137"/>
    <cellStyle name="Comma 2 51 16" xfId="3138"/>
    <cellStyle name="Comma 2 51 17" xfId="3139"/>
    <cellStyle name="Comma 2 51 18" xfId="10544"/>
    <cellStyle name="Comma 2 51 2" xfId="3140"/>
    <cellStyle name="Comma 2 51 3" xfId="3141"/>
    <cellStyle name="Comma 2 51 4" xfId="3142"/>
    <cellStyle name="Comma 2 51 5" xfId="3143"/>
    <cellStyle name="Comma 2 51 6" xfId="3144"/>
    <cellStyle name="Comma 2 51 7" xfId="3145"/>
    <cellStyle name="Comma 2 51 8" xfId="3146"/>
    <cellStyle name="Comma 2 51 9" xfId="3147"/>
    <cellStyle name="Comma 2 52" xfId="3148"/>
    <cellStyle name="Comma 2 52 10" xfId="3149"/>
    <cellStyle name="Comma 2 52 11" xfId="3150"/>
    <cellStyle name="Comma 2 52 12" xfId="3151"/>
    <cellStyle name="Comma 2 52 13" xfId="3152"/>
    <cellStyle name="Comma 2 52 14" xfId="3153"/>
    <cellStyle name="Comma 2 52 15" xfId="3154"/>
    <cellStyle name="Comma 2 52 16" xfId="3155"/>
    <cellStyle name="Comma 2 52 17" xfId="3156"/>
    <cellStyle name="Comma 2 52 18" xfId="10545"/>
    <cellStyle name="Comma 2 52 2" xfId="3157"/>
    <cellStyle name="Comma 2 52 3" xfId="3158"/>
    <cellStyle name="Comma 2 52 4" xfId="3159"/>
    <cellStyle name="Comma 2 52 5" xfId="3160"/>
    <cellStyle name="Comma 2 52 6" xfId="3161"/>
    <cellStyle name="Comma 2 52 7" xfId="3162"/>
    <cellStyle name="Comma 2 52 8" xfId="3163"/>
    <cellStyle name="Comma 2 52 9" xfId="3164"/>
    <cellStyle name="Comma 2 53" xfId="3165"/>
    <cellStyle name="Comma 2 53 2" xfId="10546"/>
    <cellStyle name="Comma 2 54" xfId="3166"/>
    <cellStyle name="Comma 2 54 2" xfId="10547"/>
    <cellStyle name="Comma 2 55" xfId="3167"/>
    <cellStyle name="Comma 2 55 2" xfId="10548"/>
    <cellStyle name="Comma 2 56" xfId="3168"/>
    <cellStyle name="Comma 2 56 2" xfId="10549"/>
    <cellStyle name="Comma 2 57" xfId="3169"/>
    <cellStyle name="Comma 2 57 2" xfId="10550"/>
    <cellStyle name="Comma 2 58" xfId="3170"/>
    <cellStyle name="Comma 2 58 2" xfId="10551"/>
    <cellStyle name="Comma 2 59" xfId="3171"/>
    <cellStyle name="Comma 2 59 2" xfId="10552"/>
    <cellStyle name="Comma 2 6" xfId="3172"/>
    <cellStyle name="Comma 2 6 2" xfId="10553"/>
    <cellStyle name="Comma 2 60" xfId="3173"/>
    <cellStyle name="Comma 2 60 2" xfId="10554"/>
    <cellStyle name="Comma 2 61" xfId="3174"/>
    <cellStyle name="Comma 2 61 2" xfId="10555"/>
    <cellStyle name="Comma 2 62" xfId="3175"/>
    <cellStyle name="Comma 2 62 2" xfId="10556"/>
    <cellStyle name="Comma 2 63" xfId="3176"/>
    <cellStyle name="Comma 2 63 2" xfId="10557"/>
    <cellStyle name="Comma 2 64" xfId="3177"/>
    <cellStyle name="Comma 2 65" xfId="3178"/>
    <cellStyle name="Comma 2 66" xfId="3179"/>
    <cellStyle name="Comma 2 67" xfId="3180"/>
    <cellStyle name="Comma 2 68" xfId="3181"/>
    <cellStyle name="Comma 2 69" xfId="3182"/>
    <cellStyle name="Comma 2 7" xfId="3183"/>
    <cellStyle name="Comma 2 7 2" xfId="10558"/>
    <cellStyle name="Comma 2 70" xfId="3184"/>
    <cellStyle name="Comma 2 71" xfId="3185"/>
    <cellStyle name="Comma 2 72" xfId="3186"/>
    <cellStyle name="Comma 2 73" xfId="3187"/>
    <cellStyle name="Comma 2 74" xfId="3188"/>
    <cellStyle name="Comma 2 75" xfId="3189"/>
    <cellStyle name="Comma 2 76" xfId="3190"/>
    <cellStyle name="Comma 2 77" xfId="3191"/>
    <cellStyle name="Comma 2 78" xfId="3192"/>
    <cellStyle name="Comma 2 79" xfId="3193"/>
    <cellStyle name="Comma 2 8" xfId="3194"/>
    <cellStyle name="Comma 2 8 2" xfId="10559"/>
    <cellStyle name="Comma 2 80" xfId="3195"/>
    <cellStyle name="Comma 2 81" xfId="3196"/>
    <cellStyle name="Comma 2 82" xfId="3197"/>
    <cellStyle name="Comma 2 83" xfId="3198"/>
    <cellStyle name="Comma 2 84" xfId="3199"/>
    <cellStyle name="Comma 2 85" xfId="3200"/>
    <cellStyle name="Comma 2 86" xfId="3201"/>
    <cellStyle name="Comma 2 87" xfId="3202"/>
    <cellStyle name="Comma 2 88" xfId="3203"/>
    <cellStyle name="Comma 2 89" xfId="3204"/>
    <cellStyle name="Comma 2 9" xfId="3205"/>
    <cellStyle name="Comma 2 9 2" xfId="10560"/>
    <cellStyle name="Comma 2 90" xfId="3206"/>
    <cellStyle name="Comma 2 91" xfId="3207"/>
    <cellStyle name="Comma 2 92" xfId="3208"/>
    <cellStyle name="Comma 2 93" xfId="3209"/>
    <cellStyle name="Comma 2 94" xfId="3210"/>
    <cellStyle name="Comma 2 95" xfId="3211"/>
    <cellStyle name="Comma 2 96" xfId="3212"/>
    <cellStyle name="Comma 2 97" xfId="3213"/>
    <cellStyle name="Comma 2 98" xfId="3214"/>
    <cellStyle name="Comma 2 99" xfId="3215"/>
    <cellStyle name="Comma 2*" xfId="3216"/>
    <cellStyle name="Comma 2_2.11 Staff NG BS" xfId="3217"/>
    <cellStyle name="Comma 20" xfId="3218"/>
    <cellStyle name="Comma 20 2" xfId="3219"/>
    <cellStyle name="Comma 20 2 2" xfId="10562"/>
    <cellStyle name="Comma 20 3" xfId="3220"/>
    <cellStyle name="Comma 20 3 2" xfId="10563"/>
    <cellStyle name="Comma 20 4" xfId="10561"/>
    <cellStyle name="Comma 21" xfId="3221"/>
    <cellStyle name="Comma 21 2" xfId="3222"/>
    <cellStyle name="Comma 21 2 2" xfId="10565"/>
    <cellStyle name="Comma 21 3" xfId="3223"/>
    <cellStyle name="Comma 21 3 2" xfId="10566"/>
    <cellStyle name="Comma 21 4" xfId="3224"/>
    <cellStyle name="Comma 21 4 2" xfId="10567"/>
    <cellStyle name="Comma 21 5" xfId="10564"/>
    <cellStyle name="Comma 22" xfId="3225"/>
    <cellStyle name="Comma 22 10" xfId="10568"/>
    <cellStyle name="Comma 22 2" xfId="3226"/>
    <cellStyle name="Comma 22 2 2" xfId="4484"/>
    <cellStyle name="Comma 22 2 2 2" xfId="4856"/>
    <cellStyle name="Comma 22 2 2 2 2" xfId="8599"/>
    <cellStyle name="Comma 22 2 2 2 2 2" xfId="15147"/>
    <cellStyle name="Comma 22 2 2 2 3" xfId="6880"/>
    <cellStyle name="Comma 22 2 2 2 3 2" xfId="13566"/>
    <cellStyle name="Comma 22 2 2 2 4" xfId="11781"/>
    <cellStyle name="Comma 22 2 2 3" xfId="5311"/>
    <cellStyle name="Comma 22 2 2 3 2" xfId="9054"/>
    <cellStyle name="Comma 22 2 2 3 2 2" xfId="15598"/>
    <cellStyle name="Comma 22 2 2 3 3" xfId="7335"/>
    <cellStyle name="Comma 22 2 2 3 3 2" xfId="14017"/>
    <cellStyle name="Comma 22 2 2 3 4" xfId="12232"/>
    <cellStyle name="Comma 22 2 2 4" xfId="5749"/>
    <cellStyle name="Comma 22 2 2 4 2" xfId="9490"/>
    <cellStyle name="Comma 22 2 2 4 2 2" xfId="15992"/>
    <cellStyle name="Comma 22 2 2 4 3" xfId="7771"/>
    <cellStyle name="Comma 22 2 2 4 3 2" xfId="14411"/>
    <cellStyle name="Comma 22 2 2 4 4" xfId="12642"/>
    <cellStyle name="Comma 22 2 2 5" xfId="9852"/>
    <cellStyle name="Comma 22 2 2 5 2" xfId="16333"/>
    <cellStyle name="Comma 22 2 2 6" xfId="8248"/>
    <cellStyle name="Comma 22 2 2 6 2" xfId="14805"/>
    <cellStyle name="Comma 22 2 2 7" xfId="6529"/>
    <cellStyle name="Comma 22 2 2 7 2" xfId="13219"/>
    <cellStyle name="Comma 22 2 2 8" xfId="11429"/>
    <cellStyle name="Comma 22 2 3" xfId="4757"/>
    <cellStyle name="Comma 22 2 3 2" xfId="8500"/>
    <cellStyle name="Comma 22 2 3 2 2" xfId="15052"/>
    <cellStyle name="Comma 22 2 3 3" xfId="6781"/>
    <cellStyle name="Comma 22 2 3 3 2" xfId="13471"/>
    <cellStyle name="Comma 22 2 3 4" xfId="11686"/>
    <cellStyle name="Comma 22 2 4" xfId="5114"/>
    <cellStyle name="Comma 22 2 4 2" xfId="8857"/>
    <cellStyle name="Comma 22 2 4 2 2" xfId="15401"/>
    <cellStyle name="Comma 22 2 4 3" xfId="7138"/>
    <cellStyle name="Comma 22 2 4 3 2" xfId="13820"/>
    <cellStyle name="Comma 22 2 4 4" xfId="12035"/>
    <cellStyle name="Comma 22 2 5" xfId="5547"/>
    <cellStyle name="Comma 22 2 5 2" xfId="9288"/>
    <cellStyle name="Comma 22 2 5 2 2" xfId="15795"/>
    <cellStyle name="Comma 22 2 5 3" xfId="7569"/>
    <cellStyle name="Comma 22 2 5 3 2" xfId="14214"/>
    <cellStyle name="Comma 22 2 5 4" xfId="12440"/>
    <cellStyle name="Comma 22 2 6" xfId="9747"/>
    <cellStyle name="Comma 22 2 6 2" xfId="16238"/>
    <cellStyle name="Comma 22 2 7" xfId="7994"/>
    <cellStyle name="Comma 22 2 7 2" xfId="14608"/>
    <cellStyle name="Comma 22 2 8" xfId="6226"/>
    <cellStyle name="Comma 22 2 8 2" xfId="12951"/>
    <cellStyle name="Comma 22 2 9" xfId="10569"/>
    <cellStyle name="Comma 22 3" xfId="4483"/>
    <cellStyle name="Comma 22 3 2" xfId="4857"/>
    <cellStyle name="Comma 22 3 2 2" xfId="8600"/>
    <cellStyle name="Comma 22 3 2 2 2" xfId="15148"/>
    <cellStyle name="Comma 22 3 2 3" xfId="6881"/>
    <cellStyle name="Comma 22 3 2 3 2" xfId="13567"/>
    <cellStyle name="Comma 22 3 2 4" xfId="11782"/>
    <cellStyle name="Comma 22 3 3" xfId="5310"/>
    <cellStyle name="Comma 22 3 3 2" xfId="9053"/>
    <cellStyle name="Comma 22 3 3 2 2" xfId="15597"/>
    <cellStyle name="Comma 22 3 3 3" xfId="7334"/>
    <cellStyle name="Comma 22 3 3 3 2" xfId="14016"/>
    <cellStyle name="Comma 22 3 3 4" xfId="12231"/>
    <cellStyle name="Comma 22 3 4" xfId="5748"/>
    <cellStyle name="Comma 22 3 4 2" xfId="9489"/>
    <cellStyle name="Comma 22 3 4 2 2" xfId="15991"/>
    <cellStyle name="Comma 22 3 4 3" xfId="7770"/>
    <cellStyle name="Comma 22 3 4 3 2" xfId="14410"/>
    <cellStyle name="Comma 22 3 4 4" xfId="12641"/>
    <cellStyle name="Comma 22 3 5" xfId="9853"/>
    <cellStyle name="Comma 22 3 5 2" xfId="16334"/>
    <cellStyle name="Comma 22 3 6" xfId="8247"/>
    <cellStyle name="Comma 22 3 6 2" xfId="14804"/>
    <cellStyle name="Comma 22 3 7" xfId="6528"/>
    <cellStyle name="Comma 22 3 7 2" xfId="13218"/>
    <cellStyle name="Comma 22 3 8" xfId="11428"/>
    <cellStyle name="Comma 22 4" xfId="4693"/>
    <cellStyle name="Comma 22 4 2" xfId="8439"/>
    <cellStyle name="Comma 22 4 2 2" xfId="14991"/>
    <cellStyle name="Comma 22 4 3" xfId="6720"/>
    <cellStyle name="Comma 22 4 3 2" xfId="13410"/>
    <cellStyle name="Comma 22 4 4" xfId="11624"/>
    <cellStyle name="Comma 22 5" xfId="5113"/>
    <cellStyle name="Comma 22 5 2" xfId="8856"/>
    <cellStyle name="Comma 22 5 2 2" xfId="15400"/>
    <cellStyle name="Comma 22 5 3" xfId="7137"/>
    <cellStyle name="Comma 22 5 3 2" xfId="13819"/>
    <cellStyle name="Comma 22 5 4" xfId="12034"/>
    <cellStyle name="Comma 22 6" xfId="5546"/>
    <cellStyle name="Comma 22 6 2" xfId="9287"/>
    <cellStyle name="Comma 22 6 2 2" xfId="15794"/>
    <cellStyle name="Comma 22 6 3" xfId="7568"/>
    <cellStyle name="Comma 22 6 3 2" xfId="14213"/>
    <cellStyle name="Comma 22 6 4" xfId="12439"/>
    <cellStyle name="Comma 22 7" xfId="9676"/>
    <cellStyle name="Comma 22 7 2" xfId="16176"/>
    <cellStyle name="Comma 22 8" xfId="7993"/>
    <cellStyle name="Comma 22 8 2" xfId="14607"/>
    <cellStyle name="Comma 22 9" xfId="6225"/>
    <cellStyle name="Comma 22 9 2" xfId="12950"/>
    <cellStyle name="Comma 23" xfId="3227"/>
    <cellStyle name="Comma 23 2" xfId="10570"/>
    <cellStyle name="Comma 24" xfId="3228"/>
    <cellStyle name="Comma 24 2" xfId="10571"/>
    <cellStyle name="Comma 25" xfId="3229"/>
    <cellStyle name="Comma 25 2" xfId="10572"/>
    <cellStyle name="Comma 26" xfId="3230"/>
    <cellStyle name="Comma 26 2" xfId="10573"/>
    <cellStyle name="Comma 27" xfId="4646"/>
    <cellStyle name="Comma 27 2" xfId="11591"/>
    <cellStyle name="Comma 28" xfId="4647"/>
    <cellStyle name="Comma 28 2" xfId="11592"/>
    <cellStyle name="Comma 29" xfId="4648"/>
    <cellStyle name="Comma 29 2" xfId="11593"/>
    <cellStyle name="Comma 3" xfId="12"/>
    <cellStyle name="Comma 3 10" xfId="3231"/>
    <cellStyle name="Comma 3 10 2" xfId="10574"/>
    <cellStyle name="Comma 3 100" xfId="3232"/>
    <cellStyle name="Comma 3 100 2" xfId="10575"/>
    <cellStyle name="Comma 3 101" xfId="3233"/>
    <cellStyle name="Comma 3 101 2" xfId="10576"/>
    <cellStyle name="Comma 3 102" xfId="3234"/>
    <cellStyle name="Comma 3 102 2" xfId="10577"/>
    <cellStyle name="Comma 3 103" xfId="3235"/>
    <cellStyle name="Comma 3 103 2" xfId="10578"/>
    <cellStyle name="Comma 3 104" xfId="3236"/>
    <cellStyle name="Comma 3 104 2" xfId="10579"/>
    <cellStyle name="Comma 3 105" xfId="3237"/>
    <cellStyle name="Comma 3 105 2" xfId="10580"/>
    <cellStyle name="Comma 3 106" xfId="3238"/>
    <cellStyle name="Comma 3 106 2" xfId="10581"/>
    <cellStyle name="Comma 3 107" xfId="3239"/>
    <cellStyle name="Comma 3 107 2" xfId="10582"/>
    <cellStyle name="Comma 3 108" xfId="3240"/>
    <cellStyle name="Comma 3 108 2" xfId="10583"/>
    <cellStyle name="Comma 3 109" xfId="3241"/>
    <cellStyle name="Comma 3 109 2" xfId="10584"/>
    <cellStyle name="Comma 3 11" xfId="3242"/>
    <cellStyle name="Comma 3 11 2" xfId="10585"/>
    <cellStyle name="Comma 3 110" xfId="3243"/>
    <cellStyle name="Comma 3 110 2" xfId="10586"/>
    <cellStyle name="Comma 3 111" xfId="3244"/>
    <cellStyle name="Comma 3 111 2" xfId="10587"/>
    <cellStyle name="Comma 3 112" xfId="3245"/>
    <cellStyle name="Comma 3 112 2" xfId="10588"/>
    <cellStyle name="Comma 3 113" xfId="3246"/>
    <cellStyle name="Comma 3 113 2" xfId="10589"/>
    <cellStyle name="Comma 3 114" xfId="3247"/>
    <cellStyle name="Comma 3 114 2" xfId="10590"/>
    <cellStyle name="Comma 3 115" xfId="3248"/>
    <cellStyle name="Comma 3 115 2" xfId="10591"/>
    <cellStyle name="Comma 3 116" xfId="3249"/>
    <cellStyle name="Comma 3 116 2" xfId="10592"/>
    <cellStyle name="Comma 3 117" xfId="3250"/>
    <cellStyle name="Comma 3 117 2" xfId="10593"/>
    <cellStyle name="Comma 3 118" xfId="3251"/>
    <cellStyle name="Comma 3 118 2" xfId="10594"/>
    <cellStyle name="Comma 3 119" xfId="3252"/>
    <cellStyle name="Comma 3 119 2" xfId="10595"/>
    <cellStyle name="Comma 3 12" xfId="3253"/>
    <cellStyle name="Comma 3 12 2" xfId="10596"/>
    <cellStyle name="Comma 3 120" xfId="3254"/>
    <cellStyle name="Comma 3 120 2" xfId="10597"/>
    <cellStyle name="Comma 3 121" xfId="3255"/>
    <cellStyle name="Comma 3 121 2" xfId="10598"/>
    <cellStyle name="Comma 3 122" xfId="3256"/>
    <cellStyle name="Comma 3 122 2" xfId="10599"/>
    <cellStyle name="Comma 3 123" xfId="3257"/>
    <cellStyle name="Comma 3 123 2" xfId="10600"/>
    <cellStyle name="Comma 3 124" xfId="3258"/>
    <cellStyle name="Comma 3 124 2" xfId="10601"/>
    <cellStyle name="Comma 3 125" xfId="3259"/>
    <cellStyle name="Comma 3 125 2" xfId="10602"/>
    <cellStyle name="Comma 3 126" xfId="3260"/>
    <cellStyle name="Comma 3 126 2" xfId="10603"/>
    <cellStyle name="Comma 3 127" xfId="10250"/>
    <cellStyle name="Comma 3 13" xfId="3261"/>
    <cellStyle name="Comma 3 13 2" xfId="10604"/>
    <cellStyle name="Comma 3 14" xfId="3262"/>
    <cellStyle name="Comma 3 14 2" xfId="10605"/>
    <cellStyle name="Comma 3 15" xfId="3263"/>
    <cellStyle name="Comma 3 15 2" xfId="10606"/>
    <cellStyle name="Comma 3 16" xfId="3264"/>
    <cellStyle name="Comma 3 16 2" xfId="10607"/>
    <cellStyle name="Comma 3 17" xfId="3265"/>
    <cellStyle name="Comma 3 17 2" xfId="10608"/>
    <cellStyle name="Comma 3 18" xfId="3266"/>
    <cellStyle name="Comma 3 18 2" xfId="10609"/>
    <cellStyle name="Comma 3 19" xfId="3267"/>
    <cellStyle name="Comma 3 19 2" xfId="10610"/>
    <cellStyle name="Comma 3 2" xfId="3268"/>
    <cellStyle name="Comma 3 2 2" xfId="3269"/>
    <cellStyle name="Comma 3 2 2 10" xfId="3270"/>
    <cellStyle name="Comma 3 2 2 10 2" xfId="10613"/>
    <cellStyle name="Comma 3 2 2 11" xfId="3271"/>
    <cellStyle name="Comma 3 2 2 11 2" xfId="10614"/>
    <cellStyle name="Comma 3 2 2 12" xfId="3272"/>
    <cellStyle name="Comma 3 2 2 12 2" xfId="10615"/>
    <cellStyle name="Comma 3 2 2 13" xfId="3273"/>
    <cellStyle name="Comma 3 2 2 13 2" xfId="10616"/>
    <cellStyle name="Comma 3 2 2 14" xfId="3274"/>
    <cellStyle name="Comma 3 2 2 14 2" xfId="10617"/>
    <cellStyle name="Comma 3 2 2 15" xfId="10612"/>
    <cellStyle name="Comma 3 2 2 2" xfId="3275"/>
    <cellStyle name="Comma 3 2 2 2 2" xfId="10618"/>
    <cellStyle name="Comma 3 2 2 3" xfId="3276"/>
    <cellStyle name="Comma 3 2 2 3 2" xfId="10619"/>
    <cellStyle name="Comma 3 2 2 4" xfId="3277"/>
    <cellStyle name="Comma 3 2 2 4 2" xfId="10620"/>
    <cellStyle name="Comma 3 2 2 5" xfId="3278"/>
    <cellStyle name="Comma 3 2 2 5 2" xfId="10621"/>
    <cellStyle name="Comma 3 2 2 6" xfId="3279"/>
    <cellStyle name="Comma 3 2 2 6 2" xfId="10622"/>
    <cellStyle name="Comma 3 2 2 7" xfId="3280"/>
    <cellStyle name="Comma 3 2 2 7 2" xfId="10623"/>
    <cellStyle name="Comma 3 2 2 8" xfId="3281"/>
    <cellStyle name="Comma 3 2 2 8 2" xfId="10624"/>
    <cellStyle name="Comma 3 2 2 9" xfId="3282"/>
    <cellStyle name="Comma 3 2 2 9 2" xfId="10625"/>
    <cellStyle name="Comma 3 2 3" xfId="3283"/>
    <cellStyle name="Comma 3 2 3 2" xfId="3284"/>
    <cellStyle name="Comma 3 2 3 2 2" xfId="10627"/>
    <cellStyle name="Comma 3 2 3 3" xfId="10626"/>
    <cellStyle name="Comma 3 2 4" xfId="3285"/>
    <cellStyle name="Comma 3 2 4 2" xfId="10628"/>
    <cellStyle name="Comma 3 2 5" xfId="3286"/>
    <cellStyle name="Comma 3 2 5 2" xfId="10629"/>
    <cellStyle name="Comma 3 2 6" xfId="10611"/>
    <cellStyle name="Comma 3 2_3.1.2 DB Pension Detail" xfId="3287"/>
    <cellStyle name="Comma 3 20" xfId="3288"/>
    <cellStyle name="Comma 3 20 2" xfId="10630"/>
    <cellStyle name="Comma 3 21" xfId="3289"/>
    <cellStyle name="Comma 3 21 2" xfId="10631"/>
    <cellStyle name="Comma 3 22" xfId="3290"/>
    <cellStyle name="Comma 3 22 2" xfId="10632"/>
    <cellStyle name="Comma 3 23" xfId="3291"/>
    <cellStyle name="Comma 3 23 2" xfId="10633"/>
    <cellStyle name="Comma 3 24" xfId="3292"/>
    <cellStyle name="Comma 3 24 2" xfId="10634"/>
    <cellStyle name="Comma 3 25" xfId="3293"/>
    <cellStyle name="Comma 3 25 2" xfId="10635"/>
    <cellStyle name="Comma 3 26" xfId="3294"/>
    <cellStyle name="Comma 3 26 2" xfId="10636"/>
    <cellStyle name="Comma 3 27" xfId="3295"/>
    <cellStyle name="Comma 3 27 2" xfId="10637"/>
    <cellStyle name="Comma 3 28" xfId="3296"/>
    <cellStyle name="Comma 3 28 2" xfId="10638"/>
    <cellStyle name="Comma 3 29" xfId="3297"/>
    <cellStyle name="Comma 3 29 2" xfId="10639"/>
    <cellStyle name="Comma 3 3" xfId="3298"/>
    <cellStyle name="Comma 3 3 2" xfId="3299"/>
    <cellStyle name="Comma 3 3 2 2" xfId="3300"/>
    <cellStyle name="Comma 3 3 2 2 2" xfId="10642"/>
    <cellStyle name="Comma 3 3 2 3" xfId="10641"/>
    <cellStyle name="Comma 3 3 3" xfId="3301"/>
    <cellStyle name="Comma 3 3 3 2" xfId="10643"/>
    <cellStyle name="Comma 3 3 4" xfId="3302"/>
    <cellStyle name="Comma 3 3 4 2" xfId="10644"/>
    <cellStyle name="Comma 3 3 5" xfId="10640"/>
    <cellStyle name="Comma 3 30" xfId="3303"/>
    <cellStyle name="Comma 3 30 2" xfId="10645"/>
    <cellStyle name="Comma 3 31" xfId="3304"/>
    <cellStyle name="Comma 3 31 2" xfId="10646"/>
    <cellStyle name="Comma 3 32" xfId="3305"/>
    <cellStyle name="Comma 3 32 2" xfId="10647"/>
    <cellStyle name="Comma 3 33" xfId="3306"/>
    <cellStyle name="Comma 3 33 2" xfId="10648"/>
    <cellStyle name="Comma 3 34" xfId="3307"/>
    <cellStyle name="Comma 3 34 2" xfId="10649"/>
    <cellStyle name="Comma 3 35" xfId="3308"/>
    <cellStyle name="Comma 3 35 2" xfId="10650"/>
    <cellStyle name="Comma 3 36" xfId="3309"/>
    <cellStyle name="Comma 3 36 2" xfId="10651"/>
    <cellStyle name="Comma 3 37" xfId="3310"/>
    <cellStyle name="Comma 3 37 2" xfId="10652"/>
    <cellStyle name="Comma 3 38" xfId="3311"/>
    <cellStyle name="Comma 3 38 2" xfId="10653"/>
    <cellStyle name="Comma 3 39" xfId="3312"/>
    <cellStyle name="Comma 3 39 2" xfId="10654"/>
    <cellStyle name="Comma 3 4" xfId="3313"/>
    <cellStyle name="Comma 3 4 2" xfId="10655"/>
    <cellStyle name="Comma 3 40" xfId="3314"/>
    <cellStyle name="Comma 3 40 2" xfId="10656"/>
    <cellStyle name="Comma 3 41" xfId="3315"/>
    <cellStyle name="Comma 3 41 2" xfId="10657"/>
    <cellStyle name="Comma 3 42" xfId="3316"/>
    <cellStyle name="Comma 3 42 2" xfId="10658"/>
    <cellStyle name="Comma 3 43" xfId="3317"/>
    <cellStyle name="Comma 3 43 2" xfId="10659"/>
    <cellStyle name="Comma 3 44" xfId="3318"/>
    <cellStyle name="Comma 3 44 2" xfId="10660"/>
    <cellStyle name="Comma 3 45" xfId="3319"/>
    <cellStyle name="Comma 3 45 2" xfId="10661"/>
    <cellStyle name="Comma 3 46" xfId="3320"/>
    <cellStyle name="Comma 3 46 2" xfId="10662"/>
    <cellStyle name="Comma 3 47" xfId="3321"/>
    <cellStyle name="Comma 3 47 2" xfId="10663"/>
    <cellStyle name="Comma 3 48" xfId="3322"/>
    <cellStyle name="Comma 3 48 2" xfId="10664"/>
    <cellStyle name="Comma 3 49" xfId="3323"/>
    <cellStyle name="Comma 3 49 2" xfId="10665"/>
    <cellStyle name="Comma 3 5" xfId="3324"/>
    <cellStyle name="Comma 3 5 2" xfId="10666"/>
    <cellStyle name="Comma 3 50" xfId="3325"/>
    <cellStyle name="Comma 3 50 2" xfId="10667"/>
    <cellStyle name="Comma 3 51" xfId="3326"/>
    <cellStyle name="Comma 3 51 10" xfId="3327"/>
    <cellStyle name="Comma 3 51 10 2" xfId="10669"/>
    <cellStyle name="Comma 3 51 11" xfId="3328"/>
    <cellStyle name="Comma 3 51 11 2" xfId="10670"/>
    <cellStyle name="Comma 3 51 12" xfId="3329"/>
    <cellStyle name="Comma 3 51 12 2" xfId="10671"/>
    <cellStyle name="Comma 3 51 13" xfId="3330"/>
    <cellStyle name="Comma 3 51 13 2" xfId="10672"/>
    <cellStyle name="Comma 3 51 14" xfId="3331"/>
    <cellStyle name="Comma 3 51 14 2" xfId="10673"/>
    <cellStyle name="Comma 3 51 15" xfId="3332"/>
    <cellStyle name="Comma 3 51 15 2" xfId="10674"/>
    <cellStyle name="Comma 3 51 16" xfId="3333"/>
    <cellStyle name="Comma 3 51 16 2" xfId="10675"/>
    <cellStyle name="Comma 3 51 17" xfId="3334"/>
    <cellStyle name="Comma 3 51 17 2" xfId="10676"/>
    <cellStyle name="Comma 3 51 18" xfId="10668"/>
    <cellStyle name="Comma 3 51 2" xfId="3335"/>
    <cellStyle name="Comma 3 51 2 2" xfId="10677"/>
    <cellStyle name="Comma 3 51 3" xfId="3336"/>
    <cellStyle name="Comma 3 51 3 2" xfId="10678"/>
    <cellStyle name="Comma 3 51 4" xfId="3337"/>
    <cellStyle name="Comma 3 51 4 2" xfId="10679"/>
    <cellStyle name="Comma 3 51 5" xfId="3338"/>
    <cellStyle name="Comma 3 51 5 2" xfId="10680"/>
    <cellStyle name="Comma 3 51 6" xfId="3339"/>
    <cellStyle name="Comma 3 51 6 2" xfId="10681"/>
    <cellStyle name="Comma 3 51 7" xfId="3340"/>
    <cellStyle name="Comma 3 51 7 2" xfId="10682"/>
    <cellStyle name="Comma 3 51 8" xfId="3341"/>
    <cellStyle name="Comma 3 51 8 2" xfId="10683"/>
    <cellStyle name="Comma 3 51 9" xfId="3342"/>
    <cellStyle name="Comma 3 51 9 2" xfId="10684"/>
    <cellStyle name="Comma 3 52" xfId="3343"/>
    <cellStyle name="Comma 3 52 10" xfId="3344"/>
    <cellStyle name="Comma 3 52 10 2" xfId="10686"/>
    <cellStyle name="Comma 3 52 11" xfId="3345"/>
    <cellStyle name="Comma 3 52 11 2" xfId="10687"/>
    <cellStyle name="Comma 3 52 12" xfId="3346"/>
    <cellStyle name="Comma 3 52 12 2" xfId="10688"/>
    <cellStyle name="Comma 3 52 13" xfId="3347"/>
    <cellStyle name="Comma 3 52 13 2" xfId="10689"/>
    <cellStyle name="Comma 3 52 14" xfId="3348"/>
    <cellStyle name="Comma 3 52 14 2" xfId="10690"/>
    <cellStyle name="Comma 3 52 15" xfId="3349"/>
    <cellStyle name="Comma 3 52 15 2" xfId="10691"/>
    <cellStyle name="Comma 3 52 16" xfId="3350"/>
    <cellStyle name="Comma 3 52 16 2" xfId="10692"/>
    <cellStyle name="Comma 3 52 17" xfId="3351"/>
    <cellStyle name="Comma 3 52 17 2" xfId="10693"/>
    <cellStyle name="Comma 3 52 18" xfId="10685"/>
    <cellStyle name="Comma 3 52 2" xfId="3352"/>
    <cellStyle name="Comma 3 52 2 2" xfId="10694"/>
    <cellStyle name="Comma 3 52 3" xfId="3353"/>
    <cellStyle name="Comma 3 52 3 2" xfId="10695"/>
    <cellStyle name="Comma 3 52 4" xfId="3354"/>
    <cellStyle name="Comma 3 52 4 2" xfId="10696"/>
    <cellStyle name="Comma 3 52 5" xfId="3355"/>
    <cellStyle name="Comma 3 52 5 2" xfId="10697"/>
    <cellStyle name="Comma 3 52 6" xfId="3356"/>
    <cellStyle name="Comma 3 52 6 2" xfId="10698"/>
    <cellStyle name="Comma 3 52 7" xfId="3357"/>
    <cellStyle name="Comma 3 52 7 2" xfId="10699"/>
    <cellStyle name="Comma 3 52 8" xfId="3358"/>
    <cellStyle name="Comma 3 52 8 2" xfId="10700"/>
    <cellStyle name="Comma 3 52 9" xfId="3359"/>
    <cellStyle name="Comma 3 52 9 2" xfId="10701"/>
    <cellStyle name="Comma 3 53" xfId="3360"/>
    <cellStyle name="Comma 3 53 2" xfId="10702"/>
    <cellStyle name="Comma 3 54" xfId="3361"/>
    <cellStyle name="Comma 3 54 2" xfId="10703"/>
    <cellStyle name="Comma 3 55" xfId="3362"/>
    <cellStyle name="Comma 3 55 2" xfId="10704"/>
    <cellStyle name="Comma 3 56" xfId="3363"/>
    <cellStyle name="Comma 3 56 2" xfId="10705"/>
    <cellStyle name="Comma 3 57" xfId="3364"/>
    <cellStyle name="Comma 3 57 2" xfId="10706"/>
    <cellStyle name="Comma 3 58" xfId="3365"/>
    <cellStyle name="Comma 3 58 2" xfId="10707"/>
    <cellStyle name="Comma 3 59" xfId="3366"/>
    <cellStyle name="Comma 3 59 2" xfId="10708"/>
    <cellStyle name="Comma 3 6" xfId="3367"/>
    <cellStyle name="Comma 3 6 2" xfId="10709"/>
    <cellStyle name="Comma 3 60" xfId="3368"/>
    <cellStyle name="Comma 3 60 2" xfId="10710"/>
    <cellStyle name="Comma 3 61" xfId="3369"/>
    <cellStyle name="Comma 3 61 2" xfId="10711"/>
    <cellStyle name="Comma 3 62" xfId="3370"/>
    <cellStyle name="Comma 3 62 2" xfId="10712"/>
    <cellStyle name="Comma 3 63" xfId="3371"/>
    <cellStyle name="Comma 3 63 2" xfId="10713"/>
    <cellStyle name="Comma 3 64" xfId="3372"/>
    <cellStyle name="Comma 3 64 2" xfId="10714"/>
    <cellStyle name="Comma 3 65" xfId="3373"/>
    <cellStyle name="Comma 3 65 2" xfId="10715"/>
    <cellStyle name="Comma 3 66" xfId="3374"/>
    <cellStyle name="Comma 3 66 2" xfId="10716"/>
    <cellStyle name="Comma 3 67" xfId="3375"/>
    <cellStyle name="Comma 3 67 2" xfId="10717"/>
    <cellStyle name="Comma 3 68" xfId="3376"/>
    <cellStyle name="Comma 3 68 2" xfId="10718"/>
    <cellStyle name="Comma 3 69" xfId="3377"/>
    <cellStyle name="Comma 3 69 2" xfId="10719"/>
    <cellStyle name="Comma 3 7" xfId="3378"/>
    <cellStyle name="Comma 3 7 2" xfId="10720"/>
    <cellStyle name="Comma 3 70" xfId="3379"/>
    <cellStyle name="Comma 3 70 2" xfId="10721"/>
    <cellStyle name="Comma 3 71" xfId="3380"/>
    <cellStyle name="Comma 3 71 2" xfId="10722"/>
    <cellStyle name="Comma 3 72" xfId="3381"/>
    <cellStyle name="Comma 3 72 2" xfId="10723"/>
    <cellStyle name="Comma 3 73" xfId="3382"/>
    <cellStyle name="Comma 3 73 2" xfId="10724"/>
    <cellStyle name="Comma 3 74" xfId="3383"/>
    <cellStyle name="Comma 3 74 2" xfId="10725"/>
    <cellStyle name="Comma 3 75" xfId="3384"/>
    <cellStyle name="Comma 3 75 2" xfId="10726"/>
    <cellStyle name="Comma 3 76" xfId="3385"/>
    <cellStyle name="Comma 3 76 2" xfId="10727"/>
    <cellStyle name="Comma 3 77" xfId="3386"/>
    <cellStyle name="Comma 3 77 2" xfId="10728"/>
    <cellStyle name="Comma 3 78" xfId="3387"/>
    <cellStyle name="Comma 3 78 2" xfId="10729"/>
    <cellStyle name="Comma 3 79" xfId="3388"/>
    <cellStyle name="Comma 3 79 2" xfId="10730"/>
    <cellStyle name="Comma 3 8" xfId="3389"/>
    <cellStyle name="Comma 3 8 2" xfId="10731"/>
    <cellStyle name="Comma 3 80" xfId="3390"/>
    <cellStyle name="Comma 3 80 2" xfId="10732"/>
    <cellStyle name="Comma 3 81" xfId="3391"/>
    <cellStyle name="Comma 3 81 2" xfId="10733"/>
    <cellStyle name="Comma 3 82" xfId="3392"/>
    <cellStyle name="Comma 3 82 2" xfId="10734"/>
    <cellStyle name="Comma 3 83" xfId="3393"/>
    <cellStyle name="Comma 3 83 2" xfId="10735"/>
    <cellStyle name="Comma 3 84" xfId="3394"/>
    <cellStyle name="Comma 3 84 2" xfId="10736"/>
    <cellStyle name="Comma 3 85" xfId="3395"/>
    <cellStyle name="Comma 3 85 2" xfId="10737"/>
    <cellStyle name="Comma 3 86" xfId="3396"/>
    <cellStyle name="Comma 3 86 2" xfId="10738"/>
    <cellStyle name="Comma 3 87" xfId="3397"/>
    <cellStyle name="Comma 3 87 2" xfId="10739"/>
    <cellStyle name="Comma 3 88" xfId="3398"/>
    <cellStyle name="Comma 3 88 2" xfId="10740"/>
    <cellStyle name="Comma 3 89" xfId="3399"/>
    <cellStyle name="Comma 3 89 2" xfId="10741"/>
    <cellStyle name="Comma 3 9" xfId="3400"/>
    <cellStyle name="Comma 3 9 2" xfId="10742"/>
    <cellStyle name="Comma 3 90" xfId="3401"/>
    <cellStyle name="Comma 3 90 2" xfId="10743"/>
    <cellStyle name="Comma 3 91" xfId="3402"/>
    <cellStyle name="Comma 3 91 2" xfId="10744"/>
    <cellStyle name="Comma 3 92" xfId="3403"/>
    <cellStyle name="Comma 3 92 2" xfId="10745"/>
    <cellStyle name="Comma 3 93" xfId="3404"/>
    <cellStyle name="Comma 3 93 2" xfId="10746"/>
    <cellStyle name="Comma 3 94" xfId="3405"/>
    <cellStyle name="Comma 3 94 2" xfId="10747"/>
    <cellStyle name="Comma 3 95" xfId="3406"/>
    <cellStyle name="Comma 3 95 2" xfId="10748"/>
    <cellStyle name="Comma 3 96" xfId="3407"/>
    <cellStyle name="Comma 3 96 2" xfId="10749"/>
    <cellStyle name="Comma 3 97" xfId="3408"/>
    <cellStyle name="Comma 3 97 2" xfId="10750"/>
    <cellStyle name="Comma 3 98" xfId="3409"/>
    <cellStyle name="Comma 3 98 2" xfId="10751"/>
    <cellStyle name="Comma 3 99" xfId="3410"/>
    <cellStyle name="Comma 3 99 2" xfId="10752"/>
    <cellStyle name="Comma 3*" xfId="3411"/>
    <cellStyle name="Comma 3_3.1.2 DB Pension Detail" xfId="3412"/>
    <cellStyle name="Comma 30" xfId="4649"/>
    <cellStyle name="Comma 30 2" xfId="11594"/>
    <cellStyle name="Comma 31" xfId="4650"/>
    <cellStyle name="Comma 31 2" xfId="11595"/>
    <cellStyle name="Comma 32" xfId="4651"/>
    <cellStyle name="Comma 32 2" xfId="11596"/>
    <cellStyle name="Comma 33" xfId="4652"/>
    <cellStyle name="Comma 33 2" xfId="11597"/>
    <cellStyle name="Comma 34" xfId="4653"/>
    <cellStyle name="Comma 34 2" xfId="11598"/>
    <cellStyle name="Comma 35" xfId="4654"/>
    <cellStyle name="Comma 35 2" xfId="11599"/>
    <cellStyle name="Comma 36" xfId="4670"/>
    <cellStyle name="Comma 36 2" xfId="5074"/>
    <cellStyle name="Comma 36 2 2" xfId="8817"/>
    <cellStyle name="Comma 36 2 2 2" xfId="15365"/>
    <cellStyle name="Comma 36 2 3" xfId="7098"/>
    <cellStyle name="Comma 36 2 3 2" xfId="13784"/>
    <cellStyle name="Comma 36 2 4" xfId="11999"/>
    <cellStyle name="Comma 36 3" xfId="10070"/>
    <cellStyle name="Comma 36 3 2" xfId="16551"/>
    <cellStyle name="Comma 36 4" xfId="8417"/>
    <cellStyle name="Comma 36 4 2" xfId="14969"/>
    <cellStyle name="Comma 36 5" xfId="6698"/>
    <cellStyle name="Comma 36 5 2" xfId="13388"/>
    <cellStyle name="Comma 36 6" xfId="11602"/>
    <cellStyle name="Comma 37" xfId="4733"/>
    <cellStyle name="Comma 37 2" xfId="11662"/>
    <cellStyle name="Comma 38" xfId="9721"/>
    <cellStyle name="Comma 38 2" xfId="16214"/>
    <cellStyle name="Comma 39" xfId="9671"/>
    <cellStyle name="Comma 39 2" xfId="16173"/>
    <cellStyle name="Comma 4" xfId="43"/>
    <cellStyle name="Comma 4 10" xfId="3413"/>
    <cellStyle name="Comma 4 10 2" xfId="10753"/>
    <cellStyle name="Comma 4 11" xfId="3414"/>
    <cellStyle name="Comma 4 11 2" xfId="10754"/>
    <cellStyle name="Comma 4 12" xfId="3415"/>
    <cellStyle name="Comma 4 12 2" xfId="10755"/>
    <cellStyle name="Comma 4 13" xfId="3416"/>
    <cellStyle name="Comma 4 13 2" xfId="10756"/>
    <cellStyle name="Comma 4 14" xfId="3417"/>
    <cellStyle name="Comma 4 14 2" xfId="10757"/>
    <cellStyle name="Comma 4 15" xfId="3418"/>
    <cellStyle name="Comma 4 15 2" xfId="10758"/>
    <cellStyle name="Comma 4 16" xfId="3419"/>
    <cellStyle name="Comma 4 16 2" xfId="10759"/>
    <cellStyle name="Comma 4 17" xfId="3420"/>
    <cellStyle name="Comma 4 17 2" xfId="10760"/>
    <cellStyle name="Comma 4 18" xfId="3421"/>
    <cellStyle name="Comma 4 18 2" xfId="10761"/>
    <cellStyle name="Comma 4 19" xfId="3422"/>
    <cellStyle name="Comma 4 19 2" xfId="10762"/>
    <cellStyle name="Comma 4 2" xfId="3423"/>
    <cellStyle name="Comma 4 2 10" xfId="3424"/>
    <cellStyle name="Comma 4 2 10 2" xfId="10764"/>
    <cellStyle name="Comma 4 2 100" xfId="3425"/>
    <cellStyle name="Comma 4 2 100 2" xfId="10765"/>
    <cellStyle name="Comma 4 2 101" xfId="3426"/>
    <cellStyle name="Comma 4 2 101 2" xfId="10766"/>
    <cellStyle name="Comma 4 2 102" xfId="3427"/>
    <cellStyle name="Comma 4 2 102 2" xfId="10767"/>
    <cellStyle name="Comma 4 2 103" xfId="3428"/>
    <cellStyle name="Comma 4 2 103 2" xfId="10768"/>
    <cellStyle name="Comma 4 2 104" xfId="3429"/>
    <cellStyle name="Comma 4 2 104 2" xfId="10769"/>
    <cellStyle name="Comma 4 2 105" xfId="3430"/>
    <cellStyle name="Comma 4 2 105 2" xfId="10770"/>
    <cellStyle name="Comma 4 2 106" xfId="3431"/>
    <cellStyle name="Comma 4 2 106 2" xfId="10771"/>
    <cellStyle name="Comma 4 2 107" xfId="3432"/>
    <cellStyle name="Comma 4 2 107 2" xfId="10772"/>
    <cellStyle name="Comma 4 2 108" xfId="3433"/>
    <cellStyle name="Comma 4 2 108 2" xfId="10773"/>
    <cellStyle name="Comma 4 2 109" xfId="3434"/>
    <cellStyle name="Comma 4 2 109 2" xfId="10774"/>
    <cellStyle name="Comma 4 2 11" xfId="3435"/>
    <cellStyle name="Comma 4 2 11 2" xfId="10775"/>
    <cellStyle name="Comma 4 2 110" xfId="10763"/>
    <cellStyle name="Comma 4 2 12" xfId="3436"/>
    <cellStyle name="Comma 4 2 12 2" xfId="10776"/>
    <cellStyle name="Comma 4 2 13" xfId="3437"/>
    <cellStyle name="Comma 4 2 13 2" xfId="10777"/>
    <cellStyle name="Comma 4 2 14" xfId="3438"/>
    <cellStyle name="Comma 4 2 14 2" xfId="10778"/>
    <cellStyle name="Comma 4 2 15" xfId="3439"/>
    <cellStyle name="Comma 4 2 15 2" xfId="10779"/>
    <cellStyle name="Comma 4 2 16" xfId="3440"/>
    <cellStyle name="Comma 4 2 16 2" xfId="10780"/>
    <cellStyle name="Comma 4 2 17" xfId="3441"/>
    <cellStyle name="Comma 4 2 17 2" xfId="10781"/>
    <cellStyle name="Comma 4 2 18" xfId="3442"/>
    <cellStyle name="Comma 4 2 18 2" xfId="10782"/>
    <cellStyle name="Comma 4 2 19" xfId="3443"/>
    <cellStyle name="Comma 4 2 19 2" xfId="10783"/>
    <cellStyle name="Comma 4 2 2" xfId="3444"/>
    <cellStyle name="Comma 4 2 2 10" xfId="3445"/>
    <cellStyle name="Comma 4 2 2 10 2" xfId="10785"/>
    <cellStyle name="Comma 4 2 2 11" xfId="3446"/>
    <cellStyle name="Comma 4 2 2 11 2" xfId="10786"/>
    <cellStyle name="Comma 4 2 2 12" xfId="3447"/>
    <cellStyle name="Comma 4 2 2 12 2" xfId="10787"/>
    <cellStyle name="Comma 4 2 2 13" xfId="3448"/>
    <cellStyle name="Comma 4 2 2 13 2" xfId="10788"/>
    <cellStyle name="Comma 4 2 2 14" xfId="10784"/>
    <cellStyle name="Comma 4 2 2 2" xfId="3449"/>
    <cellStyle name="Comma 4 2 2 2 2" xfId="10789"/>
    <cellStyle name="Comma 4 2 2 3" xfId="3450"/>
    <cellStyle name="Comma 4 2 2 3 2" xfId="10790"/>
    <cellStyle name="Comma 4 2 2 4" xfId="3451"/>
    <cellStyle name="Comma 4 2 2 4 2" xfId="10791"/>
    <cellStyle name="Comma 4 2 2 5" xfId="3452"/>
    <cellStyle name="Comma 4 2 2 5 2" xfId="10792"/>
    <cellStyle name="Comma 4 2 2 6" xfId="3453"/>
    <cellStyle name="Comma 4 2 2 6 2" xfId="10793"/>
    <cellStyle name="Comma 4 2 2 7" xfId="3454"/>
    <cellStyle name="Comma 4 2 2 7 2" xfId="10794"/>
    <cellStyle name="Comma 4 2 2 8" xfId="3455"/>
    <cellStyle name="Comma 4 2 2 8 2" xfId="10795"/>
    <cellStyle name="Comma 4 2 2 9" xfId="3456"/>
    <cellStyle name="Comma 4 2 2 9 2" xfId="10796"/>
    <cellStyle name="Comma 4 2 20" xfId="3457"/>
    <cellStyle name="Comma 4 2 20 2" xfId="10797"/>
    <cellStyle name="Comma 4 2 21" xfId="3458"/>
    <cellStyle name="Comma 4 2 21 2" xfId="10798"/>
    <cellStyle name="Comma 4 2 22" xfId="3459"/>
    <cellStyle name="Comma 4 2 22 2" xfId="10799"/>
    <cellStyle name="Comma 4 2 23" xfId="3460"/>
    <cellStyle name="Comma 4 2 23 10" xfId="3461"/>
    <cellStyle name="Comma 4 2 23 10 2" xfId="10801"/>
    <cellStyle name="Comma 4 2 23 11" xfId="3462"/>
    <cellStyle name="Comma 4 2 23 11 2" xfId="10802"/>
    <cellStyle name="Comma 4 2 23 12" xfId="3463"/>
    <cellStyle name="Comma 4 2 23 12 2" xfId="10803"/>
    <cellStyle name="Comma 4 2 23 13" xfId="3464"/>
    <cellStyle name="Comma 4 2 23 13 2" xfId="10804"/>
    <cellStyle name="Comma 4 2 23 14" xfId="3465"/>
    <cellStyle name="Comma 4 2 23 14 2" xfId="10805"/>
    <cellStyle name="Comma 4 2 23 15" xfId="3466"/>
    <cellStyle name="Comma 4 2 23 15 2" xfId="10806"/>
    <cellStyle name="Comma 4 2 23 16" xfId="3467"/>
    <cellStyle name="Comma 4 2 23 16 2" xfId="10807"/>
    <cellStyle name="Comma 4 2 23 17" xfId="3468"/>
    <cellStyle name="Comma 4 2 23 17 2" xfId="10808"/>
    <cellStyle name="Comma 4 2 23 18" xfId="10800"/>
    <cellStyle name="Comma 4 2 23 2" xfId="3469"/>
    <cellStyle name="Comma 4 2 23 2 2" xfId="10809"/>
    <cellStyle name="Comma 4 2 23 3" xfId="3470"/>
    <cellStyle name="Comma 4 2 23 3 2" xfId="10810"/>
    <cellStyle name="Comma 4 2 23 4" xfId="3471"/>
    <cellStyle name="Comma 4 2 23 4 2" xfId="10811"/>
    <cellStyle name="Comma 4 2 23 5" xfId="3472"/>
    <cellStyle name="Comma 4 2 23 5 2" xfId="10812"/>
    <cellStyle name="Comma 4 2 23 6" xfId="3473"/>
    <cellStyle name="Comma 4 2 23 6 2" xfId="10813"/>
    <cellStyle name="Comma 4 2 23 7" xfId="3474"/>
    <cellStyle name="Comma 4 2 23 7 2" xfId="10814"/>
    <cellStyle name="Comma 4 2 23 8" xfId="3475"/>
    <cellStyle name="Comma 4 2 23 8 2" xfId="10815"/>
    <cellStyle name="Comma 4 2 23 9" xfId="3476"/>
    <cellStyle name="Comma 4 2 23 9 2" xfId="10816"/>
    <cellStyle name="Comma 4 2 24" xfId="3477"/>
    <cellStyle name="Comma 4 2 24 2" xfId="10817"/>
    <cellStyle name="Comma 4 2 25" xfId="3478"/>
    <cellStyle name="Comma 4 2 25 2" xfId="10818"/>
    <cellStyle name="Comma 4 2 26" xfId="3479"/>
    <cellStyle name="Comma 4 2 26 2" xfId="10819"/>
    <cellStyle name="Comma 4 2 27" xfId="3480"/>
    <cellStyle name="Comma 4 2 27 2" xfId="10820"/>
    <cellStyle name="Comma 4 2 28" xfId="3481"/>
    <cellStyle name="Comma 4 2 28 2" xfId="10821"/>
    <cellStyle name="Comma 4 2 29" xfId="3482"/>
    <cellStyle name="Comma 4 2 29 2" xfId="10822"/>
    <cellStyle name="Comma 4 2 3" xfId="3483"/>
    <cellStyle name="Comma 4 2 3 2" xfId="10823"/>
    <cellStyle name="Comma 4 2 30" xfId="3484"/>
    <cellStyle name="Comma 4 2 30 2" xfId="10824"/>
    <cellStyle name="Comma 4 2 31" xfId="3485"/>
    <cellStyle name="Comma 4 2 31 2" xfId="10825"/>
    <cellStyle name="Comma 4 2 32" xfId="3486"/>
    <cellStyle name="Comma 4 2 32 2" xfId="10826"/>
    <cellStyle name="Comma 4 2 33" xfId="3487"/>
    <cellStyle name="Comma 4 2 33 2" xfId="10827"/>
    <cellStyle name="Comma 4 2 34" xfId="3488"/>
    <cellStyle name="Comma 4 2 34 2" xfId="10828"/>
    <cellStyle name="Comma 4 2 35" xfId="3489"/>
    <cellStyle name="Comma 4 2 35 2" xfId="10829"/>
    <cellStyle name="Comma 4 2 36" xfId="3490"/>
    <cellStyle name="Comma 4 2 36 2" xfId="10830"/>
    <cellStyle name="Comma 4 2 37" xfId="3491"/>
    <cellStyle name="Comma 4 2 37 2" xfId="10831"/>
    <cellStyle name="Comma 4 2 38" xfId="3492"/>
    <cellStyle name="Comma 4 2 38 2" xfId="10832"/>
    <cellStyle name="Comma 4 2 39" xfId="3493"/>
    <cellStyle name="Comma 4 2 39 2" xfId="10833"/>
    <cellStyle name="Comma 4 2 4" xfId="3494"/>
    <cellStyle name="Comma 4 2 4 2" xfId="10834"/>
    <cellStyle name="Comma 4 2 40" xfId="3495"/>
    <cellStyle name="Comma 4 2 40 2" xfId="10835"/>
    <cellStyle name="Comma 4 2 41" xfId="3496"/>
    <cellStyle name="Comma 4 2 41 2" xfId="10836"/>
    <cellStyle name="Comma 4 2 42" xfId="3497"/>
    <cellStyle name="Comma 4 2 42 2" xfId="10837"/>
    <cellStyle name="Comma 4 2 43" xfId="3498"/>
    <cellStyle name="Comma 4 2 43 2" xfId="10838"/>
    <cellStyle name="Comma 4 2 44" xfId="3499"/>
    <cellStyle name="Comma 4 2 44 2" xfId="10839"/>
    <cellStyle name="Comma 4 2 45" xfId="3500"/>
    <cellStyle name="Comma 4 2 45 2" xfId="10840"/>
    <cellStyle name="Comma 4 2 46" xfId="3501"/>
    <cellStyle name="Comma 4 2 46 2" xfId="10841"/>
    <cellStyle name="Comma 4 2 47" xfId="3502"/>
    <cellStyle name="Comma 4 2 47 2" xfId="10842"/>
    <cellStyle name="Comma 4 2 48" xfId="3503"/>
    <cellStyle name="Comma 4 2 48 2" xfId="10843"/>
    <cellStyle name="Comma 4 2 49" xfId="3504"/>
    <cellStyle name="Comma 4 2 49 2" xfId="10844"/>
    <cellStyle name="Comma 4 2 5" xfId="3505"/>
    <cellStyle name="Comma 4 2 5 2" xfId="10845"/>
    <cellStyle name="Comma 4 2 50" xfId="3506"/>
    <cellStyle name="Comma 4 2 50 2" xfId="10846"/>
    <cellStyle name="Comma 4 2 51" xfId="3507"/>
    <cellStyle name="Comma 4 2 51 2" xfId="10847"/>
    <cellStyle name="Comma 4 2 52" xfId="3508"/>
    <cellStyle name="Comma 4 2 52 2" xfId="10848"/>
    <cellStyle name="Comma 4 2 53" xfId="3509"/>
    <cellStyle name="Comma 4 2 53 2" xfId="10849"/>
    <cellStyle name="Comma 4 2 54" xfId="3510"/>
    <cellStyle name="Comma 4 2 54 2" xfId="10850"/>
    <cellStyle name="Comma 4 2 55" xfId="3511"/>
    <cellStyle name="Comma 4 2 55 2" xfId="10851"/>
    <cellStyle name="Comma 4 2 56" xfId="3512"/>
    <cellStyle name="Comma 4 2 56 2" xfId="10852"/>
    <cellStyle name="Comma 4 2 57" xfId="3513"/>
    <cellStyle name="Comma 4 2 57 2" xfId="10853"/>
    <cellStyle name="Comma 4 2 58" xfId="3514"/>
    <cellStyle name="Comma 4 2 58 2" xfId="10854"/>
    <cellStyle name="Comma 4 2 59" xfId="3515"/>
    <cellStyle name="Comma 4 2 59 2" xfId="10855"/>
    <cellStyle name="Comma 4 2 6" xfId="3516"/>
    <cellStyle name="Comma 4 2 6 2" xfId="10856"/>
    <cellStyle name="Comma 4 2 60" xfId="3517"/>
    <cellStyle name="Comma 4 2 60 2" xfId="10857"/>
    <cellStyle name="Comma 4 2 61" xfId="3518"/>
    <cellStyle name="Comma 4 2 61 2" xfId="10858"/>
    <cellStyle name="Comma 4 2 62" xfId="3519"/>
    <cellStyle name="Comma 4 2 62 2" xfId="10859"/>
    <cellStyle name="Comma 4 2 63" xfId="3520"/>
    <cellStyle name="Comma 4 2 63 2" xfId="10860"/>
    <cellStyle name="Comma 4 2 64" xfId="3521"/>
    <cellStyle name="Comma 4 2 64 2" xfId="10861"/>
    <cellStyle name="Comma 4 2 65" xfId="3522"/>
    <cellStyle name="Comma 4 2 65 2" xfId="10862"/>
    <cellStyle name="Comma 4 2 66" xfId="3523"/>
    <cellStyle name="Comma 4 2 66 2" xfId="10863"/>
    <cellStyle name="Comma 4 2 67" xfId="3524"/>
    <cellStyle name="Comma 4 2 67 2" xfId="10864"/>
    <cellStyle name="Comma 4 2 68" xfId="3525"/>
    <cellStyle name="Comma 4 2 68 2" xfId="10865"/>
    <cellStyle name="Comma 4 2 69" xfId="3526"/>
    <cellStyle name="Comma 4 2 69 2" xfId="10866"/>
    <cellStyle name="Comma 4 2 7" xfId="3527"/>
    <cellStyle name="Comma 4 2 7 2" xfId="10867"/>
    <cellStyle name="Comma 4 2 70" xfId="3528"/>
    <cellStyle name="Comma 4 2 70 2" xfId="10868"/>
    <cellStyle name="Comma 4 2 71" xfId="3529"/>
    <cellStyle name="Comma 4 2 71 2" xfId="10869"/>
    <cellStyle name="Comma 4 2 72" xfId="3530"/>
    <cellStyle name="Comma 4 2 72 2" xfId="10870"/>
    <cellStyle name="Comma 4 2 73" xfId="3531"/>
    <cellStyle name="Comma 4 2 73 2" xfId="10871"/>
    <cellStyle name="Comma 4 2 74" xfId="3532"/>
    <cellStyle name="Comma 4 2 74 2" xfId="10872"/>
    <cellStyle name="Comma 4 2 75" xfId="3533"/>
    <cellStyle name="Comma 4 2 75 2" xfId="10873"/>
    <cellStyle name="Comma 4 2 76" xfId="3534"/>
    <cellStyle name="Comma 4 2 76 2" xfId="10874"/>
    <cellStyle name="Comma 4 2 77" xfId="3535"/>
    <cellStyle name="Comma 4 2 77 2" xfId="10875"/>
    <cellStyle name="Comma 4 2 78" xfId="3536"/>
    <cellStyle name="Comma 4 2 78 2" xfId="10876"/>
    <cellStyle name="Comma 4 2 79" xfId="3537"/>
    <cellStyle name="Comma 4 2 79 2" xfId="10877"/>
    <cellStyle name="Comma 4 2 8" xfId="3538"/>
    <cellStyle name="Comma 4 2 8 2" xfId="10878"/>
    <cellStyle name="Comma 4 2 80" xfId="3539"/>
    <cellStyle name="Comma 4 2 80 2" xfId="10879"/>
    <cellStyle name="Comma 4 2 81" xfId="3540"/>
    <cellStyle name="Comma 4 2 81 2" xfId="10880"/>
    <cellStyle name="Comma 4 2 82" xfId="3541"/>
    <cellStyle name="Comma 4 2 82 2" xfId="10881"/>
    <cellStyle name="Comma 4 2 83" xfId="3542"/>
    <cellStyle name="Comma 4 2 83 2" xfId="10882"/>
    <cellStyle name="Comma 4 2 84" xfId="3543"/>
    <cellStyle name="Comma 4 2 84 2" xfId="10883"/>
    <cellStyle name="Comma 4 2 85" xfId="3544"/>
    <cellStyle name="Comma 4 2 85 2" xfId="10884"/>
    <cellStyle name="Comma 4 2 86" xfId="3545"/>
    <cellStyle name="Comma 4 2 86 2" xfId="10885"/>
    <cellStyle name="Comma 4 2 87" xfId="3546"/>
    <cellStyle name="Comma 4 2 87 2" xfId="10886"/>
    <cellStyle name="Comma 4 2 88" xfId="3547"/>
    <cellStyle name="Comma 4 2 88 2" xfId="10887"/>
    <cellStyle name="Comma 4 2 89" xfId="3548"/>
    <cellStyle name="Comma 4 2 89 2" xfId="10888"/>
    <cellStyle name="Comma 4 2 9" xfId="3549"/>
    <cellStyle name="Comma 4 2 9 2" xfId="10889"/>
    <cellStyle name="Comma 4 2 90" xfId="3550"/>
    <cellStyle name="Comma 4 2 90 2" xfId="10890"/>
    <cellStyle name="Comma 4 2 91" xfId="3551"/>
    <cellStyle name="Comma 4 2 91 2" xfId="10891"/>
    <cellStyle name="Comma 4 2 92" xfId="3552"/>
    <cellStyle name="Comma 4 2 92 2" xfId="10892"/>
    <cellStyle name="Comma 4 2 93" xfId="3553"/>
    <cellStyle name="Comma 4 2 93 2" xfId="10893"/>
    <cellStyle name="Comma 4 2 94" xfId="3554"/>
    <cellStyle name="Comma 4 2 94 2" xfId="10894"/>
    <cellStyle name="Comma 4 2 95" xfId="3555"/>
    <cellStyle name="Comma 4 2 95 2" xfId="10895"/>
    <cellStyle name="Comma 4 2 96" xfId="3556"/>
    <cellStyle name="Comma 4 2 96 2" xfId="10896"/>
    <cellStyle name="Comma 4 2 97" xfId="3557"/>
    <cellStyle name="Comma 4 2 97 2" xfId="10897"/>
    <cellStyle name="Comma 4 2 98" xfId="3558"/>
    <cellStyle name="Comma 4 2 98 2" xfId="10898"/>
    <cellStyle name="Comma 4 2 99" xfId="3559"/>
    <cellStyle name="Comma 4 2 99 2" xfId="10899"/>
    <cellStyle name="Comma 4 20" xfId="3560"/>
    <cellStyle name="Comma 4 20 2" xfId="10900"/>
    <cellStyle name="Comma 4 21" xfId="3561"/>
    <cellStyle name="Comma 4 21 2" xfId="10901"/>
    <cellStyle name="Comma 4 22" xfId="3562"/>
    <cellStyle name="Comma 4 22 2" xfId="10902"/>
    <cellStyle name="Comma 4 23" xfId="3563"/>
    <cellStyle name="Comma 4 23 2" xfId="10903"/>
    <cellStyle name="Comma 4 24" xfId="3564"/>
    <cellStyle name="Comma 4 24 2" xfId="10904"/>
    <cellStyle name="Comma 4 25" xfId="3565"/>
    <cellStyle name="Comma 4 25 2" xfId="10905"/>
    <cellStyle name="Comma 4 26" xfId="3566"/>
    <cellStyle name="Comma 4 26 2" xfId="10906"/>
    <cellStyle name="Comma 4 27" xfId="3567"/>
    <cellStyle name="Comma 4 27 2" xfId="10907"/>
    <cellStyle name="Comma 4 28" xfId="3568"/>
    <cellStyle name="Comma 4 28 2" xfId="10908"/>
    <cellStyle name="Comma 4 29" xfId="3569"/>
    <cellStyle name="Comma 4 29 2" xfId="10909"/>
    <cellStyle name="Comma 4 3" xfId="3570"/>
    <cellStyle name="Comma 4 3 10" xfId="3571"/>
    <cellStyle name="Comma 4 3 10 2" xfId="10911"/>
    <cellStyle name="Comma 4 3 11" xfId="3572"/>
    <cellStyle name="Comma 4 3 11 2" xfId="10912"/>
    <cellStyle name="Comma 4 3 12" xfId="3573"/>
    <cellStyle name="Comma 4 3 12 2" xfId="10913"/>
    <cellStyle name="Comma 4 3 13" xfId="3574"/>
    <cellStyle name="Comma 4 3 13 2" xfId="10914"/>
    <cellStyle name="Comma 4 3 14" xfId="3575"/>
    <cellStyle name="Comma 4 3 14 2" xfId="10915"/>
    <cellStyle name="Comma 4 3 15" xfId="3576"/>
    <cellStyle name="Comma 4 3 15 2" xfId="10916"/>
    <cellStyle name="Comma 4 3 16" xfId="3577"/>
    <cellStyle name="Comma 4 3 16 2" xfId="10917"/>
    <cellStyle name="Comma 4 3 17" xfId="3578"/>
    <cellStyle name="Comma 4 3 17 2" xfId="10918"/>
    <cellStyle name="Comma 4 3 18" xfId="10910"/>
    <cellStyle name="Comma 4 3 2" xfId="3579"/>
    <cellStyle name="Comma 4 3 2 2" xfId="10919"/>
    <cellStyle name="Comma 4 3 3" xfId="3580"/>
    <cellStyle name="Comma 4 3 3 2" xfId="10920"/>
    <cellStyle name="Comma 4 3 4" xfId="3581"/>
    <cellStyle name="Comma 4 3 4 2" xfId="10921"/>
    <cellStyle name="Comma 4 3 5" xfId="3582"/>
    <cellStyle name="Comma 4 3 5 2" xfId="10922"/>
    <cellStyle name="Comma 4 3 6" xfId="3583"/>
    <cellStyle name="Comma 4 3 6 2" xfId="10923"/>
    <cellStyle name="Comma 4 3 7" xfId="3584"/>
    <cellStyle name="Comma 4 3 7 2" xfId="10924"/>
    <cellStyle name="Comma 4 3 8" xfId="3585"/>
    <cellStyle name="Comma 4 3 8 2" xfId="10925"/>
    <cellStyle name="Comma 4 3 9" xfId="3586"/>
    <cellStyle name="Comma 4 3 9 2" xfId="10926"/>
    <cellStyle name="Comma 4 30" xfId="3587"/>
    <cellStyle name="Comma 4 30 2" xfId="10927"/>
    <cellStyle name="Comma 4 31" xfId="3588"/>
    <cellStyle name="Comma 4 31 2" xfId="10928"/>
    <cellStyle name="Comma 4 32" xfId="3589"/>
    <cellStyle name="Comma 4 32 2" xfId="10929"/>
    <cellStyle name="Comma 4 33" xfId="3590"/>
    <cellStyle name="Comma 4 33 2" xfId="10930"/>
    <cellStyle name="Comma 4 34" xfId="3591"/>
    <cellStyle name="Comma 4 34 2" xfId="10931"/>
    <cellStyle name="Comma 4 35" xfId="3592"/>
    <cellStyle name="Comma 4 35 2" xfId="10932"/>
    <cellStyle name="Comma 4 36" xfId="3593"/>
    <cellStyle name="Comma 4 36 2" xfId="10933"/>
    <cellStyle name="Comma 4 37" xfId="3594"/>
    <cellStyle name="Comma 4 37 2" xfId="10934"/>
    <cellStyle name="Comma 4 38" xfId="3595"/>
    <cellStyle name="Comma 4 38 2" xfId="10935"/>
    <cellStyle name="Comma 4 39" xfId="3596"/>
    <cellStyle name="Comma 4 39 2" xfId="10936"/>
    <cellStyle name="Comma 4 4" xfId="3597"/>
    <cellStyle name="Comma 4 4 10" xfId="3598"/>
    <cellStyle name="Comma 4 4 10 2" xfId="10938"/>
    <cellStyle name="Comma 4 4 11" xfId="3599"/>
    <cellStyle name="Comma 4 4 11 2" xfId="10939"/>
    <cellStyle name="Comma 4 4 12" xfId="3600"/>
    <cellStyle name="Comma 4 4 12 2" xfId="10940"/>
    <cellStyle name="Comma 4 4 13" xfId="3601"/>
    <cellStyle name="Comma 4 4 13 2" xfId="10941"/>
    <cellStyle name="Comma 4 4 14" xfId="3602"/>
    <cellStyle name="Comma 4 4 14 2" xfId="10942"/>
    <cellStyle name="Comma 4 4 15" xfId="3603"/>
    <cellStyle name="Comma 4 4 15 2" xfId="10943"/>
    <cellStyle name="Comma 4 4 16" xfId="3604"/>
    <cellStyle name="Comma 4 4 16 2" xfId="10944"/>
    <cellStyle name="Comma 4 4 17" xfId="3605"/>
    <cellStyle name="Comma 4 4 17 2" xfId="10945"/>
    <cellStyle name="Comma 4 4 18" xfId="10937"/>
    <cellStyle name="Comma 4 4 2" xfId="3606"/>
    <cellStyle name="Comma 4 4 2 2" xfId="10946"/>
    <cellStyle name="Comma 4 4 3" xfId="3607"/>
    <cellStyle name="Comma 4 4 3 2" xfId="10947"/>
    <cellStyle name="Comma 4 4 4" xfId="3608"/>
    <cellStyle name="Comma 4 4 4 2" xfId="10948"/>
    <cellStyle name="Comma 4 4 5" xfId="3609"/>
    <cellStyle name="Comma 4 4 5 2" xfId="10949"/>
    <cellStyle name="Comma 4 4 6" xfId="3610"/>
    <cellStyle name="Comma 4 4 6 2" xfId="10950"/>
    <cellStyle name="Comma 4 4 7" xfId="3611"/>
    <cellStyle name="Comma 4 4 7 2" xfId="10951"/>
    <cellStyle name="Comma 4 4 8" xfId="3612"/>
    <cellStyle name="Comma 4 4 8 2" xfId="10952"/>
    <cellStyle name="Comma 4 4 9" xfId="3613"/>
    <cellStyle name="Comma 4 4 9 2" xfId="10953"/>
    <cellStyle name="Comma 4 40" xfId="3614"/>
    <cellStyle name="Comma 4 40 2" xfId="10954"/>
    <cellStyle name="Comma 4 41" xfId="3615"/>
    <cellStyle name="Comma 4 41 2" xfId="10955"/>
    <cellStyle name="Comma 4 42" xfId="3616"/>
    <cellStyle name="Comma 4 42 2" xfId="10956"/>
    <cellStyle name="Comma 4 43" xfId="3617"/>
    <cellStyle name="Comma 4 43 2" xfId="10957"/>
    <cellStyle name="Comma 4 44" xfId="3618"/>
    <cellStyle name="Comma 4 44 2" xfId="10958"/>
    <cellStyle name="Comma 4 45" xfId="3619"/>
    <cellStyle name="Comma 4 45 2" xfId="10959"/>
    <cellStyle name="Comma 4 46" xfId="3620"/>
    <cellStyle name="Comma 4 46 2" xfId="10960"/>
    <cellStyle name="Comma 4 47" xfId="3621"/>
    <cellStyle name="Comma 4 47 2" xfId="10961"/>
    <cellStyle name="Comma 4 48" xfId="3622"/>
    <cellStyle name="Comma 4 48 2" xfId="10962"/>
    <cellStyle name="Comma 4 49" xfId="3623"/>
    <cellStyle name="Comma 4 49 2" xfId="10963"/>
    <cellStyle name="Comma 4 5" xfId="3624"/>
    <cellStyle name="Comma 4 5 2" xfId="10964"/>
    <cellStyle name="Comma 4 50" xfId="3625"/>
    <cellStyle name="Comma 4 50 2" xfId="10965"/>
    <cellStyle name="Comma 4 51" xfId="3626"/>
    <cellStyle name="Comma 4 51 2" xfId="10966"/>
    <cellStyle name="Comma 4 52" xfId="3627"/>
    <cellStyle name="Comma 4 52 2" xfId="10967"/>
    <cellStyle name="Comma 4 53" xfId="3628"/>
    <cellStyle name="Comma 4 53 2" xfId="10968"/>
    <cellStyle name="Comma 4 54" xfId="3629"/>
    <cellStyle name="Comma 4 54 2" xfId="10969"/>
    <cellStyle name="Comma 4 55" xfId="3630"/>
    <cellStyle name="Comma 4 55 2" xfId="10970"/>
    <cellStyle name="Comma 4 56" xfId="3631"/>
    <cellStyle name="Comma 4 56 2" xfId="10971"/>
    <cellStyle name="Comma 4 57" xfId="3632"/>
    <cellStyle name="Comma 4 57 2" xfId="10972"/>
    <cellStyle name="Comma 4 58" xfId="3633"/>
    <cellStyle name="Comma 4 58 2" xfId="10973"/>
    <cellStyle name="Comma 4 59" xfId="3634"/>
    <cellStyle name="Comma 4 59 2" xfId="10974"/>
    <cellStyle name="Comma 4 6" xfId="3635"/>
    <cellStyle name="Comma 4 6 2" xfId="10975"/>
    <cellStyle name="Comma 4 60" xfId="3636"/>
    <cellStyle name="Comma 4 60 2" xfId="10976"/>
    <cellStyle name="Comma 4 61" xfId="3637"/>
    <cellStyle name="Comma 4 61 2" xfId="10977"/>
    <cellStyle name="Comma 4 62" xfId="3638"/>
    <cellStyle name="Comma 4 62 2" xfId="10978"/>
    <cellStyle name="Comma 4 63" xfId="3639"/>
    <cellStyle name="Comma 4 63 2" xfId="10979"/>
    <cellStyle name="Comma 4 64" xfId="3640"/>
    <cellStyle name="Comma 4 64 2" xfId="10980"/>
    <cellStyle name="Comma 4 65" xfId="3641"/>
    <cellStyle name="Comma 4 65 2" xfId="10981"/>
    <cellStyle name="Comma 4 66" xfId="3642"/>
    <cellStyle name="Comma 4 66 2" xfId="10982"/>
    <cellStyle name="Comma 4 67" xfId="3643"/>
    <cellStyle name="Comma 4 67 2" xfId="10983"/>
    <cellStyle name="Comma 4 68" xfId="3644"/>
    <cellStyle name="Comma 4 68 2" xfId="10984"/>
    <cellStyle name="Comma 4 69" xfId="3645"/>
    <cellStyle name="Comma 4 69 2" xfId="10985"/>
    <cellStyle name="Comma 4 7" xfId="3646"/>
    <cellStyle name="Comma 4 7 2" xfId="10986"/>
    <cellStyle name="Comma 4 70" xfId="3647"/>
    <cellStyle name="Comma 4 70 2" xfId="10987"/>
    <cellStyle name="Comma 4 71" xfId="3648"/>
    <cellStyle name="Comma 4 71 2" xfId="10988"/>
    <cellStyle name="Comma 4 72" xfId="3649"/>
    <cellStyle name="Comma 4 72 2" xfId="10989"/>
    <cellStyle name="Comma 4 73" xfId="3650"/>
    <cellStyle name="Comma 4 73 2" xfId="10990"/>
    <cellStyle name="Comma 4 74" xfId="3651"/>
    <cellStyle name="Comma 4 74 2" xfId="10991"/>
    <cellStyle name="Comma 4 75" xfId="3652"/>
    <cellStyle name="Comma 4 75 2" xfId="10992"/>
    <cellStyle name="Comma 4 76" xfId="3653"/>
    <cellStyle name="Comma 4 76 2" xfId="10993"/>
    <cellStyle name="Comma 4 77" xfId="3654"/>
    <cellStyle name="Comma 4 77 2" xfId="10994"/>
    <cellStyle name="Comma 4 78" xfId="3655"/>
    <cellStyle name="Comma 4 78 2" xfId="10995"/>
    <cellStyle name="Comma 4 79" xfId="4412"/>
    <cellStyle name="Comma 4 79 2" xfId="4623"/>
    <cellStyle name="Comma 4 79 2 2" xfId="4859"/>
    <cellStyle name="Comma 4 79 2 2 2" xfId="8602"/>
    <cellStyle name="Comma 4 79 2 2 2 2" xfId="15150"/>
    <cellStyle name="Comma 4 79 2 2 3" xfId="6883"/>
    <cellStyle name="Comma 4 79 2 2 3 2" xfId="13569"/>
    <cellStyle name="Comma 4 79 2 2 4" xfId="11784"/>
    <cellStyle name="Comma 4 79 2 3" xfId="5450"/>
    <cellStyle name="Comma 4 79 2 3 2" xfId="9193"/>
    <cellStyle name="Comma 4 79 2 3 2 2" xfId="15737"/>
    <cellStyle name="Comma 4 79 2 3 3" xfId="7474"/>
    <cellStyle name="Comma 4 79 2 3 3 2" xfId="14156"/>
    <cellStyle name="Comma 4 79 2 3 4" xfId="12371"/>
    <cellStyle name="Comma 4 79 2 4" xfId="5888"/>
    <cellStyle name="Comma 4 79 2 4 2" xfId="9629"/>
    <cellStyle name="Comma 4 79 2 4 2 2" xfId="16131"/>
    <cellStyle name="Comma 4 79 2 4 3" xfId="7910"/>
    <cellStyle name="Comma 4 79 2 4 3 2" xfId="14550"/>
    <cellStyle name="Comma 4 79 2 4 4" xfId="12781"/>
    <cellStyle name="Comma 4 79 2 5" xfId="9855"/>
    <cellStyle name="Comma 4 79 2 5 2" xfId="16336"/>
    <cellStyle name="Comma 4 79 2 6" xfId="8387"/>
    <cellStyle name="Comma 4 79 2 6 2" xfId="14944"/>
    <cellStyle name="Comma 4 79 2 7" xfId="6668"/>
    <cellStyle name="Comma 4 79 2 7 2" xfId="13358"/>
    <cellStyle name="Comma 4 79 2 8" xfId="11568"/>
    <cellStyle name="Comma 4 79 3" xfId="4858"/>
    <cellStyle name="Comma 4 79 3 2" xfId="8601"/>
    <cellStyle name="Comma 4 79 3 2 2" xfId="15149"/>
    <cellStyle name="Comma 4 79 3 3" xfId="6882"/>
    <cellStyle name="Comma 4 79 3 3 2" xfId="13568"/>
    <cellStyle name="Comma 4 79 3 4" xfId="11783"/>
    <cellStyle name="Comma 4 79 4" xfId="5253"/>
    <cellStyle name="Comma 4 79 4 2" xfId="8996"/>
    <cellStyle name="Comma 4 79 4 2 2" xfId="15540"/>
    <cellStyle name="Comma 4 79 4 3" xfId="7277"/>
    <cellStyle name="Comma 4 79 4 3 2" xfId="13959"/>
    <cellStyle name="Comma 4 79 4 4" xfId="12174"/>
    <cellStyle name="Comma 4 79 5" xfId="5691"/>
    <cellStyle name="Comma 4 79 5 2" xfId="9432"/>
    <cellStyle name="Comma 4 79 5 2 2" xfId="15934"/>
    <cellStyle name="Comma 4 79 5 3" xfId="7713"/>
    <cellStyle name="Comma 4 79 5 3 2" xfId="14353"/>
    <cellStyle name="Comma 4 79 5 4" xfId="12584"/>
    <cellStyle name="Comma 4 79 6" xfId="9854"/>
    <cellStyle name="Comma 4 79 6 2" xfId="16335"/>
    <cellStyle name="Comma 4 79 7" xfId="8190"/>
    <cellStyle name="Comma 4 79 7 2" xfId="14747"/>
    <cellStyle name="Comma 4 79 8" xfId="6471"/>
    <cellStyle name="Comma 4 79 8 2" xfId="13161"/>
    <cellStyle name="Comma 4 79 9" xfId="11368"/>
    <cellStyle name="Comma 4 8" xfId="3656"/>
    <cellStyle name="Comma 4 8 2" xfId="10996"/>
    <cellStyle name="Comma 4 80" xfId="4426"/>
    <cellStyle name="Comma 4 80 2" xfId="4635"/>
    <cellStyle name="Comma 4 80 2 2" xfId="4861"/>
    <cellStyle name="Comma 4 80 2 2 2" xfId="8604"/>
    <cellStyle name="Comma 4 80 2 2 2 2" xfId="15152"/>
    <cellStyle name="Comma 4 80 2 2 3" xfId="6885"/>
    <cellStyle name="Comma 4 80 2 2 3 2" xfId="13571"/>
    <cellStyle name="Comma 4 80 2 2 4" xfId="11786"/>
    <cellStyle name="Comma 4 80 2 3" xfId="5462"/>
    <cellStyle name="Comma 4 80 2 3 2" xfId="9205"/>
    <cellStyle name="Comma 4 80 2 3 2 2" xfId="15749"/>
    <cellStyle name="Comma 4 80 2 3 3" xfId="7486"/>
    <cellStyle name="Comma 4 80 2 3 3 2" xfId="14168"/>
    <cellStyle name="Comma 4 80 2 3 4" xfId="12383"/>
    <cellStyle name="Comma 4 80 2 4" xfId="5900"/>
    <cellStyle name="Comma 4 80 2 4 2" xfId="9641"/>
    <cellStyle name="Comma 4 80 2 4 2 2" xfId="16143"/>
    <cellStyle name="Comma 4 80 2 4 3" xfId="7922"/>
    <cellStyle name="Comma 4 80 2 4 3 2" xfId="14562"/>
    <cellStyle name="Comma 4 80 2 4 4" xfId="12793"/>
    <cellStyle name="Comma 4 80 2 5" xfId="9857"/>
    <cellStyle name="Comma 4 80 2 5 2" xfId="16338"/>
    <cellStyle name="Comma 4 80 2 6" xfId="8399"/>
    <cellStyle name="Comma 4 80 2 6 2" xfId="14956"/>
    <cellStyle name="Comma 4 80 2 7" xfId="6680"/>
    <cellStyle name="Comma 4 80 2 7 2" xfId="13370"/>
    <cellStyle name="Comma 4 80 2 8" xfId="11580"/>
    <cellStyle name="Comma 4 80 3" xfId="4860"/>
    <cellStyle name="Comma 4 80 3 2" xfId="8603"/>
    <cellStyle name="Comma 4 80 3 2 2" xfId="15151"/>
    <cellStyle name="Comma 4 80 3 3" xfId="6884"/>
    <cellStyle name="Comma 4 80 3 3 2" xfId="13570"/>
    <cellStyle name="Comma 4 80 3 4" xfId="11785"/>
    <cellStyle name="Comma 4 80 4" xfId="5265"/>
    <cellStyle name="Comma 4 80 4 2" xfId="9008"/>
    <cellStyle name="Comma 4 80 4 2 2" xfId="15552"/>
    <cellStyle name="Comma 4 80 4 3" xfId="7289"/>
    <cellStyle name="Comma 4 80 4 3 2" xfId="13971"/>
    <cellStyle name="Comma 4 80 4 4" xfId="12186"/>
    <cellStyle name="Comma 4 80 5" xfId="5703"/>
    <cellStyle name="Comma 4 80 5 2" xfId="9444"/>
    <cellStyle name="Comma 4 80 5 2 2" xfId="15946"/>
    <cellStyle name="Comma 4 80 5 3" xfId="7725"/>
    <cellStyle name="Comma 4 80 5 3 2" xfId="14365"/>
    <cellStyle name="Comma 4 80 5 4" xfId="12596"/>
    <cellStyle name="Comma 4 80 6" xfId="9856"/>
    <cellStyle name="Comma 4 80 6 2" xfId="16337"/>
    <cellStyle name="Comma 4 80 7" xfId="8202"/>
    <cellStyle name="Comma 4 80 7 2" xfId="14759"/>
    <cellStyle name="Comma 4 80 8" xfId="6483"/>
    <cellStyle name="Comma 4 80 8 2" xfId="13173"/>
    <cellStyle name="Comma 4 80 9" xfId="11381"/>
    <cellStyle name="Comma 4 81" xfId="4476"/>
    <cellStyle name="Comma 4 81 2" xfId="11421"/>
    <cellStyle name="Comma 4 82" xfId="10275"/>
    <cellStyle name="Comma 4 9" xfId="3657"/>
    <cellStyle name="Comma 4 9 2" xfId="10997"/>
    <cellStyle name="Comma 40" xfId="10243"/>
    <cellStyle name="Comma 5" xfId="3658"/>
    <cellStyle name="Comma 5 10" xfId="3659"/>
    <cellStyle name="Comma 5 10 2" xfId="10999"/>
    <cellStyle name="Comma 5 11" xfId="3660"/>
    <cellStyle name="Comma 5 11 2" xfId="11000"/>
    <cellStyle name="Comma 5 12" xfId="3661"/>
    <cellStyle name="Comma 5 12 2" xfId="11001"/>
    <cellStyle name="Comma 5 13" xfId="3662"/>
    <cellStyle name="Comma 5 13 2" xfId="11002"/>
    <cellStyle name="Comma 5 14" xfId="3663"/>
    <cellStyle name="Comma 5 14 2" xfId="11003"/>
    <cellStyle name="Comma 5 15" xfId="3664"/>
    <cellStyle name="Comma 5 15 2" xfId="11004"/>
    <cellStyle name="Comma 5 16" xfId="3665"/>
    <cellStyle name="Comma 5 16 2" xfId="11005"/>
    <cellStyle name="Comma 5 17" xfId="3666"/>
    <cellStyle name="Comma 5 17 2" xfId="11006"/>
    <cellStyle name="Comma 5 18" xfId="3667"/>
    <cellStyle name="Comma 5 18 2" xfId="11007"/>
    <cellStyle name="Comma 5 19" xfId="3668"/>
    <cellStyle name="Comma 5 19 2" xfId="11008"/>
    <cellStyle name="Comma 5 2" xfId="3669"/>
    <cellStyle name="Comma 5 2 10" xfId="3670"/>
    <cellStyle name="Comma 5 2 10 2" xfId="11010"/>
    <cellStyle name="Comma 5 2 11" xfId="3671"/>
    <cellStyle name="Comma 5 2 11 2" xfId="11011"/>
    <cellStyle name="Comma 5 2 12" xfId="3672"/>
    <cellStyle name="Comma 5 2 12 2" xfId="11012"/>
    <cellStyle name="Comma 5 2 13" xfId="3673"/>
    <cellStyle name="Comma 5 2 13 2" xfId="11013"/>
    <cellStyle name="Comma 5 2 14" xfId="3674"/>
    <cellStyle name="Comma 5 2 14 2" xfId="11014"/>
    <cellStyle name="Comma 5 2 15" xfId="3675"/>
    <cellStyle name="Comma 5 2 15 2" xfId="11015"/>
    <cellStyle name="Comma 5 2 16" xfId="3676"/>
    <cellStyle name="Comma 5 2 16 2" xfId="11016"/>
    <cellStyle name="Comma 5 2 17" xfId="3677"/>
    <cellStyle name="Comma 5 2 17 2" xfId="11017"/>
    <cellStyle name="Comma 5 2 18" xfId="11009"/>
    <cellStyle name="Comma 5 2 2" xfId="3678"/>
    <cellStyle name="Comma 5 2 2 10" xfId="3679"/>
    <cellStyle name="Comma 5 2 2 10 2" xfId="11019"/>
    <cellStyle name="Comma 5 2 2 11" xfId="3680"/>
    <cellStyle name="Comma 5 2 2 11 2" xfId="11020"/>
    <cellStyle name="Comma 5 2 2 12" xfId="3681"/>
    <cellStyle name="Comma 5 2 2 12 2" xfId="11021"/>
    <cellStyle name="Comma 5 2 2 13" xfId="3682"/>
    <cellStyle name="Comma 5 2 2 13 2" xfId="11022"/>
    <cellStyle name="Comma 5 2 2 14" xfId="3683"/>
    <cellStyle name="Comma 5 2 2 14 2" xfId="11023"/>
    <cellStyle name="Comma 5 2 2 15" xfId="3684"/>
    <cellStyle name="Comma 5 2 2 15 2" xfId="11024"/>
    <cellStyle name="Comma 5 2 2 16" xfId="3685"/>
    <cellStyle name="Comma 5 2 2 16 2" xfId="11025"/>
    <cellStyle name="Comma 5 2 2 17" xfId="11018"/>
    <cellStyle name="Comma 5 2 2 2" xfId="3686"/>
    <cellStyle name="Comma 5 2 2 2 10" xfId="3687"/>
    <cellStyle name="Comma 5 2 2 2 10 2" xfId="11027"/>
    <cellStyle name="Comma 5 2 2 2 11" xfId="3688"/>
    <cellStyle name="Comma 5 2 2 2 11 2" xfId="11028"/>
    <cellStyle name="Comma 5 2 2 2 12" xfId="3689"/>
    <cellStyle name="Comma 5 2 2 2 12 2" xfId="11029"/>
    <cellStyle name="Comma 5 2 2 2 13" xfId="3690"/>
    <cellStyle name="Comma 5 2 2 2 13 2" xfId="11030"/>
    <cellStyle name="Comma 5 2 2 2 14" xfId="11026"/>
    <cellStyle name="Comma 5 2 2 2 2" xfId="3691"/>
    <cellStyle name="Comma 5 2 2 2 2 2" xfId="11031"/>
    <cellStyle name="Comma 5 2 2 2 3" xfId="3692"/>
    <cellStyle name="Comma 5 2 2 2 3 2" xfId="11032"/>
    <cellStyle name="Comma 5 2 2 2 4" xfId="3693"/>
    <cellStyle name="Comma 5 2 2 2 4 2" xfId="11033"/>
    <cellStyle name="Comma 5 2 2 2 5" xfId="3694"/>
    <cellStyle name="Comma 5 2 2 2 5 2" xfId="11034"/>
    <cellStyle name="Comma 5 2 2 2 6" xfId="3695"/>
    <cellStyle name="Comma 5 2 2 2 6 2" xfId="11035"/>
    <cellStyle name="Comma 5 2 2 2 7" xfId="3696"/>
    <cellStyle name="Comma 5 2 2 2 7 2" xfId="11036"/>
    <cellStyle name="Comma 5 2 2 2 8" xfId="3697"/>
    <cellStyle name="Comma 5 2 2 2 8 2" xfId="11037"/>
    <cellStyle name="Comma 5 2 2 2 9" xfId="3698"/>
    <cellStyle name="Comma 5 2 2 2 9 2" xfId="11038"/>
    <cellStyle name="Comma 5 2 2 3" xfId="3699"/>
    <cellStyle name="Comma 5 2 2 3 10" xfId="3700"/>
    <cellStyle name="Comma 5 2 2 3 10 2" xfId="11040"/>
    <cellStyle name="Comma 5 2 2 3 11" xfId="3701"/>
    <cellStyle name="Comma 5 2 2 3 11 2" xfId="11041"/>
    <cellStyle name="Comma 5 2 2 3 12" xfId="3702"/>
    <cellStyle name="Comma 5 2 2 3 12 2" xfId="11042"/>
    <cellStyle name="Comma 5 2 2 3 13" xfId="3703"/>
    <cellStyle name="Comma 5 2 2 3 13 2" xfId="11043"/>
    <cellStyle name="Comma 5 2 2 3 14" xfId="11039"/>
    <cellStyle name="Comma 5 2 2 3 2" xfId="3704"/>
    <cellStyle name="Comma 5 2 2 3 2 2" xfId="11044"/>
    <cellStyle name="Comma 5 2 2 3 3" xfId="3705"/>
    <cellStyle name="Comma 5 2 2 3 3 2" xfId="11045"/>
    <cellStyle name="Comma 5 2 2 3 4" xfId="3706"/>
    <cellStyle name="Comma 5 2 2 3 4 2" xfId="11046"/>
    <cellStyle name="Comma 5 2 2 3 5" xfId="3707"/>
    <cellStyle name="Comma 5 2 2 3 5 2" xfId="11047"/>
    <cellStyle name="Comma 5 2 2 3 6" xfId="3708"/>
    <cellStyle name="Comma 5 2 2 3 6 2" xfId="11048"/>
    <cellStyle name="Comma 5 2 2 3 7" xfId="3709"/>
    <cellStyle name="Comma 5 2 2 3 7 2" xfId="11049"/>
    <cellStyle name="Comma 5 2 2 3 8" xfId="3710"/>
    <cellStyle name="Comma 5 2 2 3 8 2" xfId="11050"/>
    <cellStyle name="Comma 5 2 2 3 9" xfId="3711"/>
    <cellStyle name="Comma 5 2 2 3 9 2" xfId="11051"/>
    <cellStyle name="Comma 5 2 2 4" xfId="3712"/>
    <cellStyle name="Comma 5 2 2 4 10" xfId="3713"/>
    <cellStyle name="Comma 5 2 2 4 10 2" xfId="11053"/>
    <cellStyle name="Comma 5 2 2 4 11" xfId="3714"/>
    <cellStyle name="Comma 5 2 2 4 11 2" xfId="11054"/>
    <cellStyle name="Comma 5 2 2 4 12" xfId="3715"/>
    <cellStyle name="Comma 5 2 2 4 12 2" xfId="11055"/>
    <cellStyle name="Comma 5 2 2 4 13" xfId="3716"/>
    <cellStyle name="Comma 5 2 2 4 13 2" xfId="11056"/>
    <cellStyle name="Comma 5 2 2 4 14" xfId="3717"/>
    <cellStyle name="Comma 5 2 2 4 14 2" xfId="3718"/>
    <cellStyle name="Comma 5 2 2 4 14 2 2" xfId="11058"/>
    <cellStyle name="Comma 5 2 2 4 14 3" xfId="3719"/>
    <cellStyle name="Comma 5 2 2 4 14 3 2" xfId="3720"/>
    <cellStyle name="Comma 5 2 2 4 14 3 2 2" xfId="11060"/>
    <cellStyle name="Comma 5 2 2 4 14 3 3" xfId="11059"/>
    <cellStyle name="Comma 5 2 2 4 14 4" xfId="11057"/>
    <cellStyle name="Comma 5 2 2 4 15" xfId="11052"/>
    <cellStyle name="Comma 5 2 2 4 2" xfId="3721"/>
    <cellStyle name="Comma 5 2 2 4 2 2" xfId="11061"/>
    <cellStyle name="Comma 5 2 2 4 3" xfId="3722"/>
    <cellStyle name="Comma 5 2 2 4 3 2" xfId="11062"/>
    <cellStyle name="Comma 5 2 2 4 4" xfId="3723"/>
    <cellStyle name="Comma 5 2 2 4 4 2" xfId="11063"/>
    <cellStyle name="Comma 5 2 2 4 5" xfId="3724"/>
    <cellStyle name="Comma 5 2 2 4 5 2" xfId="11064"/>
    <cellStyle name="Comma 5 2 2 4 6" xfId="3725"/>
    <cellStyle name="Comma 5 2 2 4 6 2" xfId="11065"/>
    <cellStyle name="Comma 5 2 2 4 7" xfId="3726"/>
    <cellStyle name="Comma 5 2 2 4 7 2" xfId="11066"/>
    <cellStyle name="Comma 5 2 2 4 8" xfId="3727"/>
    <cellStyle name="Comma 5 2 2 4 8 2" xfId="11067"/>
    <cellStyle name="Comma 5 2 2 4 9" xfId="3728"/>
    <cellStyle name="Comma 5 2 2 4 9 2" xfId="11068"/>
    <cellStyle name="Comma 5 2 2 5" xfId="3729"/>
    <cellStyle name="Comma 5 2 2 5 2" xfId="11069"/>
    <cellStyle name="Comma 5 2 2 6" xfId="3730"/>
    <cellStyle name="Comma 5 2 2 6 2" xfId="11070"/>
    <cellStyle name="Comma 5 2 2 7" xfId="3731"/>
    <cellStyle name="Comma 5 2 2 7 2" xfId="11071"/>
    <cellStyle name="Comma 5 2 2 8" xfId="3732"/>
    <cellStyle name="Comma 5 2 2 8 2" xfId="11072"/>
    <cellStyle name="Comma 5 2 2 9" xfId="3733"/>
    <cellStyle name="Comma 5 2 2 9 2" xfId="11073"/>
    <cellStyle name="Comma 5 2 3" xfId="3734"/>
    <cellStyle name="Comma 5 2 3 10" xfId="3735"/>
    <cellStyle name="Comma 5 2 3 10 2" xfId="11075"/>
    <cellStyle name="Comma 5 2 3 11" xfId="3736"/>
    <cellStyle name="Comma 5 2 3 11 2" xfId="11076"/>
    <cellStyle name="Comma 5 2 3 12" xfId="3737"/>
    <cellStyle name="Comma 5 2 3 12 2" xfId="11077"/>
    <cellStyle name="Comma 5 2 3 13" xfId="3738"/>
    <cellStyle name="Comma 5 2 3 13 2" xfId="11078"/>
    <cellStyle name="Comma 5 2 3 14" xfId="11074"/>
    <cellStyle name="Comma 5 2 3 2" xfId="3739"/>
    <cellStyle name="Comma 5 2 3 2 2" xfId="11079"/>
    <cellStyle name="Comma 5 2 3 3" xfId="3740"/>
    <cellStyle name="Comma 5 2 3 3 2" xfId="11080"/>
    <cellStyle name="Comma 5 2 3 4" xfId="3741"/>
    <cellStyle name="Comma 5 2 3 4 2" xfId="11081"/>
    <cellStyle name="Comma 5 2 3 5" xfId="3742"/>
    <cellStyle name="Comma 5 2 3 5 2" xfId="11082"/>
    <cellStyle name="Comma 5 2 3 6" xfId="3743"/>
    <cellStyle name="Comma 5 2 3 6 2" xfId="11083"/>
    <cellStyle name="Comma 5 2 3 7" xfId="3744"/>
    <cellStyle name="Comma 5 2 3 7 2" xfId="11084"/>
    <cellStyle name="Comma 5 2 3 8" xfId="3745"/>
    <cellStyle name="Comma 5 2 3 8 2" xfId="11085"/>
    <cellStyle name="Comma 5 2 3 9" xfId="3746"/>
    <cellStyle name="Comma 5 2 3 9 2" xfId="11086"/>
    <cellStyle name="Comma 5 2 4" xfId="3747"/>
    <cellStyle name="Comma 5 2 4 2" xfId="11087"/>
    <cellStyle name="Comma 5 2 5" xfId="3748"/>
    <cellStyle name="Comma 5 2 5 2" xfId="11088"/>
    <cellStyle name="Comma 5 2 6" xfId="3749"/>
    <cellStyle name="Comma 5 2 6 2" xfId="11089"/>
    <cellStyle name="Comma 5 2 7" xfId="3750"/>
    <cellStyle name="Comma 5 2 7 2" xfId="11090"/>
    <cellStyle name="Comma 5 2 8" xfId="3751"/>
    <cellStyle name="Comma 5 2 8 2" xfId="11091"/>
    <cellStyle name="Comma 5 2 9" xfId="3752"/>
    <cellStyle name="Comma 5 2 9 2" xfId="11092"/>
    <cellStyle name="Comma 5 20" xfId="3753"/>
    <cellStyle name="Comma 5 20 2" xfId="11093"/>
    <cellStyle name="Comma 5 21" xfId="3754"/>
    <cellStyle name="Comma 5 21 2" xfId="11094"/>
    <cellStyle name="Comma 5 22" xfId="3755"/>
    <cellStyle name="Comma 5 22 2" xfId="11095"/>
    <cellStyle name="Comma 5 23" xfId="3756"/>
    <cellStyle name="Comma 5 23 2" xfId="11096"/>
    <cellStyle name="Comma 5 24" xfId="3757"/>
    <cellStyle name="Comma 5 24 2" xfId="11097"/>
    <cellStyle name="Comma 5 25" xfId="3758"/>
    <cellStyle name="Comma 5 25 2" xfId="11098"/>
    <cellStyle name="Comma 5 26" xfId="3759"/>
    <cellStyle name="Comma 5 26 2" xfId="11099"/>
    <cellStyle name="Comma 5 27" xfId="3760"/>
    <cellStyle name="Comma 5 27 2" xfId="11100"/>
    <cellStyle name="Comma 5 28" xfId="3761"/>
    <cellStyle name="Comma 5 28 2" xfId="11101"/>
    <cellStyle name="Comma 5 29" xfId="3762"/>
    <cellStyle name="Comma 5 29 2" xfId="11102"/>
    <cellStyle name="Comma 5 3" xfId="3763"/>
    <cellStyle name="Comma 5 3 10" xfId="3764"/>
    <cellStyle name="Comma 5 3 10 2" xfId="11104"/>
    <cellStyle name="Comma 5 3 11" xfId="3765"/>
    <cellStyle name="Comma 5 3 11 2" xfId="11105"/>
    <cellStyle name="Comma 5 3 12" xfId="3766"/>
    <cellStyle name="Comma 5 3 12 2" xfId="11106"/>
    <cellStyle name="Comma 5 3 13" xfId="3767"/>
    <cellStyle name="Comma 5 3 13 2" xfId="11107"/>
    <cellStyle name="Comma 5 3 14" xfId="3768"/>
    <cellStyle name="Comma 5 3 14 2" xfId="11108"/>
    <cellStyle name="Comma 5 3 15" xfId="3769"/>
    <cellStyle name="Comma 5 3 15 2" xfId="11109"/>
    <cellStyle name="Comma 5 3 16" xfId="3770"/>
    <cellStyle name="Comma 5 3 16 2" xfId="11110"/>
    <cellStyle name="Comma 5 3 17" xfId="3771"/>
    <cellStyle name="Comma 5 3 17 2" xfId="11111"/>
    <cellStyle name="Comma 5 3 18" xfId="11103"/>
    <cellStyle name="Comma 5 3 2" xfId="3772"/>
    <cellStyle name="Comma 5 3 2 2" xfId="11112"/>
    <cellStyle name="Comma 5 3 3" xfId="3773"/>
    <cellStyle name="Comma 5 3 3 2" xfId="11113"/>
    <cellStyle name="Comma 5 3 4" xfId="3774"/>
    <cellStyle name="Comma 5 3 4 2" xfId="11114"/>
    <cellStyle name="Comma 5 3 5" xfId="3775"/>
    <cellStyle name="Comma 5 3 5 2" xfId="11115"/>
    <cellStyle name="Comma 5 3 6" xfId="3776"/>
    <cellStyle name="Comma 5 3 6 2" xfId="11116"/>
    <cellStyle name="Comma 5 3 7" xfId="3777"/>
    <cellStyle name="Comma 5 3 7 2" xfId="11117"/>
    <cellStyle name="Comma 5 3 8" xfId="3778"/>
    <cellStyle name="Comma 5 3 8 2" xfId="11118"/>
    <cellStyle name="Comma 5 3 9" xfId="3779"/>
    <cellStyle name="Comma 5 3 9 2" xfId="11119"/>
    <cellStyle name="Comma 5 30" xfId="3780"/>
    <cellStyle name="Comma 5 30 2" xfId="11120"/>
    <cellStyle name="Comma 5 31" xfId="3781"/>
    <cellStyle name="Comma 5 31 2" xfId="11121"/>
    <cellStyle name="Comma 5 32" xfId="3782"/>
    <cellStyle name="Comma 5 32 2" xfId="11122"/>
    <cellStyle name="Comma 5 33" xfId="3783"/>
    <cellStyle name="Comma 5 33 2" xfId="11123"/>
    <cellStyle name="Comma 5 34" xfId="3784"/>
    <cellStyle name="Comma 5 34 2" xfId="11124"/>
    <cellStyle name="Comma 5 35" xfId="3785"/>
    <cellStyle name="Comma 5 35 2" xfId="11125"/>
    <cellStyle name="Comma 5 36" xfId="3786"/>
    <cellStyle name="Comma 5 36 2" xfId="11126"/>
    <cellStyle name="Comma 5 37" xfId="3787"/>
    <cellStyle name="Comma 5 37 2" xfId="11127"/>
    <cellStyle name="Comma 5 38" xfId="3788"/>
    <cellStyle name="Comma 5 38 2" xfId="11128"/>
    <cellStyle name="Comma 5 39" xfId="3789"/>
    <cellStyle name="Comma 5 39 2" xfId="11129"/>
    <cellStyle name="Comma 5 4" xfId="3790"/>
    <cellStyle name="Comma 5 4 2" xfId="11130"/>
    <cellStyle name="Comma 5 40" xfId="3791"/>
    <cellStyle name="Comma 5 40 2" xfId="11131"/>
    <cellStyle name="Comma 5 41" xfId="3792"/>
    <cellStyle name="Comma 5 41 2" xfId="11132"/>
    <cellStyle name="Comma 5 42" xfId="3793"/>
    <cellStyle name="Comma 5 42 2" xfId="11133"/>
    <cellStyle name="Comma 5 43" xfId="3794"/>
    <cellStyle name="Comma 5 43 2" xfId="11134"/>
    <cellStyle name="Comma 5 44" xfId="3795"/>
    <cellStyle name="Comma 5 44 2" xfId="11135"/>
    <cellStyle name="Comma 5 45" xfId="3796"/>
    <cellStyle name="Comma 5 45 2" xfId="11136"/>
    <cellStyle name="Comma 5 46" xfId="3797"/>
    <cellStyle name="Comma 5 46 2" xfId="11137"/>
    <cellStyle name="Comma 5 47" xfId="3798"/>
    <cellStyle name="Comma 5 47 2" xfId="11138"/>
    <cellStyle name="Comma 5 48" xfId="3799"/>
    <cellStyle name="Comma 5 48 2" xfId="11139"/>
    <cellStyle name="Comma 5 49" xfId="3800"/>
    <cellStyle name="Comma 5 49 2" xfId="11140"/>
    <cellStyle name="Comma 5 5" xfId="3801"/>
    <cellStyle name="Comma 5 5 2" xfId="11141"/>
    <cellStyle name="Comma 5 50" xfId="3802"/>
    <cellStyle name="Comma 5 50 2" xfId="11142"/>
    <cellStyle name="Comma 5 51" xfId="3803"/>
    <cellStyle name="Comma 5 51 2" xfId="11143"/>
    <cellStyle name="Comma 5 52" xfId="3804"/>
    <cellStyle name="Comma 5 52 2" xfId="11144"/>
    <cellStyle name="Comma 5 53" xfId="3805"/>
    <cellStyle name="Comma 5 53 2" xfId="11145"/>
    <cellStyle name="Comma 5 54" xfId="3806"/>
    <cellStyle name="Comma 5 54 2" xfId="11146"/>
    <cellStyle name="Comma 5 55" xfId="3807"/>
    <cellStyle name="Comma 5 55 2" xfId="11147"/>
    <cellStyle name="Comma 5 56" xfId="3808"/>
    <cellStyle name="Comma 5 56 2" xfId="11148"/>
    <cellStyle name="Comma 5 57" xfId="3809"/>
    <cellStyle name="Comma 5 57 2" xfId="11149"/>
    <cellStyle name="Comma 5 58" xfId="3810"/>
    <cellStyle name="Comma 5 58 2" xfId="11150"/>
    <cellStyle name="Comma 5 59" xfId="3811"/>
    <cellStyle name="Comma 5 59 2" xfId="11151"/>
    <cellStyle name="Comma 5 6" xfId="3812"/>
    <cellStyle name="Comma 5 6 2" xfId="11152"/>
    <cellStyle name="Comma 5 60" xfId="3813"/>
    <cellStyle name="Comma 5 60 2" xfId="11153"/>
    <cellStyle name="Comma 5 61" xfId="3814"/>
    <cellStyle name="Comma 5 61 2" xfId="11154"/>
    <cellStyle name="Comma 5 62" xfId="3815"/>
    <cellStyle name="Comma 5 62 2" xfId="11155"/>
    <cellStyle name="Comma 5 63" xfId="3816"/>
    <cellStyle name="Comma 5 63 2" xfId="11156"/>
    <cellStyle name="Comma 5 64" xfId="3817"/>
    <cellStyle name="Comma 5 64 2" xfId="11157"/>
    <cellStyle name="Comma 5 65" xfId="3818"/>
    <cellStyle name="Comma 5 65 2" xfId="11158"/>
    <cellStyle name="Comma 5 66" xfId="3819"/>
    <cellStyle name="Comma 5 66 2" xfId="11159"/>
    <cellStyle name="Comma 5 67" xfId="3820"/>
    <cellStyle name="Comma 5 67 2" xfId="11160"/>
    <cellStyle name="Comma 5 68" xfId="3821"/>
    <cellStyle name="Comma 5 68 2" xfId="11161"/>
    <cellStyle name="Comma 5 69" xfId="3822"/>
    <cellStyle name="Comma 5 69 2" xfId="11162"/>
    <cellStyle name="Comma 5 7" xfId="3823"/>
    <cellStyle name="Comma 5 7 2" xfId="11163"/>
    <cellStyle name="Comma 5 70" xfId="3824"/>
    <cellStyle name="Comma 5 70 2" xfId="11164"/>
    <cellStyle name="Comma 5 71" xfId="3825"/>
    <cellStyle name="Comma 5 71 2" xfId="11165"/>
    <cellStyle name="Comma 5 72" xfId="3826"/>
    <cellStyle name="Comma 5 72 2" xfId="11166"/>
    <cellStyle name="Comma 5 73" xfId="3827"/>
    <cellStyle name="Comma 5 73 2" xfId="11167"/>
    <cellStyle name="Comma 5 74" xfId="3828"/>
    <cellStyle name="Comma 5 74 2" xfId="11168"/>
    <cellStyle name="Comma 5 75" xfId="3829"/>
    <cellStyle name="Comma 5 75 2" xfId="11169"/>
    <cellStyle name="Comma 5 76" xfId="3830"/>
    <cellStyle name="Comma 5 76 2" xfId="11170"/>
    <cellStyle name="Comma 5 77" xfId="3831"/>
    <cellStyle name="Comma 5 77 2" xfId="11171"/>
    <cellStyle name="Comma 5 78" xfId="3832"/>
    <cellStyle name="Comma 5 78 2" xfId="11172"/>
    <cellStyle name="Comma 5 79" xfId="3833"/>
    <cellStyle name="Comma 5 79 2" xfId="11173"/>
    <cellStyle name="Comma 5 8" xfId="3834"/>
    <cellStyle name="Comma 5 8 2" xfId="11174"/>
    <cellStyle name="Comma 5 80" xfId="4413"/>
    <cellStyle name="Comma 5 80 2" xfId="4624"/>
    <cellStyle name="Comma 5 80 2 2" xfId="4863"/>
    <cellStyle name="Comma 5 80 2 2 2" xfId="8606"/>
    <cellStyle name="Comma 5 80 2 2 2 2" xfId="15154"/>
    <cellStyle name="Comma 5 80 2 2 3" xfId="6887"/>
    <cellStyle name="Comma 5 80 2 2 3 2" xfId="13573"/>
    <cellStyle name="Comma 5 80 2 2 4" xfId="11788"/>
    <cellStyle name="Comma 5 80 2 3" xfId="5451"/>
    <cellStyle name="Comma 5 80 2 3 2" xfId="9194"/>
    <cellStyle name="Comma 5 80 2 3 2 2" xfId="15738"/>
    <cellStyle name="Comma 5 80 2 3 3" xfId="7475"/>
    <cellStyle name="Comma 5 80 2 3 3 2" xfId="14157"/>
    <cellStyle name="Comma 5 80 2 3 4" xfId="12372"/>
    <cellStyle name="Comma 5 80 2 4" xfId="5889"/>
    <cellStyle name="Comma 5 80 2 4 2" xfId="9630"/>
    <cellStyle name="Comma 5 80 2 4 2 2" xfId="16132"/>
    <cellStyle name="Comma 5 80 2 4 3" xfId="7911"/>
    <cellStyle name="Comma 5 80 2 4 3 2" xfId="14551"/>
    <cellStyle name="Comma 5 80 2 4 4" xfId="12782"/>
    <cellStyle name="Comma 5 80 2 5" xfId="9859"/>
    <cellStyle name="Comma 5 80 2 5 2" xfId="16340"/>
    <cellStyle name="Comma 5 80 2 6" xfId="8388"/>
    <cellStyle name="Comma 5 80 2 6 2" xfId="14945"/>
    <cellStyle name="Comma 5 80 2 7" xfId="6669"/>
    <cellStyle name="Comma 5 80 2 7 2" xfId="13359"/>
    <cellStyle name="Comma 5 80 2 8" xfId="11569"/>
    <cellStyle name="Comma 5 80 3" xfId="4862"/>
    <cellStyle name="Comma 5 80 3 2" xfId="8605"/>
    <cellStyle name="Comma 5 80 3 2 2" xfId="15153"/>
    <cellStyle name="Comma 5 80 3 3" xfId="6886"/>
    <cellStyle name="Comma 5 80 3 3 2" xfId="13572"/>
    <cellStyle name="Comma 5 80 3 4" xfId="11787"/>
    <cellStyle name="Comma 5 80 4" xfId="5254"/>
    <cellStyle name="Comma 5 80 4 2" xfId="8997"/>
    <cellStyle name="Comma 5 80 4 2 2" xfId="15541"/>
    <cellStyle name="Comma 5 80 4 3" xfId="7278"/>
    <cellStyle name="Comma 5 80 4 3 2" xfId="13960"/>
    <cellStyle name="Comma 5 80 4 4" xfId="12175"/>
    <cellStyle name="Comma 5 80 5" xfId="5692"/>
    <cellStyle name="Comma 5 80 5 2" xfId="9433"/>
    <cellStyle name="Comma 5 80 5 2 2" xfId="15935"/>
    <cellStyle name="Comma 5 80 5 3" xfId="7714"/>
    <cellStyle name="Comma 5 80 5 3 2" xfId="14354"/>
    <cellStyle name="Comma 5 80 5 4" xfId="12585"/>
    <cellStyle name="Comma 5 80 6" xfId="9858"/>
    <cellStyle name="Comma 5 80 6 2" xfId="16339"/>
    <cellStyle name="Comma 5 80 7" xfId="8191"/>
    <cellStyle name="Comma 5 80 7 2" xfId="14748"/>
    <cellStyle name="Comma 5 80 8" xfId="6472"/>
    <cellStyle name="Comma 5 80 8 2" xfId="13162"/>
    <cellStyle name="Comma 5 80 9" xfId="11369"/>
    <cellStyle name="Comma 5 81" xfId="4427"/>
    <cellStyle name="Comma 5 81 2" xfId="4636"/>
    <cellStyle name="Comma 5 81 2 2" xfId="4865"/>
    <cellStyle name="Comma 5 81 2 2 2" xfId="8608"/>
    <cellStyle name="Comma 5 81 2 2 2 2" xfId="15156"/>
    <cellStyle name="Comma 5 81 2 2 3" xfId="6889"/>
    <cellStyle name="Comma 5 81 2 2 3 2" xfId="13575"/>
    <cellStyle name="Comma 5 81 2 2 4" xfId="11790"/>
    <cellStyle name="Comma 5 81 2 3" xfId="5463"/>
    <cellStyle name="Comma 5 81 2 3 2" xfId="9206"/>
    <cellStyle name="Comma 5 81 2 3 2 2" xfId="15750"/>
    <cellStyle name="Comma 5 81 2 3 3" xfId="7487"/>
    <cellStyle name="Comma 5 81 2 3 3 2" xfId="14169"/>
    <cellStyle name="Comma 5 81 2 3 4" xfId="12384"/>
    <cellStyle name="Comma 5 81 2 4" xfId="5901"/>
    <cellStyle name="Comma 5 81 2 4 2" xfId="9642"/>
    <cellStyle name="Comma 5 81 2 4 2 2" xfId="16144"/>
    <cellStyle name="Comma 5 81 2 4 3" xfId="7923"/>
    <cellStyle name="Comma 5 81 2 4 3 2" xfId="14563"/>
    <cellStyle name="Comma 5 81 2 4 4" xfId="12794"/>
    <cellStyle name="Comma 5 81 2 5" xfId="9861"/>
    <cellStyle name="Comma 5 81 2 5 2" xfId="16342"/>
    <cellStyle name="Comma 5 81 2 6" xfId="8400"/>
    <cellStyle name="Comma 5 81 2 6 2" xfId="14957"/>
    <cellStyle name="Comma 5 81 2 7" xfId="6681"/>
    <cellStyle name="Comma 5 81 2 7 2" xfId="13371"/>
    <cellStyle name="Comma 5 81 2 8" xfId="11581"/>
    <cellStyle name="Comma 5 81 3" xfId="4864"/>
    <cellStyle name="Comma 5 81 3 2" xfId="8607"/>
    <cellStyle name="Comma 5 81 3 2 2" xfId="15155"/>
    <cellStyle name="Comma 5 81 3 3" xfId="6888"/>
    <cellStyle name="Comma 5 81 3 3 2" xfId="13574"/>
    <cellStyle name="Comma 5 81 3 4" xfId="11789"/>
    <cellStyle name="Comma 5 81 4" xfId="5266"/>
    <cellStyle name="Comma 5 81 4 2" xfId="9009"/>
    <cellStyle name="Comma 5 81 4 2 2" xfId="15553"/>
    <cellStyle name="Comma 5 81 4 3" xfId="7290"/>
    <cellStyle name="Comma 5 81 4 3 2" xfId="13972"/>
    <cellStyle name="Comma 5 81 4 4" xfId="12187"/>
    <cellStyle name="Comma 5 81 5" xfId="5704"/>
    <cellStyle name="Comma 5 81 5 2" xfId="9445"/>
    <cellStyle name="Comma 5 81 5 2 2" xfId="15947"/>
    <cellStyle name="Comma 5 81 5 3" xfId="7726"/>
    <cellStyle name="Comma 5 81 5 3 2" xfId="14366"/>
    <cellStyle name="Comma 5 81 5 4" xfId="12597"/>
    <cellStyle name="Comma 5 81 6" xfId="9860"/>
    <cellStyle name="Comma 5 81 6 2" xfId="16341"/>
    <cellStyle name="Comma 5 81 7" xfId="8203"/>
    <cellStyle name="Comma 5 81 7 2" xfId="14760"/>
    <cellStyle name="Comma 5 81 8" xfId="6484"/>
    <cellStyle name="Comma 5 81 8 2" xfId="13174"/>
    <cellStyle name="Comma 5 81 9" xfId="11382"/>
    <cellStyle name="Comma 5 82" xfId="10998"/>
    <cellStyle name="Comma 5 9" xfId="3835"/>
    <cellStyle name="Comma 5 9 2" xfId="11175"/>
    <cellStyle name="Comma 6" xfId="3836"/>
    <cellStyle name="Comma 6 10" xfId="3837"/>
    <cellStyle name="Comma 6 10 2" xfId="11177"/>
    <cellStyle name="Comma 6 11" xfId="3838"/>
    <cellStyle name="Comma 6 11 2" xfId="11178"/>
    <cellStyle name="Comma 6 12" xfId="3839"/>
    <cellStyle name="Comma 6 12 2" xfId="11179"/>
    <cellStyle name="Comma 6 13" xfId="3840"/>
    <cellStyle name="Comma 6 13 2" xfId="11180"/>
    <cellStyle name="Comma 6 14" xfId="3841"/>
    <cellStyle name="Comma 6 14 2" xfId="11181"/>
    <cellStyle name="Comma 6 15" xfId="3842"/>
    <cellStyle name="Comma 6 15 2" xfId="11182"/>
    <cellStyle name="Comma 6 16" xfId="3843"/>
    <cellStyle name="Comma 6 16 2" xfId="11183"/>
    <cellStyle name="Comma 6 17" xfId="3844"/>
    <cellStyle name="Comma 6 17 2" xfId="11184"/>
    <cellStyle name="Comma 6 18" xfId="3845"/>
    <cellStyle name="Comma 6 18 2" xfId="11185"/>
    <cellStyle name="Comma 6 19" xfId="3846"/>
    <cellStyle name="Comma 6 19 2" xfId="11186"/>
    <cellStyle name="Comma 6 2" xfId="3847"/>
    <cellStyle name="Comma 6 2 10" xfId="3848"/>
    <cellStyle name="Comma 6 2 10 2" xfId="11188"/>
    <cellStyle name="Comma 6 2 11" xfId="3849"/>
    <cellStyle name="Comma 6 2 11 2" xfId="11189"/>
    <cellStyle name="Comma 6 2 12" xfId="3850"/>
    <cellStyle name="Comma 6 2 12 2" xfId="11190"/>
    <cellStyle name="Comma 6 2 13" xfId="3851"/>
    <cellStyle name="Comma 6 2 13 2" xfId="11191"/>
    <cellStyle name="Comma 6 2 14" xfId="11187"/>
    <cellStyle name="Comma 6 2 2" xfId="3852"/>
    <cellStyle name="Comma 6 2 2 2" xfId="11192"/>
    <cellStyle name="Comma 6 2 3" xfId="3853"/>
    <cellStyle name="Comma 6 2 3 2" xfId="11193"/>
    <cellStyle name="Comma 6 2 4" xfId="3854"/>
    <cellStyle name="Comma 6 2 4 2" xfId="11194"/>
    <cellStyle name="Comma 6 2 5" xfId="3855"/>
    <cellStyle name="Comma 6 2 5 2" xfId="11195"/>
    <cellStyle name="Comma 6 2 6" xfId="3856"/>
    <cellStyle name="Comma 6 2 6 2" xfId="11196"/>
    <cellStyle name="Comma 6 2 7" xfId="3857"/>
    <cellStyle name="Comma 6 2 7 2" xfId="11197"/>
    <cellStyle name="Comma 6 2 8" xfId="3858"/>
    <cellStyle name="Comma 6 2 8 2" xfId="11198"/>
    <cellStyle name="Comma 6 2 9" xfId="3859"/>
    <cellStyle name="Comma 6 2 9 2" xfId="11199"/>
    <cellStyle name="Comma 6 20" xfId="11176"/>
    <cellStyle name="Comma 6 3" xfId="3860"/>
    <cellStyle name="Comma 6 3 2" xfId="11200"/>
    <cellStyle name="Comma 6 4" xfId="3861"/>
    <cellStyle name="Comma 6 4 2" xfId="11201"/>
    <cellStyle name="Comma 6 5" xfId="3862"/>
    <cellStyle name="Comma 6 5 2" xfId="11202"/>
    <cellStyle name="Comma 6 6" xfId="3863"/>
    <cellStyle name="Comma 6 6 2" xfId="11203"/>
    <cellStyle name="Comma 6 7" xfId="3864"/>
    <cellStyle name="Comma 6 7 2" xfId="11204"/>
    <cellStyle name="Comma 6 8" xfId="3865"/>
    <cellStyle name="Comma 6 8 2" xfId="11205"/>
    <cellStyle name="Comma 6 9" xfId="3866"/>
    <cellStyle name="Comma 6 9 2" xfId="11206"/>
    <cellStyle name="Comma 7" xfId="3867"/>
    <cellStyle name="Comma 7 10" xfId="3868"/>
    <cellStyle name="Comma 7 10 2" xfId="11208"/>
    <cellStyle name="Comma 7 11" xfId="3869"/>
    <cellStyle name="Comma 7 11 2" xfId="11209"/>
    <cellStyle name="Comma 7 12" xfId="3870"/>
    <cellStyle name="Comma 7 12 2" xfId="11210"/>
    <cellStyle name="Comma 7 13" xfId="3871"/>
    <cellStyle name="Comma 7 13 2" xfId="11211"/>
    <cellStyle name="Comma 7 14" xfId="11207"/>
    <cellStyle name="Comma 7 2" xfId="3872"/>
    <cellStyle name="Comma 7 2 2" xfId="11212"/>
    <cellStyle name="Comma 7 3" xfId="3873"/>
    <cellStyle name="Comma 7 3 2" xfId="11213"/>
    <cellStyle name="Comma 7 4" xfId="3874"/>
    <cellStyle name="Comma 7 4 2" xfId="11214"/>
    <cellStyle name="Comma 7 5" xfId="3875"/>
    <cellStyle name="Comma 7 5 2" xfId="11215"/>
    <cellStyle name="Comma 7 6" xfId="3876"/>
    <cellStyle name="Comma 7 6 2" xfId="11216"/>
    <cellStyle name="Comma 7 7" xfId="3877"/>
    <cellStyle name="Comma 7 7 2" xfId="11217"/>
    <cellStyle name="Comma 7 8" xfId="3878"/>
    <cellStyle name="Comma 7 8 2" xfId="11218"/>
    <cellStyle name="Comma 7 9" xfId="3879"/>
    <cellStyle name="Comma 7 9 2" xfId="11219"/>
    <cellStyle name="Comma 8" xfId="3880"/>
    <cellStyle name="Comma 8 2" xfId="11220"/>
    <cellStyle name="Comma 9" xfId="3881"/>
    <cellStyle name="Comma 9 2" xfId="11221"/>
    <cellStyle name="Comma Dashed" xfId="3882"/>
    <cellStyle name="Comma Nil" xfId="3883"/>
    <cellStyle name="Comma*" xfId="3884"/>
    <cellStyle name="comma[0]" xfId="3885"/>
    <cellStyle name="Comma_Book1" xfId="2"/>
    <cellStyle name="Comma0" xfId="3886"/>
    <cellStyle name="Comma1" xfId="3887"/>
    <cellStyle name="Comma2" xfId="3888"/>
    <cellStyle name="Comment" xfId="3889"/>
    <cellStyle name="CompanyName" xfId="3890"/>
    <cellStyle name="Copied" xfId="3891"/>
    <cellStyle name="Copy0_" xfId="3892"/>
    <cellStyle name="Copy1_" xfId="3893"/>
    <cellStyle name="Copy2_" xfId="3894"/>
    <cellStyle name="CountryTitle" xfId="3895"/>
    <cellStyle name="CoverRatio" xfId="3896"/>
    <cellStyle name="Currency - two places" xfId="3897"/>
    <cellStyle name="Currency (0)" xfId="3898"/>
    <cellStyle name="Currency (2)" xfId="3899"/>
    <cellStyle name="Currency (2dp)" xfId="3900"/>
    <cellStyle name="Currency (2dp) Dashed" xfId="3901"/>
    <cellStyle name="Currency (2dp) Nil" xfId="3902"/>
    <cellStyle name="Currency (2dp+nz)" xfId="3903"/>
    <cellStyle name="Currency (nz)" xfId="3904"/>
    <cellStyle name="Currency [0.00]" xfId="3905"/>
    <cellStyle name="Currency [0] U" xfId="3906"/>
    <cellStyle name="Currency [2]" xfId="3907"/>
    <cellStyle name="Currency [2] U" xfId="3908"/>
    <cellStyle name="Currency 0" xfId="3909"/>
    <cellStyle name="Currency 2" xfId="9"/>
    <cellStyle name="Currency 2 10" xfId="4452"/>
    <cellStyle name="Currency 2 10 2" xfId="4866"/>
    <cellStyle name="Currency 2 10 2 2" xfId="8609"/>
    <cellStyle name="Currency 2 10 2 2 2" xfId="15157"/>
    <cellStyle name="Currency 2 10 2 3" xfId="6890"/>
    <cellStyle name="Currency 2 10 2 3 2" xfId="13576"/>
    <cellStyle name="Currency 2 10 2 4" xfId="11791"/>
    <cellStyle name="Currency 2 10 3" xfId="5280"/>
    <cellStyle name="Currency 2 10 3 2" xfId="9023"/>
    <cellStyle name="Currency 2 10 3 2 2" xfId="15567"/>
    <cellStyle name="Currency 2 10 3 3" xfId="7304"/>
    <cellStyle name="Currency 2 10 3 3 2" xfId="13986"/>
    <cellStyle name="Currency 2 10 3 4" xfId="12201"/>
    <cellStyle name="Currency 2 10 4" xfId="5718"/>
    <cellStyle name="Currency 2 10 4 2" xfId="9459"/>
    <cellStyle name="Currency 2 10 4 2 2" xfId="15961"/>
    <cellStyle name="Currency 2 10 4 3" xfId="7740"/>
    <cellStyle name="Currency 2 10 4 3 2" xfId="14380"/>
    <cellStyle name="Currency 2 10 4 4" xfId="12611"/>
    <cellStyle name="Currency 2 10 5" xfId="9862"/>
    <cellStyle name="Currency 2 10 5 2" xfId="16343"/>
    <cellStyle name="Currency 2 10 6" xfId="8217"/>
    <cellStyle name="Currency 2 10 6 2" xfId="14774"/>
    <cellStyle name="Currency 2 10 7" xfId="6498"/>
    <cellStyle name="Currency 2 10 7 2" xfId="13188"/>
    <cellStyle name="Currency 2 10 8" xfId="11397"/>
    <cellStyle name="Currency 2 11" xfId="4673"/>
    <cellStyle name="Currency 2 11 2" xfId="8419"/>
    <cellStyle name="Currency 2 11 2 2" xfId="14971"/>
    <cellStyle name="Currency 2 11 3" xfId="6700"/>
    <cellStyle name="Currency 2 11 3 2" xfId="13390"/>
    <cellStyle name="Currency 2 11 4" xfId="11604"/>
    <cellStyle name="Currency 2 12" xfId="5079"/>
    <cellStyle name="Currency 2 12 2" xfId="8822"/>
    <cellStyle name="Currency 2 12 2 2" xfId="15370"/>
    <cellStyle name="Currency 2 12 3" xfId="7103"/>
    <cellStyle name="Currency 2 12 3 2" xfId="13789"/>
    <cellStyle name="Currency 2 12 4" xfId="12004"/>
    <cellStyle name="Currency 2 13" xfId="5516"/>
    <cellStyle name="Currency 2 13 2" xfId="9257"/>
    <cellStyle name="Currency 2 13 2 2" xfId="15764"/>
    <cellStyle name="Currency 2 13 3" xfId="7538"/>
    <cellStyle name="Currency 2 13 3 2" xfId="14183"/>
    <cellStyle name="Currency 2 13 4" xfId="12409"/>
    <cellStyle name="Currency 2 14" xfId="9653"/>
    <cellStyle name="Currency 2 14 2" xfId="16155"/>
    <cellStyle name="Currency 2 15" xfId="7937"/>
    <cellStyle name="Currency 2 15 2" xfId="14577"/>
    <cellStyle name="Currency 2 16" xfId="5916"/>
    <cellStyle name="Currency 2 16 2" xfId="12809"/>
    <cellStyle name="Currency 2 17" xfId="10248"/>
    <cellStyle name="Currency 2 2" xfId="13"/>
    <cellStyle name="Currency 2 2 2" xfId="4414"/>
    <cellStyle name="Currency 2 2 2 2" xfId="11370"/>
    <cellStyle name="Currency 2 2 3" xfId="10251"/>
    <cellStyle name="Currency 2 3" xfId="16"/>
    <cellStyle name="Currency 2 3 10" xfId="9654"/>
    <cellStyle name="Currency 2 3 10 2" xfId="16156"/>
    <cellStyle name="Currency 2 3 11" xfId="7938"/>
    <cellStyle name="Currency 2 3 11 2" xfId="14578"/>
    <cellStyle name="Currency 2 3 12" xfId="5917"/>
    <cellStyle name="Currency 2 3 12 2" xfId="12810"/>
    <cellStyle name="Currency 2 3 13" xfId="10252"/>
    <cellStyle name="Currency 2 3 2" xfId="38"/>
    <cellStyle name="Currency 2 3 2 10" xfId="5936"/>
    <cellStyle name="Currency 2 3 2 10 2" xfId="12829"/>
    <cellStyle name="Currency 2 3 2 11" xfId="10271"/>
    <cellStyle name="Currency 2 3 2 2" xfId="3910"/>
    <cellStyle name="Currency 2 3 2 2 2" xfId="4485"/>
    <cellStyle name="Currency 2 3 2 2 2 2" xfId="4867"/>
    <cellStyle name="Currency 2 3 2 2 2 2 2" xfId="8610"/>
    <cellStyle name="Currency 2 3 2 2 2 2 2 2" xfId="15158"/>
    <cellStyle name="Currency 2 3 2 2 2 2 3" xfId="6891"/>
    <cellStyle name="Currency 2 3 2 2 2 2 3 2" xfId="13577"/>
    <cellStyle name="Currency 2 3 2 2 2 2 4" xfId="11792"/>
    <cellStyle name="Currency 2 3 2 2 2 3" xfId="5312"/>
    <cellStyle name="Currency 2 3 2 2 2 3 2" xfId="9055"/>
    <cellStyle name="Currency 2 3 2 2 2 3 2 2" xfId="15599"/>
    <cellStyle name="Currency 2 3 2 2 2 3 3" xfId="7336"/>
    <cellStyle name="Currency 2 3 2 2 2 3 3 2" xfId="14018"/>
    <cellStyle name="Currency 2 3 2 2 2 3 4" xfId="12233"/>
    <cellStyle name="Currency 2 3 2 2 2 4" xfId="5750"/>
    <cellStyle name="Currency 2 3 2 2 2 4 2" xfId="9491"/>
    <cellStyle name="Currency 2 3 2 2 2 4 2 2" xfId="15993"/>
    <cellStyle name="Currency 2 3 2 2 2 4 3" xfId="7772"/>
    <cellStyle name="Currency 2 3 2 2 2 4 3 2" xfId="14412"/>
    <cellStyle name="Currency 2 3 2 2 2 4 4" xfId="12643"/>
    <cellStyle name="Currency 2 3 2 2 2 5" xfId="9863"/>
    <cellStyle name="Currency 2 3 2 2 2 5 2" xfId="16344"/>
    <cellStyle name="Currency 2 3 2 2 2 6" xfId="8249"/>
    <cellStyle name="Currency 2 3 2 2 2 6 2" xfId="14806"/>
    <cellStyle name="Currency 2 3 2 2 2 7" xfId="6530"/>
    <cellStyle name="Currency 2 3 2 2 2 7 2" xfId="13220"/>
    <cellStyle name="Currency 2 3 2 2 2 8" xfId="11430"/>
    <cellStyle name="Currency 2 3 2 2 3" xfId="4766"/>
    <cellStyle name="Currency 2 3 2 2 3 2" xfId="8509"/>
    <cellStyle name="Currency 2 3 2 2 3 2 2" xfId="15061"/>
    <cellStyle name="Currency 2 3 2 2 3 3" xfId="6790"/>
    <cellStyle name="Currency 2 3 2 2 3 3 2" xfId="13480"/>
    <cellStyle name="Currency 2 3 2 2 3 4" xfId="11695"/>
    <cellStyle name="Currency 2 3 2 2 4" xfId="5115"/>
    <cellStyle name="Currency 2 3 2 2 4 2" xfId="8858"/>
    <cellStyle name="Currency 2 3 2 2 4 2 2" xfId="15402"/>
    <cellStyle name="Currency 2 3 2 2 4 3" xfId="7139"/>
    <cellStyle name="Currency 2 3 2 2 4 3 2" xfId="13821"/>
    <cellStyle name="Currency 2 3 2 2 4 4" xfId="12036"/>
    <cellStyle name="Currency 2 3 2 2 5" xfId="5548"/>
    <cellStyle name="Currency 2 3 2 2 5 2" xfId="9289"/>
    <cellStyle name="Currency 2 3 2 2 5 2 2" xfId="15796"/>
    <cellStyle name="Currency 2 3 2 2 5 3" xfId="7570"/>
    <cellStyle name="Currency 2 3 2 2 5 3 2" xfId="14215"/>
    <cellStyle name="Currency 2 3 2 2 5 4" xfId="12441"/>
    <cellStyle name="Currency 2 3 2 2 6" xfId="9756"/>
    <cellStyle name="Currency 2 3 2 2 6 2" xfId="16247"/>
    <cellStyle name="Currency 2 3 2 2 7" xfId="8006"/>
    <cellStyle name="Currency 2 3 2 2 7 2" xfId="14609"/>
    <cellStyle name="Currency 2 3 2 2 8" xfId="6269"/>
    <cellStyle name="Currency 2 3 2 2 8 2" xfId="12994"/>
    <cellStyle name="Currency 2 3 2 2 9" xfId="11222"/>
    <cellStyle name="Currency 2 3 2 3" xfId="3911"/>
    <cellStyle name="Currency 2 3 2 3 2" xfId="4486"/>
    <cellStyle name="Currency 2 3 2 3 2 2" xfId="4868"/>
    <cellStyle name="Currency 2 3 2 3 2 2 2" xfId="8611"/>
    <cellStyle name="Currency 2 3 2 3 2 2 2 2" xfId="15159"/>
    <cellStyle name="Currency 2 3 2 3 2 2 3" xfId="6892"/>
    <cellStyle name="Currency 2 3 2 3 2 2 3 2" xfId="13578"/>
    <cellStyle name="Currency 2 3 2 3 2 2 4" xfId="11793"/>
    <cellStyle name="Currency 2 3 2 3 2 3" xfId="5313"/>
    <cellStyle name="Currency 2 3 2 3 2 3 2" xfId="9056"/>
    <cellStyle name="Currency 2 3 2 3 2 3 2 2" xfId="15600"/>
    <cellStyle name="Currency 2 3 2 3 2 3 3" xfId="7337"/>
    <cellStyle name="Currency 2 3 2 3 2 3 3 2" xfId="14019"/>
    <cellStyle name="Currency 2 3 2 3 2 3 4" xfId="12234"/>
    <cellStyle name="Currency 2 3 2 3 2 4" xfId="5751"/>
    <cellStyle name="Currency 2 3 2 3 2 4 2" xfId="9492"/>
    <cellStyle name="Currency 2 3 2 3 2 4 2 2" xfId="15994"/>
    <cellStyle name="Currency 2 3 2 3 2 4 3" xfId="7773"/>
    <cellStyle name="Currency 2 3 2 3 2 4 3 2" xfId="14413"/>
    <cellStyle name="Currency 2 3 2 3 2 4 4" xfId="12644"/>
    <cellStyle name="Currency 2 3 2 3 2 5" xfId="9864"/>
    <cellStyle name="Currency 2 3 2 3 2 5 2" xfId="16345"/>
    <cellStyle name="Currency 2 3 2 3 2 6" xfId="8250"/>
    <cellStyle name="Currency 2 3 2 3 2 6 2" xfId="14807"/>
    <cellStyle name="Currency 2 3 2 3 2 7" xfId="6531"/>
    <cellStyle name="Currency 2 3 2 3 2 7 2" xfId="13221"/>
    <cellStyle name="Currency 2 3 2 3 2 8" xfId="11431"/>
    <cellStyle name="Currency 2 3 2 3 3" xfId="4837"/>
    <cellStyle name="Currency 2 3 2 3 3 2" xfId="8580"/>
    <cellStyle name="Currency 2 3 2 3 3 2 2" xfId="15128"/>
    <cellStyle name="Currency 2 3 2 3 3 3" xfId="6861"/>
    <cellStyle name="Currency 2 3 2 3 3 3 2" xfId="13547"/>
    <cellStyle name="Currency 2 3 2 3 3 4" xfId="11762"/>
    <cellStyle name="Currency 2 3 2 3 4" xfId="5116"/>
    <cellStyle name="Currency 2 3 2 3 4 2" xfId="8859"/>
    <cellStyle name="Currency 2 3 2 3 4 2 2" xfId="15403"/>
    <cellStyle name="Currency 2 3 2 3 4 3" xfId="7140"/>
    <cellStyle name="Currency 2 3 2 3 4 3 2" xfId="13822"/>
    <cellStyle name="Currency 2 3 2 3 4 4" xfId="12037"/>
    <cellStyle name="Currency 2 3 2 3 5" xfId="5549"/>
    <cellStyle name="Currency 2 3 2 3 5 2" xfId="9290"/>
    <cellStyle name="Currency 2 3 2 3 5 2 2" xfId="15797"/>
    <cellStyle name="Currency 2 3 2 3 5 3" xfId="7571"/>
    <cellStyle name="Currency 2 3 2 3 5 3 2" xfId="14216"/>
    <cellStyle name="Currency 2 3 2 3 5 4" xfId="12442"/>
    <cellStyle name="Currency 2 3 2 3 6" xfId="9828"/>
    <cellStyle name="Currency 2 3 2 3 6 2" xfId="16314"/>
    <cellStyle name="Currency 2 3 2 3 7" xfId="8007"/>
    <cellStyle name="Currency 2 3 2 3 7 2" xfId="14610"/>
    <cellStyle name="Currency 2 3 2 3 8" xfId="6270"/>
    <cellStyle name="Currency 2 3 2 3 8 2" xfId="12995"/>
    <cellStyle name="Currency 2 3 2 3 9" xfId="11223"/>
    <cellStyle name="Currency 2 3 2 4" xfId="4472"/>
    <cellStyle name="Currency 2 3 2 4 2" xfId="4869"/>
    <cellStyle name="Currency 2 3 2 4 2 2" xfId="8612"/>
    <cellStyle name="Currency 2 3 2 4 2 2 2" xfId="15160"/>
    <cellStyle name="Currency 2 3 2 4 2 3" xfId="6893"/>
    <cellStyle name="Currency 2 3 2 4 2 3 2" xfId="13579"/>
    <cellStyle name="Currency 2 3 2 4 2 4" xfId="11794"/>
    <cellStyle name="Currency 2 3 2 4 3" xfId="5300"/>
    <cellStyle name="Currency 2 3 2 4 3 2" xfId="9043"/>
    <cellStyle name="Currency 2 3 2 4 3 2 2" xfId="15587"/>
    <cellStyle name="Currency 2 3 2 4 3 3" xfId="7324"/>
    <cellStyle name="Currency 2 3 2 4 3 3 2" xfId="14006"/>
    <cellStyle name="Currency 2 3 2 4 3 4" xfId="12221"/>
    <cellStyle name="Currency 2 3 2 4 4" xfId="5738"/>
    <cellStyle name="Currency 2 3 2 4 4 2" xfId="9479"/>
    <cellStyle name="Currency 2 3 2 4 4 2 2" xfId="15981"/>
    <cellStyle name="Currency 2 3 2 4 4 3" xfId="7760"/>
    <cellStyle name="Currency 2 3 2 4 4 3 2" xfId="14400"/>
    <cellStyle name="Currency 2 3 2 4 4 4" xfId="12631"/>
    <cellStyle name="Currency 2 3 2 4 5" xfId="9865"/>
    <cellStyle name="Currency 2 3 2 4 5 2" xfId="16346"/>
    <cellStyle name="Currency 2 3 2 4 6" xfId="8237"/>
    <cellStyle name="Currency 2 3 2 4 6 2" xfId="14794"/>
    <cellStyle name="Currency 2 3 2 4 7" xfId="6518"/>
    <cellStyle name="Currency 2 3 2 4 7 2" xfId="13208"/>
    <cellStyle name="Currency 2 3 2 4 8" xfId="11417"/>
    <cellStyle name="Currency 2 3 2 5" xfId="4675"/>
    <cellStyle name="Currency 2 3 2 5 2" xfId="8421"/>
    <cellStyle name="Currency 2 3 2 5 2 2" xfId="14973"/>
    <cellStyle name="Currency 2 3 2 5 3" xfId="6702"/>
    <cellStyle name="Currency 2 3 2 5 3 2" xfId="13392"/>
    <cellStyle name="Currency 2 3 2 5 4" xfId="11606"/>
    <cellStyle name="Currency 2 3 2 6" xfId="5099"/>
    <cellStyle name="Currency 2 3 2 6 2" xfId="8842"/>
    <cellStyle name="Currency 2 3 2 6 2 2" xfId="15390"/>
    <cellStyle name="Currency 2 3 2 6 3" xfId="7123"/>
    <cellStyle name="Currency 2 3 2 6 3 2" xfId="13809"/>
    <cellStyle name="Currency 2 3 2 6 4" xfId="12024"/>
    <cellStyle name="Currency 2 3 2 7" xfId="5536"/>
    <cellStyle name="Currency 2 3 2 7 2" xfId="9277"/>
    <cellStyle name="Currency 2 3 2 7 2 2" xfId="15784"/>
    <cellStyle name="Currency 2 3 2 7 3" xfId="7558"/>
    <cellStyle name="Currency 2 3 2 7 3 2" xfId="14203"/>
    <cellStyle name="Currency 2 3 2 7 4" xfId="12429"/>
    <cellStyle name="Currency 2 3 2 8" xfId="9655"/>
    <cellStyle name="Currency 2 3 2 8 2" xfId="16157"/>
    <cellStyle name="Currency 2 3 2 9" xfId="7957"/>
    <cellStyle name="Currency 2 3 2 9 2" xfId="14597"/>
    <cellStyle name="Currency 2 3 3" xfId="30"/>
    <cellStyle name="Currency 2 3 3 2" xfId="4465"/>
    <cellStyle name="Currency 2 3 3 2 2" xfId="4870"/>
    <cellStyle name="Currency 2 3 3 2 2 2" xfId="8613"/>
    <cellStyle name="Currency 2 3 3 2 2 2 2" xfId="15161"/>
    <cellStyle name="Currency 2 3 3 2 2 3" xfId="6894"/>
    <cellStyle name="Currency 2 3 3 2 2 3 2" xfId="13580"/>
    <cellStyle name="Currency 2 3 3 2 2 4" xfId="11795"/>
    <cellStyle name="Currency 2 3 3 2 3" xfId="5293"/>
    <cellStyle name="Currency 2 3 3 2 3 2" xfId="9036"/>
    <cellStyle name="Currency 2 3 3 2 3 2 2" xfId="15580"/>
    <cellStyle name="Currency 2 3 3 2 3 3" xfId="7317"/>
    <cellStyle name="Currency 2 3 3 2 3 3 2" xfId="13999"/>
    <cellStyle name="Currency 2 3 3 2 3 4" xfId="12214"/>
    <cellStyle name="Currency 2 3 3 2 4" xfId="5731"/>
    <cellStyle name="Currency 2 3 3 2 4 2" xfId="9472"/>
    <cellStyle name="Currency 2 3 3 2 4 2 2" xfId="15974"/>
    <cellStyle name="Currency 2 3 3 2 4 3" xfId="7753"/>
    <cellStyle name="Currency 2 3 3 2 4 3 2" xfId="14393"/>
    <cellStyle name="Currency 2 3 3 2 4 4" xfId="12624"/>
    <cellStyle name="Currency 2 3 3 2 5" xfId="9866"/>
    <cellStyle name="Currency 2 3 3 2 5 2" xfId="16347"/>
    <cellStyle name="Currency 2 3 3 2 6" xfId="8230"/>
    <cellStyle name="Currency 2 3 3 2 6 2" xfId="14787"/>
    <cellStyle name="Currency 2 3 3 2 7" xfId="6511"/>
    <cellStyle name="Currency 2 3 3 2 7 2" xfId="13201"/>
    <cellStyle name="Currency 2 3 3 2 8" xfId="11410"/>
    <cellStyle name="Currency 2 3 3 3" xfId="4765"/>
    <cellStyle name="Currency 2 3 3 3 2" xfId="8508"/>
    <cellStyle name="Currency 2 3 3 3 2 2" xfId="15060"/>
    <cellStyle name="Currency 2 3 3 3 3" xfId="6789"/>
    <cellStyle name="Currency 2 3 3 3 3 2" xfId="13479"/>
    <cellStyle name="Currency 2 3 3 3 4" xfId="11694"/>
    <cellStyle name="Currency 2 3 3 4" xfId="5092"/>
    <cellStyle name="Currency 2 3 3 4 2" xfId="8835"/>
    <cellStyle name="Currency 2 3 3 4 2 2" xfId="15383"/>
    <cellStyle name="Currency 2 3 3 4 3" xfId="7116"/>
    <cellStyle name="Currency 2 3 3 4 3 2" xfId="13802"/>
    <cellStyle name="Currency 2 3 3 4 4" xfId="12017"/>
    <cellStyle name="Currency 2 3 3 5" xfId="5529"/>
    <cellStyle name="Currency 2 3 3 5 2" xfId="9270"/>
    <cellStyle name="Currency 2 3 3 5 2 2" xfId="15777"/>
    <cellStyle name="Currency 2 3 3 5 3" xfId="7551"/>
    <cellStyle name="Currency 2 3 3 5 3 2" xfId="14196"/>
    <cellStyle name="Currency 2 3 3 5 4" xfId="12422"/>
    <cellStyle name="Currency 2 3 3 6" xfId="9755"/>
    <cellStyle name="Currency 2 3 3 6 2" xfId="16246"/>
    <cellStyle name="Currency 2 3 3 7" xfId="7950"/>
    <cellStyle name="Currency 2 3 3 7 2" xfId="14590"/>
    <cellStyle name="Currency 2 3 3 8" xfId="5929"/>
    <cellStyle name="Currency 2 3 3 8 2" xfId="12822"/>
    <cellStyle name="Currency 2 3 3 9" xfId="10264"/>
    <cellStyle name="Currency 2 3 4" xfId="3912"/>
    <cellStyle name="Currency 2 3 4 2" xfId="4487"/>
    <cellStyle name="Currency 2 3 4 2 2" xfId="4871"/>
    <cellStyle name="Currency 2 3 4 2 2 2" xfId="8614"/>
    <cellStyle name="Currency 2 3 4 2 2 2 2" xfId="15162"/>
    <cellStyle name="Currency 2 3 4 2 2 3" xfId="6895"/>
    <cellStyle name="Currency 2 3 4 2 2 3 2" xfId="13581"/>
    <cellStyle name="Currency 2 3 4 2 2 4" xfId="11796"/>
    <cellStyle name="Currency 2 3 4 2 3" xfId="5314"/>
    <cellStyle name="Currency 2 3 4 2 3 2" xfId="9057"/>
    <cellStyle name="Currency 2 3 4 2 3 2 2" xfId="15601"/>
    <cellStyle name="Currency 2 3 4 2 3 3" xfId="7338"/>
    <cellStyle name="Currency 2 3 4 2 3 3 2" xfId="14020"/>
    <cellStyle name="Currency 2 3 4 2 3 4" xfId="12235"/>
    <cellStyle name="Currency 2 3 4 2 4" xfId="5752"/>
    <cellStyle name="Currency 2 3 4 2 4 2" xfId="9493"/>
    <cellStyle name="Currency 2 3 4 2 4 2 2" xfId="15995"/>
    <cellStyle name="Currency 2 3 4 2 4 3" xfId="7774"/>
    <cellStyle name="Currency 2 3 4 2 4 3 2" xfId="14414"/>
    <cellStyle name="Currency 2 3 4 2 4 4" xfId="12645"/>
    <cellStyle name="Currency 2 3 4 2 5" xfId="9867"/>
    <cellStyle name="Currency 2 3 4 2 5 2" xfId="16348"/>
    <cellStyle name="Currency 2 3 4 2 6" xfId="8251"/>
    <cellStyle name="Currency 2 3 4 2 6 2" xfId="14808"/>
    <cellStyle name="Currency 2 3 4 2 7" xfId="6532"/>
    <cellStyle name="Currency 2 3 4 2 7 2" xfId="13222"/>
    <cellStyle name="Currency 2 3 4 2 8" xfId="11432"/>
    <cellStyle name="Currency 2 3 4 3" xfId="4830"/>
    <cellStyle name="Currency 2 3 4 3 2" xfId="8573"/>
    <cellStyle name="Currency 2 3 4 3 2 2" xfId="15121"/>
    <cellStyle name="Currency 2 3 4 3 3" xfId="6854"/>
    <cellStyle name="Currency 2 3 4 3 3 2" xfId="13540"/>
    <cellStyle name="Currency 2 3 4 3 4" xfId="11755"/>
    <cellStyle name="Currency 2 3 4 4" xfId="5117"/>
    <cellStyle name="Currency 2 3 4 4 2" xfId="8860"/>
    <cellStyle name="Currency 2 3 4 4 2 2" xfId="15404"/>
    <cellStyle name="Currency 2 3 4 4 3" xfId="7141"/>
    <cellStyle name="Currency 2 3 4 4 3 2" xfId="13823"/>
    <cellStyle name="Currency 2 3 4 4 4" xfId="12038"/>
    <cellStyle name="Currency 2 3 4 5" xfId="5550"/>
    <cellStyle name="Currency 2 3 4 5 2" xfId="9291"/>
    <cellStyle name="Currency 2 3 4 5 2 2" xfId="15798"/>
    <cellStyle name="Currency 2 3 4 5 3" xfId="7572"/>
    <cellStyle name="Currency 2 3 4 5 3 2" xfId="14217"/>
    <cellStyle name="Currency 2 3 4 5 4" xfId="12443"/>
    <cellStyle name="Currency 2 3 4 6" xfId="9821"/>
    <cellStyle name="Currency 2 3 4 6 2" xfId="16307"/>
    <cellStyle name="Currency 2 3 4 7" xfId="8008"/>
    <cellStyle name="Currency 2 3 4 7 2" xfId="14611"/>
    <cellStyle name="Currency 2 3 4 8" xfId="6271"/>
    <cellStyle name="Currency 2 3 4 8 2" xfId="12996"/>
    <cellStyle name="Currency 2 3 4 9" xfId="11224"/>
    <cellStyle name="Currency 2 3 5" xfId="4434"/>
    <cellStyle name="Currency 2 3 5 2" xfId="4643"/>
    <cellStyle name="Currency 2 3 5 2 2" xfId="4873"/>
    <cellStyle name="Currency 2 3 5 2 2 2" xfId="8616"/>
    <cellStyle name="Currency 2 3 5 2 2 2 2" xfId="15164"/>
    <cellStyle name="Currency 2 3 5 2 2 3" xfId="6897"/>
    <cellStyle name="Currency 2 3 5 2 2 3 2" xfId="13583"/>
    <cellStyle name="Currency 2 3 5 2 2 4" xfId="11798"/>
    <cellStyle name="Currency 2 3 5 2 3" xfId="5470"/>
    <cellStyle name="Currency 2 3 5 2 3 2" xfId="9213"/>
    <cellStyle name="Currency 2 3 5 2 3 2 2" xfId="15757"/>
    <cellStyle name="Currency 2 3 5 2 3 3" xfId="7494"/>
    <cellStyle name="Currency 2 3 5 2 3 3 2" xfId="14176"/>
    <cellStyle name="Currency 2 3 5 2 3 4" xfId="12391"/>
    <cellStyle name="Currency 2 3 5 2 4" xfId="5908"/>
    <cellStyle name="Currency 2 3 5 2 4 2" xfId="9649"/>
    <cellStyle name="Currency 2 3 5 2 4 2 2" xfId="16151"/>
    <cellStyle name="Currency 2 3 5 2 4 3" xfId="7930"/>
    <cellStyle name="Currency 2 3 5 2 4 3 2" xfId="14570"/>
    <cellStyle name="Currency 2 3 5 2 4 4" xfId="12801"/>
    <cellStyle name="Currency 2 3 5 2 5" xfId="9869"/>
    <cellStyle name="Currency 2 3 5 2 5 2" xfId="16350"/>
    <cellStyle name="Currency 2 3 5 2 6" xfId="8407"/>
    <cellStyle name="Currency 2 3 5 2 6 2" xfId="14964"/>
    <cellStyle name="Currency 2 3 5 2 7" xfId="6688"/>
    <cellStyle name="Currency 2 3 5 2 7 2" xfId="13378"/>
    <cellStyle name="Currency 2 3 5 2 8" xfId="11588"/>
    <cellStyle name="Currency 2 3 5 3" xfId="4872"/>
    <cellStyle name="Currency 2 3 5 3 2" xfId="8615"/>
    <cellStyle name="Currency 2 3 5 3 2 2" xfId="15163"/>
    <cellStyle name="Currency 2 3 5 3 3" xfId="6896"/>
    <cellStyle name="Currency 2 3 5 3 3 2" xfId="13582"/>
    <cellStyle name="Currency 2 3 5 3 4" xfId="11797"/>
    <cellStyle name="Currency 2 3 5 4" xfId="5273"/>
    <cellStyle name="Currency 2 3 5 4 2" xfId="9016"/>
    <cellStyle name="Currency 2 3 5 4 2 2" xfId="15560"/>
    <cellStyle name="Currency 2 3 5 4 3" xfId="7297"/>
    <cellStyle name="Currency 2 3 5 4 3 2" xfId="13979"/>
    <cellStyle name="Currency 2 3 5 4 4" xfId="12194"/>
    <cellStyle name="Currency 2 3 5 5" xfId="5711"/>
    <cellStyle name="Currency 2 3 5 5 2" xfId="9452"/>
    <cellStyle name="Currency 2 3 5 5 2 2" xfId="15954"/>
    <cellStyle name="Currency 2 3 5 5 3" xfId="7733"/>
    <cellStyle name="Currency 2 3 5 5 3 2" xfId="14373"/>
    <cellStyle name="Currency 2 3 5 5 4" xfId="12604"/>
    <cellStyle name="Currency 2 3 5 6" xfId="9868"/>
    <cellStyle name="Currency 2 3 5 6 2" xfId="16349"/>
    <cellStyle name="Currency 2 3 5 7" xfId="8210"/>
    <cellStyle name="Currency 2 3 5 7 2" xfId="14767"/>
    <cellStyle name="Currency 2 3 5 8" xfId="6491"/>
    <cellStyle name="Currency 2 3 5 8 2" xfId="13181"/>
    <cellStyle name="Currency 2 3 5 9" xfId="11389"/>
    <cellStyle name="Currency 2 3 6" xfId="4453"/>
    <cellStyle name="Currency 2 3 6 2" xfId="4874"/>
    <cellStyle name="Currency 2 3 6 2 2" xfId="8617"/>
    <cellStyle name="Currency 2 3 6 2 2 2" xfId="15165"/>
    <cellStyle name="Currency 2 3 6 2 3" xfId="6898"/>
    <cellStyle name="Currency 2 3 6 2 3 2" xfId="13584"/>
    <cellStyle name="Currency 2 3 6 2 4" xfId="11799"/>
    <cellStyle name="Currency 2 3 6 3" xfId="5281"/>
    <cellStyle name="Currency 2 3 6 3 2" xfId="9024"/>
    <cellStyle name="Currency 2 3 6 3 2 2" xfId="15568"/>
    <cellStyle name="Currency 2 3 6 3 3" xfId="7305"/>
    <cellStyle name="Currency 2 3 6 3 3 2" xfId="13987"/>
    <cellStyle name="Currency 2 3 6 3 4" xfId="12202"/>
    <cellStyle name="Currency 2 3 6 4" xfId="5719"/>
    <cellStyle name="Currency 2 3 6 4 2" xfId="9460"/>
    <cellStyle name="Currency 2 3 6 4 2 2" xfId="15962"/>
    <cellStyle name="Currency 2 3 6 4 3" xfId="7741"/>
    <cellStyle name="Currency 2 3 6 4 3 2" xfId="14381"/>
    <cellStyle name="Currency 2 3 6 4 4" xfId="12612"/>
    <cellStyle name="Currency 2 3 6 5" xfId="9870"/>
    <cellStyle name="Currency 2 3 6 5 2" xfId="16351"/>
    <cellStyle name="Currency 2 3 6 6" xfId="8218"/>
    <cellStyle name="Currency 2 3 6 6 2" xfId="14775"/>
    <cellStyle name="Currency 2 3 6 7" xfId="6499"/>
    <cellStyle name="Currency 2 3 6 7 2" xfId="13189"/>
    <cellStyle name="Currency 2 3 6 8" xfId="11398"/>
    <cellStyle name="Currency 2 3 7" xfId="4674"/>
    <cellStyle name="Currency 2 3 7 2" xfId="8420"/>
    <cellStyle name="Currency 2 3 7 2 2" xfId="14972"/>
    <cellStyle name="Currency 2 3 7 3" xfId="6701"/>
    <cellStyle name="Currency 2 3 7 3 2" xfId="13391"/>
    <cellStyle name="Currency 2 3 7 4" xfId="11605"/>
    <cellStyle name="Currency 2 3 8" xfId="5080"/>
    <cellStyle name="Currency 2 3 8 2" xfId="8823"/>
    <cellStyle name="Currency 2 3 8 2 2" xfId="15371"/>
    <cellStyle name="Currency 2 3 8 3" xfId="7104"/>
    <cellStyle name="Currency 2 3 8 3 2" xfId="13790"/>
    <cellStyle name="Currency 2 3 8 4" xfId="12005"/>
    <cellStyle name="Currency 2 3 9" xfId="5517"/>
    <cellStyle name="Currency 2 3 9 2" xfId="9258"/>
    <cellStyle name="Currency 2 3 9 2 2" xfId="15765"/>
    <cellStyle name="Currency 2 3 9 3" xfId="7539"/>
    <cellStyle name="Currency 2 3 9 3 2" xfId="14184"/>
    <cellStyle name="Currency 2 3 9 4" xfId="12410"/>
    <cellStyle name="Currency 2 4" xfId="36"/>
    <cellStyle name="Currency 2 4 10" xfId="5935"/>
    <cellStyle name="Currency 2 4 10 2" xfId="12828"/>
    <cellStyle name="Currency 2 4 11" xfId="10270"/>
    <cellStyle name="Currency 2 4 2" xfId="3913"/>
    <cellStyle name="Currency 2 4 2 2" xfId="4488"/>
    <cellStyle name="Currency 2 4 2 2 2" xfId="4875"/>
    <cellStyle name="Currency 2 4 2 2 2 2" xfId="8618"/>
    <cellStyle name="Currency 2 4 2 2 2 2 2" xfId="15166"/>
    <cellStyle name="Currency 2 4 2 2 2 3" xfId="6899"/>
    <cellStyle name="Currency 2 4 2 2 2 3 2" xfId="13585"/>
    <cellStyle name="Currency 2 4 2 2 2 4" xfId="11800"/>
    <cellStyle name="Currency 2 4 2 2 3" xfId="5315"/>
    <cellStyle name="Currency 2 4 2 2 3 2" xfId="9058"/>
    <cellStyle name="Currency 2 4 2 2 3 2 2" xfId="15602"/>
    <cellStyle name="Currency 2 4 2 2 3 3" xfId="7339"/>
    <cellStyle name="Currency 2 4 2 2 3 3 2" xfId="14021"/>
    <cellStyle name="Currency 2 4 2 2 3 4" xfId="12236"/>
    <cellStyle name="Currency 2 4 2 2 4" xfId="5753"/>
    <cellStyle name="Currency 2 4 2 2 4 2" xfId="9494"/>
    <cellStyle name="Currency 2 4 2 2 4 2 2" xfId="15996"/>
    <cellStyle name="Currency 2 4 2 2 4 3" xfId="7775"/>
    <cellStyle name="Currency 2 4 2 2 4 3 2" xfId="14415"/>
    <cellStyle name="Currency 2 4 2 2 4 4" xfId="12646"/>
    <cellStyle name="Currency 2 4 2 2 5" xfId="9871"/>
    <cellStyle name="Currency 2 4 2 2 5 2" xfId="16352"/>
    <cellStyle name="Currency 2 4 2 2 6" xfId="8252"/>
    <cellStyle name="Currency 2 4 2 2 6 2" xfId="14809"/>
    <cellStyle name="Currency 2 4 2 2 7" xfId="6533"/>
    <cellStyle name="Currency 2 4 2 2 7 2" xfId="13223"/>
    <cellStyle name="Currency 2 4 2 2 8" xfId="11433"/>
    <cellStyle name="Currency 2 4 2 3" xfId="4767"/>
    <cellStyle name="Currency 2 4 2 3 2" xfId="8510"/>
    <cellStyle name="Currency 2 4 2 3 2 2" xfId="15062"/>
    <cellStyle name="Currency 2 4 2 3 3" xfId="6791"/>
    <cellStyle name="Currency 2 4 2 3 3 2" xfId="13481"/>
    <cellStyle name="Currency 2 4 2 3 4" xfId="11696"/>
    <cellStyle name="Currency 2 4 2 4" xfId="5118"/>
    <cellStyle name="Currency 2 4 2 4 2" xfId="8861"/>
    <cellStyle name="Currency 2 4 2 4 2 2" xfId="15405"/>
    <cellStyle name="Currency 2 4 2 4 3" xfId="7142"/>
    <cellStyle name="Currency 2 4 2 4 3 2" xfId="13824"/>
    <cellStyle name="Currency 2 4 2 4 4" xfId="12039"/>
    <cellStyle name="Currency 2 4 2 5" xfId="5551"/>
    <cellStyle name="Currency 2 4 2 5 2" xfId="9292"/>
    <cellStyle name="Currency 2 4 2 5 2 2" xfId="15799"/>
    <cellStyle name="Currency 2 4 2 5 3" xfId="7573"/>
    <cellStyle name="Currency 2 4 2 5 3 2" xfId="14218"/>
    <cellStyle name="Currency 2 4 2 5 4" xfId="12444"/>
    <cellStyle name="Currency 2 4 2 6" xfId="9757"/>
    <cellStyle name="Currency 2 4 2 6 2" xfId="16248"/>
    <cellStyle name="Currency 2 4 2 7" xfId="8009"/>
    <cellStyle name="Currency 2 4 2 7 2" xfId="14612"/>
    <cellStyle name="Currency 2 4 2 8" xfId="6272"/>
    <cellStyle name="Currency 2 4 2 8 2" xfId="12997"/>
    <cellStyle name="Currency 2 4 2 9" xfId="11225"/>
    <cellStyle name="Currency 2 4 3" xfId="3914"/>
    <cellStyle name="Currency 2 4 3 2" xfId="4489"/>
    <cellStyle name="Currency 2 4 3 2 2" xfId="4876"/>
    <cellStyle name="Currency 2 4 3 2 2 2" xfId="8619"/>
    <cellStyle name="Currency 2 4 3 2 2 2 2" xfId="15167"/>
    <cellStyle name="Currency 2 4 3 2 2 3" xfId="6900"/>
    <cellStyle name="Currency 2 4 3 2 2 3 2" xfId="13586"/>
    <cellStyle name="Currency 2 4 3 2 2 4" xfId="11801"/>
    <cellStyle name="Currency 2 4 3 2 3" xfId="5316"/>
    <cellStyle name="Currency 2 4 3 2 3 2" xfId="9059"/>
    <cellStyle name="Currency 2 4 3 2 3 2 2" xfId="15603"/>
    <cellStyle name="Currency 2 4 3 2 3 3" xfId="7340"/>
    <cellStyle name="Currency 2 4 3 2 3 3 2" xfId="14022"/>
    <cellStyle name="Currency 2 4 3 2 3 4" xfId="12237"/>
    <cellStyle name="Currency 2 4 3 2 4" xfId="5754"/>
    <cellStyle name="Currency 2 4 3 2 4 2" xfId="9495"/>
    <cellStyle name="Currency 2 4 3 2 4 2 2" xfId="15997"/>
    <cellStyle name="Currency 2 4 3 2 4 3" xfId="7776"/>
    <cellStyle name="Currency 2 4 3 2 4 3 2" xfId="14416"/>
    <cellStyle name="Currency 2 4 3 2 4 4" xfId="12647"/>
    <cellStyle name="Currency 2 4 3 2 5" xfId="9872"/>
    <cellStyle name="Currency 2 4 3 2 5 2" xfId="16353"/>
    <cellStyle name="Currency 2 4 3 2 6" xfId="8253"/>
    <cellStyle name="Currency 2 4 3 2 6 2" xfId="14810"/>
    <cellStyle name="Currency 2 4 3 2 7" xfId="6534"/>
    <cellStyle name="Currency 2 4 3 2 7 2" xfId="13224"/>
    <cellStyle name="Currency 2 4 3 2 8" xfId="11434"/>
    <cellStyle name="Currency 2 4 3 3" xfId="4836"/>
    <cellStyle name="Currency 2 4 3 3 2" xfId="8579"/>
    <cellStyle name="Currency 2 4 3 3 2 2" xfId="15127"/>
    <cellStyle name="Currency 2 4 3 3 3" xfId="6860"/>
    <cellStyle name="Currency 2 4 3 3 3 2" xfId="13546"/>
    <cellStyle name="Currency 2 4 3 3 4" xfId="11761"/>
    <cellStyle name="Currency 2 4 3 4" xfId="5119"/>
    <cellStyle name="Currency 2 4 3 4 2" xfId="8862"/>
    <cellStyle name="Currency 2 4 3 4 2 2" xfId="15406"/>
    <cellStyle name="Currency 2 4 3 4 3" xfId="7143"/>
    <cellStyle name="Currency 2 4 3 4 3 2" xfId="13825"/>
    <cellStyle name="Currency 2 4 3 4 4" xfId="12040"/>
    <cellStyle name="Currency 2 4 3 5" xfId="5552"/>
    <cellStyle name="Currency 2 4 3 5 2" xfId="9293"/>
    <cellStyle name="Currency 2 4 3 5 2 2" xfId="15800"/>
    <cellStyle name="Currency 2 4 3 5 3" xfId="7574"/>
    <cellStyle name="Currency 2 4 3 5 3 2" xfId="14219"/>
    <cellStyle name="Currency 2 4 3 5 4" xfId="12445"/>
    <cellStyle name="Currency 2 4 3 6" xfId="9827"/>
    <cellStyle name="Currency 2 4 3 6 2" xfId="16313"/>
    <cellStyle name="Currency 2 4 3 7" xfId="8010"/>
    <cellStyle name="Currency 2 4 3 7 2" xfId="14613"/>
    <cellStyle name="Currency 2 4 3 8" xfId="6273"/>
    <cellStyle name="Currency 2 4 3 8 2" xfId="12998"/>
    <cellStyle name="Currency 2 4 3 9" xfId="11226"/>
    <cellStyle name="Currency 2 4 4" xfId="4471"/>
    <cellStyle name="Currency 2 4 4 2" xfId="4877"/>
    <cellStyle name="Currency 2 4 4 2 2" xfId="8620"/>
    <cellStyle name="Currency 2 4 4 2 2 2" xfId="15168"/>
    <cellStyle name="Currency 2 4 4 2 3" xfId="6901"/>
    <cellStyle name="Currency 2 4 4 2 3 2" xfId="13587"/>
    <cellStyle name="Currency 2 4 4 2 4" xfId="11802"/>
    <cellStyle name="Currency 2 4 4 3" xfId="5299"/>
    <cellStyle name="Currency 2 4 4 3 2" xfId="9042"/>
    <cellStyle name="Currency 2 4 4 3 2 2" xfId="15586"/>
    <cellStyle name="Currency 2 4 4 3 3" xfId="7323"/>
    <cellStyle name="Currency 2 4 4 3 3 2" xfId="14005"/>
    <cellStyle name="Currency 2 4 4 3 4" xfId="12220"/>
    <cellStyle name="Currency 2 4 4 4" xfId="5737"/>
    <cellStyle name="Currency 2 4 4 4 2" xfId="9478"/>
    <cellStyle name="Currency 2 4 4 4 2 2" xfId="15980"/>
    <cellStyle name="Currency 2 4 4 4 3" xfId="7759"/>
    <cellStyle name="Currency 2 4 4 4 3 2" xfId="14399"/>
    <cellStyle name="Currency 2 4 4 4 4" xfId="12630"/>
    <cellStyle name="Currency 2 4 4 5" xfId="9873"/>
    <cellStyle name="Currency 2 4 4 5 2" xfId="16354"/>
    <cellStyle name="Currency 2 4 4 6" xfId="8236"/>
    <cellStyle name="Currency 2 4 4 6 2" xfId="14793"/>
    <cellStyle name="Currency 2 4 4 7" xfId="6517"/>
    <cellStyle name="Currency 2 4 4 7 2" xfId="13207"/>
    <cellStyle name="Currency 2 4 4 8" xfId="11416"/>
    <cellStyle name="Currency 2 4 5" xfId="4676"/>
    <cellStyle name="Currency 2 4 5 2" xfId="8422"/>
    <cellStyle name="Currency 2 4 5 2 2" xfId="14974"/>
    <cellStyle name="Currency 2 4 5 3" xfId="6703"/>
    <cellStyle name="Currency 2 4 5 3 2" xfId="13393"/>
    <cellStyle name="Currency 2 4 5 4" xfId="11607"/>
    <cellStyle name="Currency 2 4 6" xfId="5098"/>
    <cellStyle name="Currency 2 4 6 2" xfId="8841"/>
    <cellStyle name="Currency 2 4 6 2 2" xfId="15389"/>
    <cellStyle name="Currency 2 4 6 3" xfId="7122"/>
    <cellStyle name="Currency 2 4 6 3 2" xfId="13808"/>
    <cellStyle name="Currency 2 4 6 4" xfId="12023"/>
    <cellStyle name="Currency 2 4 7" xfId="5535"/>
    <cellStyle name="Currency 2 4 7 2" xfId="9276"/>
    <cellStyle name="Currency 2 4 7 2 2" xfId="15783"/>
    <cellStyle name="Currency 2 4 7 3" xfId="7557"/>
    <cellStyle name="Currency 2 4 7 3 2" xfId="14202"/>
    <cellStyle name="Currency 2 4 7 4" xfId="12428"/>
    <cellStyle name="Currency 2 4 8" xfId="9656"/>
    <cellStyle name="Currency 2 4 8 2" xfId="16158"/>
    <cellStyle name="Currency 2 4 9" xfId="7956"/>
    <cellStyle name="Currency 2 4 9 2" xfId="14596"/>
    <cellStyle name="Currency 2 5" xfId="21"/>
    <cellStyle name="Currency 2 5 2" xfId="4457"/>
    <cellStyle name="Currency 2 5 2 2" xfId="4878"/>
    <cellStyle name="Currency 2 5 2 2 2" xfId="8621"/>
    <cellStyle name="Currency 2 5 2 2 2 2" xfId="15169"/>
    <cellStyle name="Currency 2 5 2 2 3" xfId="6902"/>
    <cellStyle name="Currency 2 5 2 2 3 2" xfId="13588"/>
    <cellStyle name="Currency 2 5 2 2 4" xfId="11803"/>
    <cellStyle name="Currency 2 5 2 3" xfId="5285"/>
    <cellStyle name="Currency 2 5 2 3 2" xfId="9028"/>
    <cellStyle name="Currency 2 5 2 3 2 2" xfId="15572"/>
    <cellStyle name="Currency 2 5 2 3 3" xfId="7309"/>
    <cellStyle name="Currency 2 5 2 3 3 2" xfId="13991"/>
    <cellStyle name="Currency 2 5 2 3 4" xfId="12206"/>
    <cellStyle name="Currency 2 5 2 4" xfId="5723"/>
    <cellStyle name="Currency 2 5 2 4 2" xfId="9464"/>
    <cellStyle name="Currency 2 5 2 4 2 2" xfId="15966"/>
    <cellStyle name="Currency 2 5 2 4 3" xfId="7745"/>
    <cellStyle name="Currency 2 5 2 4 3 2" xfId="14385"/>
    <cellStyle name="Currency 2 5 2 4 4" xfId="12616"/>
    <cellStyle name="Currency 2 5 2 5" xfId="9874"/>
    <cellStyle name="Currency 2 5 2 5 2" xfId="16355"/>
    <cellStyle name="Currency 2 5 2 6" xfId="8222"/>
    <cellStyle name="Currency 2 5 2 6 2" xfId="14779"/>
    <cellStyle name="Currency 2 5 2 7" xfId="6503"/>
    <cellStyle name="Currency 2 5 2 7 2" xfId="13193"/>
    <cellStyle name="Currency 2 5 2 8" xfId="11402"/>
    <cellStyle name="Currency 2 5 3" xfId="4694"/>
    <cellStyle name="Currency 2 5 4" xfId="5084"/>
    <cellStyle name="Currency 2 5 4 2" xfId="8827"/>
    <cellStyle name="Currency 2 5 4 2 2" xfId="15375"/>
    <cellStyle name="Currency 2 5 4 3" xfId="7108"/>
    <cellStyle name="Currency 2 5 4 3 2" xfId="13794"/>
    <cellStyle name="Currency 2 5 4 4" xfId="12009"/>
    <cellStyle name="Currency 2 5 5" xfId="5521"/>
    <cellStyle name="Currency 2 5 5 2" xfId="9262"/>
    <cellStyle name="Currency 2 5 5 2 2" xfId="15769"/>
    <cellStyle name="Currency 2 5 5 3" xfId="7543"/>
    <cellStyle name="Currency 2 5 5 3 2" xfId="14188"/>
    <cellStyle name="Currency 2 5 5 4" xfId="12414"/>
    <cellStyle name="Currency 2 5 6" xfId="7942"/>
    <cellStyle name="Currency 2 5 6 2" xfId="14582"/>
    <cellStyle name="Currency 2 5 7" xfId="5921"/>
    <cellStyle name="Currency 2 5 7 2" xfId="12814"/>
    <cellStyle name="Currency 2 5 8" xfId="10256"/>
    <cellStyle name="Currency 2 6" xfId="3915"/>
    <cellStyle name="Currency 2 6 2" xfId="4490"/>
    <cellStyle name="Currency 2 6 2 2" xfId="4879"/>
    <cellStyle name="Currency 2 6 2 2 2" xfId="8622"/>
    <cellStyle name="Currency 2 6 2 2 2 2" xfId="15170"/>
    <cellStyle name="Currency 2 6 2 2 3" xfId="6903"/>
    <cellStyle name="Currency 2 6 2 2 3 2" xfId="13589"/>
    <cellStyle name="Currency 2 6 2 2 4" xfId="11804"/>
    <cellStyle name="Currency 2 6 2 3" xfId="5317"/>
    <cellStyle name="Currency 2 6 2 3 2" xfId="9060"/>
    <cellStyle name="Currency 2 6 2 3 2 2" xfId="15604"/>
    <cellStyle name="Currency 2 6 2 3 3" xfId="7341"/>
    <cellStyle name="Currency 2 6 2 3 3 2" xfId="14023"/>
    <cellStyle name="Currency 2 6 2 3 4" xfId="12238"/>
    <cellStyle name="Currency 2 6 2 4" xfId="5755"/>
    <cellStyle name="Currency 2 6 2 4 2" xfId="9496"/>
    <cellStyle name="Currency 2 6 2 4 2 2" xfId="15998"/>
    <cellStyle name="Currency 2 6 2 4 3" xfId="7777"/>
    <cellStyle name="Currency 2 6 2 4 3 2" xfId="14417"/>
    <cellStyle name="Currency 2 6 2 4 4" xfId="12648"/>
    <cellStyle name="Currency 2 6 2 5" xfId="9875"/>
    <cellStyle name="Currency 2 6 2 5 2" xfId="16356"/>
    <cellStyle name="Currency 2 6 2 6" xfId="8254"/>
    <cellStyle name="Currency 2 6 2 6 2" xfId="14811"/>
    <cellStyle name="Currency 2 6 2 7" xfId="6535"/>
    <cellStyle name="Currency 2 6 2 7 2" xfId="13225"/>
    <cellStyle name="Currency 2 6 2 8" xfId="11435"/>
    <cellStyle name="Currency 2 6 3" xfId="4764"/>
    <cellStyle name="Currency 2 6 3 2" xfId="8507"/>
    <cellStyle name="Currency 2 6 3 2 2" xfId="15059"/>
    <cellStyle name="Currency 2 6 3 3" xfId="6788"/>
    <cellStyle name="Currency 2 6 3 3 2" xfId="13478"/>
    <cellStyle name="Currency 2 6 3 4" xfId="11693"/>
    <cellStyle name="Currency 2 6 4" xfId="5120"/>
    <cellStyle name="Currency 2 6 4 2" xfId="8863"/>
    <cellStyle name="Currency 2 6 4 2 2" xfId="15407"/>
    <cellStyle name="Currency 2 6 4 3" xfId="7144"/>
    <cellStyle name="Currency 2 6 4 3 2" xfId="13826"/>
    <cellStyle name="Currency 2 6 4 4" xfId="12041"/>
    <cellStyle name="Currency 2 6 5" xfId="5553"/>
    <cellStyle name="Currency 2 6 5 2" xfId="9294"/>
    <cellStyle name="Currency 2 6 5 2 2" xfId="15801"/>
    <cellStyle name="Currency 2 6 5 3" xfId="7575"/>
    <cellStyle name="Currency 2 6 5 3 2" xfId="14220"/>
    <cellStyle name="Currency 2 6 5 4" xfId="12446"/>
    <cellStyle name="Currency 2 6 6" xfId="9754"/>
    <cellStyle name="Currency 2 6 6 2" xfId="16245"/>
    <cellStyle name="Currency 2 6 7" xfId="8011"/>
    <cellStyle name="Currency 2 6 7 2" xfId="14614"/>
    <cellStyle name="Currency 2 6 8" xfId="6274"/>
    <cellStyle name="Currency 2 6 8 2" xfId="12999"/>
    <cellStyle name="Currency 2 6 9" xfId="11227"/>
    <cellStyle name="Currency 2 7" xfId="3916"/>
    <cellStyle name="Currency 2 7 2" xfId="4491"/>
    <cellStyle name="Currency 2 7 2 2" xfId="4880"/>
    <cellStyle name="Currency 2 7 2 2 2" xfId="8623"/>
    <cellStyle name="Currency 2 7 2 2 2 2" xfId="15171"/>
    <cellStyle name="Currency 2 7 2 2 3" xfId="6904"/>
    <cellStyle name="Currency 2 7 2 2 3 2" xfId="13590"/>
    <cellStyle name="Currency 2 7 2 2 4" xfId="11805"/>
    <cellStyle name="Currency 2 7 2 3" xfId="5318"/>
    <cellStyle name="Currency 2 7 2 3 2" xfId="9061"/>
    <cellStyle name="Currency 2 7 2 3 2 2" xfId="15605"/>
    <cellStyle name="Currency 2 7 2 3 3" xfId="7342"/>
    <cellStyle name="Currency 2 7 2 3 3 2" xfId="14024"/>
    <cellStyle name="Currency 2 7 2 3 4" xfId="12239"/>
    <cellStyle name="Currency 2 7 2 4" xfId="5756"/>
    <cellStyle name="Currency 2 7 2 4 2" xfId="9497"/>
    <cellStyle name="Currency 2 7 2 4 2 2" xfId="15999"/>
    <cellStyle name="Currency 2 7 2 4 3" xfId="7778"/>
    <cellStyle name="Currency 2 7 2 4 3 2" xfId="14418"/>
    <cellStyle name="Currency 2 7 2 4 4" xfId="12649"/>
    <cellStyle name="Currency 2 7 2 5" xfId="9876"/>
    <cellStyle name="Currency 2 7 2 5 2" xfId="16357"/>
    <cellStyle name="Currency 2 7 2 6" xfId="8255"/>
    <cellStyle name="Currency 2 7 2 6 2" xfId="14812"/>
    <cellStyle name="Currency 2 7 2 7" xfId="6536"/>
    <cellStyle name="Currency 2 7 2 7 2" xfId="13226"/>
    <cellStyle name="Currency 2 7 2 8" xfId="11436"/>
    <cellStyle name="Currency 2 7 3" xfId="4822"/>
    <cellStyle name="Currency 2 7 3 2" xfId="8565"/>
    <cellStyle name="Currency 2 7 3 2 2" xfId="15113"/>
    <cellStyle name="Currency 2 7 3 3" xfId="6846"/>
    <cellStyle name="Currency 2 7 3 3 2" xfId="13532"/>
    <cellStyle name="Currency 2 7 3 4" xfId="11747"/>
    <cellStyle name="Currency 2 7 4" xfId="5121"/>
    <cellStyle name="Currency 2 7 4 2" xfId="8864"/>
    <cellStyle name="Currency 2 7 4 2 2" xfId="15408"/>
    <cellStyle name="Currency 2 7 4 3" xfId="7145"/>
    <cellStyle name="Currency 2 7 4 3 2" xfId="13827"/>
    <cellStyle name="Currency 2 7 4 4" xfId="12042"/>
    <cellStyle name="Currency 2 7 5" xfId="5554"/>
    <cellStyle name="Currency 2 7 5 2" xfId="9295"/>
    <cellStyle name="Currency 2 7 5 2 2" xfId="15802"/>
    <cellStyle name="Currency 2 7 5 3" xfId="7576"/>
    <cellStyle name="Currency 2 7 5 3 2" xfId="14221"/>
    <cellStyle name="Currency 2 7 5 4" xfId="12447"/>
    <cellStyle name="Currency 2 7 6" xfId="9813"/>
    <cellStyle name="Currency 2 7 6 2" xfId="16299"/>
    <cellStyle name="Currency 2 7 7" xfId="8012"/>
    <cellStyle name="Currency 2 7 7 2" xfId="14615"/>
    <cellStyle name="Currency 2 7 8" xfId="6275"/>
    <cellStyle name="Currency 2 7 8 2" xfId="13000"/>
    <cellStyle name="Currency 2 7 9" xfId="11228"/>
    <cellStyle name="Currency 2 8" xfId="4408"/>
    <cellStyle name="Currency 2 8 2" xfId="4622"/>
    <cellStyle name="Currency 2 8 2 2" xfId="4882"/>
    <cellStyle name="Currency 2 8 2 2 2" xfId="8625"/>
    <cellStyle name="Currency 2 8 2 2 2 2" xfId="15173"/>
    <cellStyle name="Currency 2 8 2 2 3" xfId="6906"/>
    <cellStyle name="Currency 2 8 2 2 3 2" xfId="13592"/>
    <cellStyle name="Currency 2 8 2 2 4" xfId="11807"/>
    <cellStyle name="Currency 2 8 2 3" xfId="5449"/>
    <cellStyle name="Currency 2 8 2 3 2" xfId="9192"/>
    <cellStyle name="Currency 2 8 2 3 2 2" xfId="15736"/>
    <cellStyle name="Currency 2 8 2 3 3" xfId="7473"/>
    <cellStyle name="Currency 2 8 2 3 3 2" xfId="14155"/>
    <cellStyle name="Currency 2 8 2 3 4" xfId="12370"/>
    <cellStyle name="Currency 2 8 2 4" xfId="5887"/>
    <cellStyle name="Currency 2 8 2 4 2" xfId="9628"/>
    <cellStyle name="Currency 2 8 2 4 2 2" xfId="16130"/>
    <cellStyle name="Currency 2 8 2 4 3" xfId="7909"/>
    <cellStyle name="Currency 2 8 2 4 3 2" xfId="14549"/>
    <cellStyle name="Currency 2 8 2 4 4" xfId="12780"/>
    <cellStyle name="Currency 2 8 2 5" xfId="9878"/>
    <cellStyle name="Currency 2 8 2 5 2" xfId="16359"/>
    <cellStyle name="Currency 2 8 2 6" xfId="8386"/>
    <cellStyle name="Currency 2 8 2 6 2" xfId="14943"/>
    <cellStyle name="Currency 2 8 2 7" xfId="6667"/>
    <cellStyle name="Currency 2 8 2 7 2" xfId="13357"/>
    <cellStyle name="Currency 2 8 2 8" xfId="11567"/>
    <cellStyle name="Currency 2 8 3" xfId="4881"/>
    <cellStyle name="Currency 2 8 3 2" xfId="8624"/>
    <cellStyle name="Currency 2 8 3 2 2" xfId="15172"/>
    <cellStyle name="Currency 2 8 3 3" xfId="6905"/>
    <cellStyle name="Currency 2 8 3 3 2" xfId="13591"/>
    <cellStyle name="Currency 2 8 3 4" xfId="11806"/>
    <cellStyle name="Currency 2 8 4" xfId="5252"/>
    <cellStyle name="Currency 2 8 4 2" xfId="8995"/>
    <cellStyle name="Currency 2 8 4 2 2" xfId="15539"/>
    <cellStyle name="Currency 2 8 4 3" xfId="7276"/>
    <cellStyle name="Currency 2 8 4 3 2" xfId="13958"/>
    <cellStyle name="Currency 2 8 4 4" xfId="12173"/>
    <cellStyle name="Currency 2 8 5" xfId="5690"/>
    <cellStyle name="Currency 2 8 5 2" xfId="9431"/>
    <cellStyle name="Currency 2 8 5 2 2" xfId="15933"/>
    <cellStyle name="Currency 2 8 5 3" xfId="7712"/>
    <cellStyle name="Currency 2 8 5 3 2" xfId="14352"/>
    <cellStyle name="Currency 2 8 5 4" xfId="12583"/>
    <cellStyle name="Currency 2 8 6" xfId="9877"/>
    <cellStyle name="Currency 2 8 6 2" xfId="16358"/>
    <cellStyle name="Currency 2 8 7" xfId="8189"/>
    <cellStyle name="Currency 2 8 7 2" xfId="14746"/>
    <cellStyle name="Currency 2 8 8" xfId="6470"/>
    <cellStyle name="Currency 2 8 8 2" xfId="13160"/>
    <cellStyle name="Currency 2 8 9" xfId="11366"/>
    <cellStyle name="Currency 2 9" xfId="4425"/>
    <cellStyle name="Currency 2 9 2" xfId="4634"/>
    <cellStyle name="Currency 2 9 2 2" xfId="4884"/>
    <cellStyle name="Currency 2 9 2 2 2" xfId="8627"/>
    <cellStyle name="Currency 2 9 2 2 2 2" xfId="15175"/>
    <cellStyle name="Currency 2 9 2 2 3" xfId="6908"/>
    <cellStyle name="Currency 2 9 2 2 3 2" xfId="13594"/>
    <cellStyle name="Currency 2 9 2 2 4" xfId="11809"/>
    <cellStyle name="Currency 2 9 2 3" xfId="5461"/>
    <cellStyle name="Currency 2 9 2 3 2" xfId="9204"/>
    <cellStyle name="Currency 2 9 2 3 2 2" xfId="15748"/>
    <cellStyle name="Currency 2 9 2 3 3" xfId="7485"/>
    <cellStyle name="Currency 2 9 2 3 3 2" xfId="14167"/>
    <cellStyle name="Currency 2 9 2 3 4" xfId="12382"/>
    <cellStyle name="Currency 2 9 2 4" xfId="5899"/>
    <cellStyle name="Currency 2 9 2 4 2" xfId="9640"/>
    <cellStyle name="Currency 2 9 2 4 2 2" xfId="16142"/>
    <cellStyle name="Currency 2 9 2 4 3" xfId="7921"/>
    <cellStyle name="Currency 2 9 2 4 3 2" xfId="14561"/>
    <cellStyle name="Currency 2 9 2 4 4" xfId="12792"/>
    <cellStyle name="Currency 2 9 2 5" xfId="9880"/>
    <cellStyle name="Currency 2 9 2 5 2" xfId="16361"/>
    <cellStyle name="Currency 2 9 2 6" xfId="8398"/>
    <cellStyle name="Currency 2 9 2 6 2" xfId="14955"/>
    <cellStyle name="Currency 2 9 2 7" xfId="6679"/>
    <cellStyle name="Currency 2 9 2 7 2" xfId="13369"/>
    <cellStyle name="Currency 2 9 2 8" xfId="11579"/>
    <cellStyle name="Currency 2 9 3" xfId="4883"/>
    <cellStyle name="Currency 2 9 3 2" xfId="8626"/>
    <cellStyle name="Currency 2 9 3 2 2" xfId="15174"/>
    <cellStyle name="Currency 2 9 3 3" xfId="6907"/>
    <cellStyle name="Currency 2 9 3 3 2" xfId="13593"/>
    <cellStyle name="Currency 2 9 3 4" xfId="11808"/>
    <cellStyle name="Currency 2 9 4" xfId="5264"/>
    <cellStyle name="Currency 2 9 4 2" xfId="9007"/>
    <cellStyle name="Currency 2 9 4 2 2" xfId="15551"/>
    <cellStyle name="Currency 2 9 4 3" xfId="7288"/>
    <cellStyle name="Currency 2 9 4 3 2" xfId="13970"/>
    <cellStyle name="Currency 2 9 4 4" xfId="12185"/>
    <cellStyle name="Currency 2 9 5" xfId="5702"/>
    <cellStyle name="Currency 2 9 5 2" xfId="9443"/>
    <cellStyle name="Currency 2 9 5 2 2" xfId="15945"/>
    <cellStyle name="Currency 2 9 5 3" xfId="7724"/>
    <cellStyle name="Currency 2 9 5 3 2" xfId="14364"/>
    <cellStyle name="Currency 2 9 5 4" xfId="12595"/>
    <cellStyle name="Currency 2 9 6" xfId="9879"/>
    <cellStyle name="Currency 2 9 6 2" xfId="16360"/>
    <cellStyle name="Currency 2 9 7" xfId="8201"/>
    <cellStyle name="Currency 2 9 7 2" xfId="14758"/>
    <cellStyle name="Currency 2 9 8" xfId="6482"/>
    <cellStyle name="Currency 2 9 8 2" xfId="13172"/>
    <cellStyle name="Currency 2 9 9" xfId="11380"/>
    <cellStyle name="Currency 2*" xfId="3917"/>
    <cellStyle name="Currency 2_Model_Sep_2_02" xfId="3918"/>
    <cellStyle name="Currency 3" xfId="3919"/>
    <cellStyle name="Currency 3 10" xfId="8013"/>
    <cellStyle name="Currency 3 10 2" xfId="14616"/>
    <cellStyle name="Currency 3 11" xfId="6276"/>
    <cellStyle name="Currency 3 11 2" xfId="13001"/>
    <cellStyle name="Currency 3 12" xfId="11229"/>
    <cellStyle name="Currency 3 2" xfId="3920"/>
    <cellStyle name="Currency 3 2 2" xfId="4493"/>
    <cellStyle name="Currency 3 2 2 2" xfId="4885"/>
    <cellStyle name="Currency 3 2 2 2 2" xfId="8628"/>
    <cellStyle name="Currency 3 2 2 2 2 2" xfId="15176"/>
    <cellStyle name="Currency 3 2 2 2 3" xfId="6909"/>
    <cellStyle name="Currency 3 2 2 2 3 2" xfId="13595"/>
    <cellStyle name="Currency 3 2 2 2 4" xfId="11810"/>
    <cellStyle name="Currency 3 2 2 3" xfId="5320"/>
    <cellStyle name="Currency 3 2 2 3 2" xfId="9063"/>
    <cellStyle name="Currency 3 2 2 3 2 2" xfId="15607"/>
    <cellStyle name="Currency 3 2 2 3 3" xfId="7344"/>
    <cellStyle name="Currency 3 2 2 3 3 2" xfId="14026"/>
    <cellStyle name="Currency 3 2 2 3 4" xfId="12241"/>
    <cellStyle name="Currency 3 2 2 4" xfId="5758"/>
    <cellStyle name="Currency 3 2 2 4 2" xfId="9499"/>
    <cellStyle name="Currency 3 2 2 4 2 2" xfId="16001"/>
    <cellStyle name="Currency 3 2 2 4 3" xfId="7780"/>
    <cellStyle name="Currency 3 2 2 4 3 2" xfId="14420"/>
    <cellStyle name="Currency 3 2 2 4 4" xfId="12651"/>
    <cellStyle name="Currency 3 2 2 5" xfId="9881"/>
    <cellStyle name="Currency 3 2 2 5 2" xfId="16362"/>
    <cellStyle name="Currency 3 2 2 6" xfId="8257"/>
    <cellStyle name="Currency 3 2 2 6 2" xfId="14814"/>
    <cellStyle name="Currency 3 2 2 7" xfId="6538"/>
    <cellStyle name="Currency 3 2 2 7 2" xfId="13228"/>
    <cellStyle name="Currency 3 2 2 8" xfId="11438"/>
    <cellStyle name="Currency 3 2 3" xfId="4758"/>
    <cellStyle name="Currency 3 2 3 2" xfId="8501"/>
    <cellStyle name="Currency 3 2 3 2 2" xfId="15053"/>
    <cellStyle name="Currency 3 2 3 3" xfId="6782"/>
    <cellStyle name="Currency 3 2 3 3 2" xfId="13472"/>
    <cellStyle name="Currency 3 2 3 4" xfId="11687"/>
    <cellStyle name="Currency 3 2 4" xfId="5123"/>
    <cellStyle name="Currency 3 2 4 2" xfId="8866"/>
    <cellStyle name="Currency 3 2 4 2 2" xfId="15410"/>
    <cellStyle name="Currency 3 2 4 3" xfId="7147"/>
    <cellStyle name="Currency 3 2 4 3 2" xfId="13829"/>
    <cellStyle name="Currency 3 2 4 4" xfId="12044"/>
    <cellStyle name="Currency 3 2 5" xfId="5556"/>
    <cellStyle name="Currency 3 2 5 2" xfId="9297"/>
    <cellStyle name="Currency 3 2 5 2 2" xfId="15804"/>
    <cellStyle name="Currency 3 2 5 3" xfId="7578"/>
    <cellStyle name="Currency 3 2 5 3 2" xfId="14223"/>
    <cellStyle name="Currency 3 2 5 4" xfId="12449"/>
    <cellStyle name="Currency 3 2 6" xfId="9748"/>
    <cellStyle name="Currency 3 2 6 2" xfId="16239"/>
    <cellStyle name="Currency 3 2 7" xfId="8014"/>
    <cellStyle name="Currency 3 2 7 2" xfId="14617"/>
    <cellStyle name="Currency 3 2 8" xfId="6277"/>
    <cellStyle name="Currency 3 2 8 2" xfId="13002"/>
    <cellStyle name="Currency 3 2 9" xfId="11230"/>
    <cellStyle name="Currency 3 3" xfId="4415"/>
    <cellStyle name="Currency 3 3 2" xfId="4625"/>
    <cellStyle name="Currency 3 3 2 2" xfId="4887"/>
    <cellStyle name="Currency 3 3 2 2 2" xfId="8630"/>
    <cellStyle name="Currency 3 3 2 2 2 2" xfId="15178"/>
    <cellStyle name="Currency 3 3 2 2 3" xfId="6911"/>
    <cellStyle name="Currency 3 3 2 2 3 2" xfId="13597"/>
    <cellStyle name="Currency 3 3 2 2 4" xfId="11812"/>
    <cellStyle name="Currency 3 3 2 3" xfId="5452"/>
    <cellStyle name="Currency 3 3 2 3 2" xfId="9195"/>
    <cellStyle name="Currency 3 3 2 3 2 2" xfId="15739"/>
    <cellStyle name="Currency 3 3 2 3 3" xfId="7476"/>
    <cellStyle name="Currency 3 3 2 3 3 2" xfId="14158"/>
    <cellStyle name="Currency 3 3 2 3 4" xfId="12373"/>
    <cellStyle name="Currency 3 3 2 4" xfId="5890"/>
    <cellStyle name="Currency 3 3 2 4 2" xfId="9631"/>
    <cellStyle name="Currency 3 3 2 4 2 2" xfId="16133"/>
    <cellStyle name="Currency 3 3 2 4 3" xfId="7912"/>
    <cellStyle name="Currency 3 3 2 4 3 2" xfId="14552"/>
    <cellStyle name="Currency 3 3 2 4 4" xfId="12783"/>
    <cellStyle name="Currency 3 3 2 5" xfId="9883"/>
    <cellStyle name="Currency 3 3 2 5 2" xfId="16364"/>
    <cellStyle name="Currency 3 3 2 6" xfId="8389"/>
    <cellStyle name="Currency 3 3 2 6 2" xfId="14946"/>
    <cellStyle name="Currency 3 3 2 7" xfId="6670"/>
    <cellStyle name="Currency 3 3 2 7 2" xfId="13360"/>
    <cellStyle name="Currency 3 3 2 8" xfId="11570"/>
    <cellStyle name="Currency 3 3 3" xfId="4886"/>
    <cellStyle name="Currency 3 3 3 2" xfId="8629"/>
    <cellStyle name="Currency 3 3 3 2 2" xfId="15177"/>
    <cellStyle name="Currency 3 3 3 3" xfId="6910"/>
    <cellStyle name="Currency 3 3 3 3 2" xfId="13596"/>
    <cellStyle name="Currency 3 3 3 4" xfId="11811"/>
    <cellStyle name="Currency 3 3 4" xfId="5255"/>
    <cellStyle name="Currency 3 3 4 2" xfId="8998"/>
    <cellStyle name="Currency 3 3 4 2 2" xfId="15542"/>
    <cellStyle name="Currency 3 3 4 3" xfId="7279"/>
    <cellStyle name="Currency 3 3 4 3 2" xfId="13961"/>
    <cellStyle name="Currency 3 3 4 4" xfId="12176"/>
    <cellStyle name="Currency 3 3 5" xfId="5693"/>
    <cellStyle name="Currency 3 3 5 2" xfId="9434"/>
    <cellStyle name="Currency 3 3 5 2 2" xfId="15936"/>
    <cellStyle name="Currency 3 3 5 3" xfId="7715"/>
    <cellStyle name="Currency 3 3 5 3 2" xfId="14355"/>
    <cellStyle name="Currency 3 3 5 4" xfId="12586"/>
    <cellStyle name="Currency 3 3 6" xfId="9882"/>
    <cellStyle name="Currency 3 3 6 2" xfId="16363"/>
    <cellStyle name="Currency 3 3 7" xfId="8192"/>
    <cellStyle name="Currency 3 3 7 2" xfId="14749"/>
    <cellStyle name="Currency 3 3 8" xfId="6473"/>
    <cellStyle name="Currency 3 3 8 2" xfId="13163"/>
    <cellStyle name="Currency 3 3 9" xfId="11371"/>
    <cellStyle name="Currency 3 4" xfId="4428"/>
    <cellStyle name="Currency 3 4 2" xfId="4637"/>
    <cellStyle name="Currency 3 4 2 2" xfId="4889"/>
    <cellStyle name="Currency 3 4 2 2 2" xfId="8632"/>
    <cellStyle name="Currency 3 4 2 2 2 2" xfId="15180"/>
    <cellStyle name="Currency 3 4 2 2 3" xfId="6913"/>
    <cellStyle name="Currency 3 4 2 2 3 2" xfId="13599"/>
    <cellStyle name="Currency 3 4 2 2 4" xfId="11814"/>
    <cellStyle name="Currency 3 4 2 3" xfId="5464"/>
    <cellStyle name="Currency 3 4 2 3 2" xfId="9207"/>
    <cellStyle name="Currency 3 4 2 3 2 2" xfId="15751"/>
    <cellStyle name="Currency 3 4 2 3 3" xfId="7488"/>
    <cellStyle name="Currency 3 4 2 3 3 2" xfId="14170"/>
    <cellStyle name="Currency 3 4 2 3 4" xfId="12385"/>
    <cellStyle name="Currency 3 4 2 4" xfId="5902"/>
    <cellStyle name="Currency 3 4 2 4 2" xfId="9643"/>
    <cellStyle name="Currency 3 4 2 4 2 2" xfId="16145"/>
    <cellStyle name="Currency 3 4 2 4 3" xfId="7924"/>
    <cellStyle name="Currency 3 4 2 4 3 2" xfId="14564"/>
    <cellStyle name="Currency 3 4 2 4 4" xfId="12795"/>
    <cellStyle name="Currency 3 4 2 5" xfId="9885"/>
    <cellStyle name="Currency 3 4 2 5 2" xfId="16366"/>
    <cellStyle name="Currency 3 4 2 6" xfId="8401"/>
    <cellStyle name="Currency 3 4 2 6 2" xfId="14958"/>
    <cellStyle name="Currency 3 4 2 7" xfId="6682"/>
    <cellStyle name="Currency 3 4 2 7 2" xfId="13372"/>
    <cellStyle name="Currency 3 4 2 8" xfId="11582"/>
    <cellStyle name="Currency 3 4 3" xfId="4888"/>
    <cellStyle name="Currency 3 4 3 2" xfId="8631"/>
    <cellStyle name="Currency 3 4 3 2 2" xfId="15179"/>
    <cellStyle name="Currency 3 4 3 3" xfId="6912"/>
    <cellStyle name="Currency 3 4 3 3 2" xfId="13598"/>
    <cellStyle name="Currency 3 4 3 4" xfId="11813"/>
    <cellStyle name="Currency 3 4 4" xfId="5267"/>
    <cellStyle name="Currency 3 4 4 2" xfId="9010"/>
    <cellStyle name="Currency 3 4 4 2 2" xfId="15554"/>
    <cellStyle name="Currency 3 4 4 3" xfId="7291"/>
    <cellStyle name="Currency 3 4 4 3 2" xfId="13973"/>
    <cellStyle name="Currency 3 4 4 4" xfId="12188"/>
    <cellStyle name="Currency 3 4 5" xfId="5705"/>
    <cellStyle name="Currency 3 4 5 2" xfId="9446"/>
    <cellStyle name="Currency 3 4 5 2 2" xfId="15948"/>
    <cellStyle name="Currency 3 4 5 3" xfId="7727"/>
    <cellStyle name="Currency 3 4 5 3 2" xfId="14367"/>
    <cellStyle name="Currency 3 4 5 4" xfId="12598"/>
    <cellStyle name="Currency 3 4 6" xfId="9884"/>
    <cellStyle name="Currency 3 4 6 2" xfId="16365"/>
    <cellStyle name="Currency 3 4 7" xfId="8204"/>
    <cellStyle name="Currency 3 4 7 2" xfId="14761"/>
    <cellStyle name="Currency 3 4 8" xfId="6485"/>
    <cellStyle name="Currency 3 4 8 2" xfId="13175"/>
    <cellStyle name="Currency 3 4 9" xfId="11383"/>
    <cellStyle name="Currency 3 5" xfId="4492"/>
    <cellStyle name="Currency 3 5 2" xfId="4890"/>
    <cellStyle name="Currency 3 5 2 2" xfId="8633"/>
    <cellStyle name="Currency 3 5 2 2 2" xfId="15181"/>
    <cellStyle name="Currency 3 5 2 3" xfId="6914"/>
    <cellStyle name="Currency 3 5 2 3 2" xfId="13600"/>
    <cellStyle name="Currency 3 5 2 4" xfId="11815"/>
    <cellStyle name="Currency 3 5 3" xfId="5319"/>
    <cellStyle name="Currency 3 5 3 2" xfId="9062"/>
    <cellStyle name="Currency 3 5 3 2 2" xfId="15606"/>
    <cellStyle name="Currency 3 5 3 3" xfId="7343"/>
    <cellStyle name="Currency 3 5 3 3 2" xfId="14025"/>
    <cellStyle name="Currency 3 5 3 4" xfId="12240"/>
    <cellStyle name="Currency 3 5 4" xfId="5757"/>
    <cellStyle name="Currency 3 5 4 2" xfId="9498"/>
    <cellStyle name="Currency 3 5 4 2 2" xfId="16000"/>
    <cellStyle name="Currency 3 5 4 3" xfId="7779"/>
    <cellStyle name="Currency 3 5 4 3 2" xfId="14419"/>
    <cellStyle name="Currency 3 5 4 4" xfId="12650"/>
    <cellStyle name="Currency 3 5 5" xfId="9886"/>
    <cellStyle name="Currency 3 5 5 2" xfId="16367"/>
    <cellStyle name="Currency 3 5 6" xfId="8256"/>
    <cellStyle name="Currency 3 5 6 2" xfId="14813"/>
    <cellStyle name="Currency 3 5 7" xfId="6537"/>
    <cellStyle name="Currency 3 5 7 2" xfId="13227"/>
    <cellStyle name="Currency 3 5 8" xfId="11437"/>
    <cellStyle name="Currency 3 6" xfId="4695"/>
    <cellStyle name="Currency 3 6 2" xfId="8440"/>
    <cellStyle name="Currency 3 6 2 2" xfId="14992"/>
    <cellStyle name="Currency 3 6 3" xfId="6721"/>
    <cellStyle name="Currency 3 6 3 2" xfId="13411"/>
    <cellStyle name="Currency 3 6 4" xfId="11625"/>
    <cellStyle name="Currency 3 7" xfId="5122"/>
    <cellStyle name="Currency 3 7 2" xfId="8865"/>
    <cellStyle name="Currency 3 7 2 2" xfId="15409"/>
    <cellStyle name="Currency 3 7 3" xfId="7146"/>
    <cellStyle name="Currency 3 7 3 2" xfId="13828"/>
    <cellStyle name="Currency 3 7 4" xfId="12043"/>
    <cellStyle name="Currency 3 8" xfId="5555"/>
    <cellStyle name="Currency 3 8 2" xfId="9296"/>
    <cellStyle name="Currency 3 8 2 2" xfId="15803"/>
    <cellStyle name="Currency 3 8 3" xfId="7577"/>
    <cellStyle name="Currency 3 8 3 2" xfId="14222"/>
    <cellStyle name="Currency 3 8 4" xfId="12448"/>
    <cellStyle name="Currency 3 9" xfId="9677"/>
    <cellStyle name="Currency 3 9 2" xfId="16177"/>
    <cellStyle name="Currency 3*" xfId="3921"/>
    <cellStyle name="Currency 4" xfId="3922"/>
    <cellStyle name="Currency 4 2" xfId="4416"/>
    <cellStyle name="Currency 4 2 2" xfId="4626"/>
    <cellStyle name="Currency 4 2 2 2" xfId="4892"/>
    <cellStyle name="Currency 4 2 2 2 2" xfId="8635"/>
    <cellStyle name="Currency 4 2 2 2 2 2" xfId="15183"/>
    <cellStyle name="Currency 4 2 2 2 3" xfId="6916"/>
    <cellStyle name="Currency 4 2 2 2 3 2" xfId="13602"/>
    <cellStyle name="Currency 4 2 2 2 4" xfId="11817"/>
    <cellStyle name="Currency 4 2 2 3" xfId="5453"/>
    <cellStyle name="Currency 4 2 2 3 2" xfId="9196"/>
    <cellStyle name="Currency 4 2 2 3 2 2" xfId="15740"/>
    <cellStyle name="Currency 4 2 2 3 3" xfId="7477"/>
    <cellStyle name="Currency 4 2 2 3 3 2" xfId="14159"/>
    <cellStyle name="Currency 4 2 2 3 4" xfId="12374"/>
    <cellStyle name="Currency 4 2 2 4" xfId="5891"/>
    <cellStyle name="Currency 4 2 2 4 2" xfId="9632"/>
    <cellStyle name="Currency 4 2 2 4 2 2" xfId="16134"/>
    <cellStyle name="Currency 4 2 2 4 3" xfId="7913"/>
    <cellStyle name="Currency 4 2 2 4 3 2" xfId="14553"/>
    <cellStyle name="Currency 4 2 2 4 4" xfId="12784"/>
    <cellStyle name="Currency 4 2 2 5" xfId="9888"/>
    <cellStyle name="Currency 4 2 2 5 2" xfId="16369"/>
    <cellStyle name="Currency 4 2 2 6" xfId="8390"/>
    <cellStyle name="Currency 4 2 2 6 2" xfId="14947"/>
    <cellStyle name="Currency 4 2 2 7" xfId="6671"/>
    <cellStyle name="Currency 4 2 2 7 2" xfId="13361"/>
    <cellStyle name="Currency 4 2 2 8" xfId="11571"/>
    <cellStyle name="Currency 4 2 3" xfId="4891"/>
    <cellStyle name="Currency 4 2 3 2" xfId="8634"/>
    <cellStyle name="Currency 4 2 3 2 2" xfId="15182"/>
    <cellStyle name="Currency 4 2 3 3" xfId="6915"/>
    <cellStyle name="Currency 4 2 3 3 2" xfId="13601"/>
    <cellStyle name="Currency 4 2 3 4" xfId="11816"/>
    <cellStyle name="Currency 4 2 4" xfId="5256"/>
    <cellStyle name="Currency 4 2 4 2" xfId="8999"/>
    <cellStyle name="Currency 4 2 4 2 2" xfId="15543"/>
    <cellStyle name="Currency 4 2 4 3" xfId="7280"/>
    <cellStyle name="Currency 4 2 4 3 2" xfId="13962"/>
    <cellStyle name="Currency 4 2 4 4" xfId="12177"/>
    <cellStyle name="Currency 4 2 5" xfId="5694"/>
    <cellStyle name="Currency 4 2 5 2" xfId="9435"/>
    <cellStyle name="Currency 4 2 5 2 2" xfId="15937"/>
    <cellStyle name="Currency 4 2 5 3" xfId="7716"/>
    <cellStyle name="Currency 4 2 5 3 2" xfId="14356"/>
    <cellStyle name="Currency 4 2 5 4" xfId="12587"/>
    <cellStyle name="Currency 4 2 6" xfId="9887"/>
    <cellStyle name="Currency 4 2 6 2" xfId="16368"/>
    <cellStyle name="Currency 4 2 7" xfId="8193"/>
    <cellStyle name="Currency 4 2 7 2" xfId="14750"/>
    <cellStyle name="Currency 4 2 8" xfId="6474"/>
    <cellStyle name="Currency 4 2 8 2" xfId="13164"/>
    <cellStyle name="Currency 4 2 9" xfId="11372"/>
    <cellStyle name="Currency 4 3" xfId="4429"/>
    <cellStyle name="Currency 4 3 2" xfId="4638"/>
    <cellStyle name="Currency 4 3 2 2" xfId="4894"/>
    <cellStyle name="Currency 4 3 2 2 2" xfId="8637"/>
    <cellStyle name="Currency 4 3 2 2 2 2" xfId="15185"/>
    <cellStyle name="Currency 4 3 2 2 3" xfId="6918"/>
    <cellStyle name="Currency 4 3 2 2 3 2" xfId="13604"/>
    <cellStyle name="Currency 4 3 2 2 4" xfId="11819"/>
    <cellStyle name="Currency 4 3 2 3" xfId="5465"/>
    <cellStyle name="Currency 4 3 2 3 2" xfId="9208"/>
    <cellStyle name="Currency 4 3 2 3 2 2" xfId="15752"/>
    <cellStyle name="Currency 4 3 2 3 3" xfId="7489"/>
    <cellStyle name="Currency 4 3 2 3 3 2" xfId="14171"/>
    <cellStyle name="Currency 4 3 2 3 4" xfId="12386"/>
    <cellStyle name="Currency 4 3 2 4" xfId="5903"/>
    <cellStyle name="Currency 4 3 2 4 2" xfId="9644"/>
    <cellStyle name="Currency 4 3 2 4 2 2" xfId="16146"/>
    <cellStyle name="Currency 4 3 2 4 3" xfId="7925"/>
    <cellStyle name="Currency 4 3 2 4 3 2" xfId="14565"/>
    <cellStyle name="Currency 4 3 2 4 4" xfId="12796"/>
    <cellStyle name="Currency 4 3 2 5" xfId="9890"/>
    <cellStyle name="Currency 4 3 2 5 2" xfId="16371"/>
    <cellStyle name="Currency 4 3 2 6" xfId="8402"/>
    <cellStyle name="Currency 4 3 2 6 2" xfId="14959"/>
    <cellStyle name="Currency 4 3 2 7" xfId="6683"/>
    <cellStyle name="Currency 4 3 2 7 2" xfId="13373"/>
    <cellStyle name="Currency 4 3 2 8" xfId="11583"/>
    <cellStyle name="Currency 4 3 3" xfId="4893"/>
    <cellStyle name="Currency 4 3 3 2" xfId="8636"/>
    <cellStyle name="Currency 4 3 3 2 2" xfId="15184"/>
    <cellStyle name="Currency 4 3 3 3" xfId="6917"/>
    <cellStyle name="Currency 4 3 3 3 2" xfId="13603"/>
    <cellStyle name="Currency 4 3 3 4" xfId="11818"/>
    <cellStyle name="Currency 4 3 4" xfId="5268"/>
    <cellStyle name="Currency 4 3 4 2" xfId="9011"/>
    <cellStyle name="Currency 4 3 4 2 2" xfId="15555"/>
    <cellStyle name="Currency 4 3 4 3" xfId="7292"/>
    <cellStyle name="Currency 4 3 4 3 2" xfId="13974"/>
    <cellStyle name="Currency 4 3 4 4" xfId="12189"/>
    <cellStyle name="Currency 4 3 5" xfId="5706"/>
    <cellStyle name="Currency 4 3 5 2" xfId="9447"/>
    <cellStyle name="Currency 4 3 5 2 2" xfId="15949"/>
    <cellStyle name="Currency 4 3 5 3" xfId="7728"/>
    <cellStyle name="Currency 4 3 5 3 2" xfId="14368"/>
    <cellStyle name="Currency 4 3 5 4" xfId="12599"/>
    <cellStyle name="Currency 4 3 6" xfId="9889"/>
    <cellStyle name="Currency 4 3 6 2" xfId="16370"/>
    <cellStyle name="Currency 4 3 7" xfId="8205"/>
    <cellStyle name="Currency 4 3 7 2" xfId="14762"/>
    <cellStyle name="Currency 4 3 8" xfId="6486"/>
    <cellStyle name="Currency 4 3 8 2" xfId="13176"/>
    <cellStyle name="Currency 4 3 9" xfId="11384"/>
    <cellStyle name="Currency 4 4" xfId="11231"/>
    <cellStyle name="Currency 5" xfId="3923"/>
    <cellStyle name="Currency 5 2" xfId="4445"/>
    <cellStyle name="Currency 5 2 2" xfId="11390"/>
    <cellStyle name="Currency 5 3" xfId="11232"/>
    <cellStyle name="Currency 8" xfId="3924"/>
    <cellStyle name="Currency 8 2" xfId="4494"/>
    <cellStyle name="Currency 8 2 2" xfId="4895"/>
    <cellStyle name="Currency 8 2 2 2" xfId="8638"/>
    <cellStyle name="Currency 8 2 2 2 2" xfId="15186"/>
    <cellStyle name="Currency 8 2 2 3" xfId="6919"/>
    <cellStyle name="Currency 8 2 2 3 2" xfId="13605"/>
    <cellStyle name="Currency 8 2 2 4" xfId="11820"/>
    <cellStyle name="Currency 8 2 3" xfId="5321"/>
    <cellStyle name="Currency 8 2 3 2" xfId="9064"/>
    <cellStyle name="Currency 8 2 3 2 2" xfId="15608"/>
    <cellStyle name="Currency 8 2 3 3" xfId="7345"/>
    <cellStyle name="Currency 8 2 3 3 2" xfId="14027"/>
    <cellStyle name="Currency 8 2 3 4" xfId="12242"/>
    <cellStyle name="Currency 8 2 4" xfId="5759"/>
    <cellStyle name="Currency 8 2 4 2" xfId="9500"/>
    <cellStyle name="Currency 8 2 4 2 2" xfId="16002"/>
    <cellStyle name="Currency 8 2 4 3" xfId="7781"/>
    <cellStyle name="Currency 8 2 4 3 2" xfId="14421"/>
    <cellStyle name="Currency 8 2 4 4" xfId="12652"/>
    <cellStyle name="Currency 8 2 5" xfId="9891"/>
    <cellStyle name="Currency 8 2 5 2" xfId="16372"/>
    <cellStyle name="Currency 8 2 6" xfId="8258"/>
    <cellStyle name="Currency 8 2 6 2" xfId="14815"/>
    <cellStyle name="Currency 8 2 7" xfId="6539"/>
    <cellStyle name="Currency 8 2 7 2" xfId="13229"/>
    <cellStyle name="Currency 8 2 8" xfId="11439"/>
    <cellStyle name="Currency 8 3" xfId="4843"/>
    <cellStyle name="Currency 8 3 2" xfId="8586"/>
    <cellStyle name="Currency 8 3 2 2" xfId="15134"/>
    <cellStyle name="Currency 8 3 3" xfId="6867"/>
    <cellStyle name="Currency 8 3 3 2" xfId="13553"/>
    <cellStyle name="Currency 8 3 4" xfId="11768"/>
    <cellStyle name="Currency 8 4" xfId="5124"/>
    <cellStyle name="Currency 8 4 2" xfId="8867"/>
    <cellStyle name="Currency 8 4 2 2" xfId="15411"/>
    <cellStyle name="Currency 8 4 3" xfId="7148"/>
    <cellStyle name="Currency 8 4 3 2" xfId="13830"/>
    <cellStyle name="Currency 8 4 4" xfId="12045"/>
    <cellStyle name="Currency 8 5" xfId="5557"/>
    <cellStyle name="Currency 8 5 2" xfId="9298"/>
    <cellStyle name="Currency 8 5 2 2" xfId="15805"/>
    <cellStyle name="Currency 8 5 3" xfId="7579"/>
    <cellStyle name="Currency 8 5 3 2" xfId="14224"/>
    <cellStyle name="Currency 8 5 4" xfId="12450"/>
    <cellStyle name="Currency 8 6" xfId="9834"/>
    <cellStyle name="Currency 8 6 2" xfId="16320"/>
    <cellStyle name="Currency 8 7" xfId="8015"/>
    <cellStyle name="Currency 8 7 2" xfId="14618"/>
    <cellStyle name="Currency 8 8" xfId="6278"/>
    <cellStyle name="Currency 8 8 2" xfId="13003"/>
    <cellStyle name="Currency 8 9" xfId="11233"/>
    <cellStyle name="Currency Dashed" xfId="3925"/>
    <cellStyle name="Currency Nil" xfId="3926"/>
    <cellStyle name="Currency*" xfId="3927"/>
    <cellStyle name="Currency0" xfId="3928"/>
    <cellStyle name="d_yield" xfId="3929"/>
    <cellStyle name="Dash" xfId="3930"/>
    <cellStyle name="DATA Amount" xfId="3931"/>
    <cellStyle name="DATA Amount [1]" xfId="3932"/>
    <cellStyle name="DATA Amount [2]" xfId="3933"/>
    <cellStyle name="DATA Currency" xfId="3934"/>
    <cellStyle name="DATA Currency [1]" xfId="3935"/>
    <cellStyle name="DATA Currency [2]" xfId="3936"/>
    <cellStyle name="DATA Date Long" xfId="3937"/>
    <cellStyle name="DATA Date Short" xfId="3938"/>
    <cellStyle name="Data Input" xfId="3939"/>
    <cellStyle name="DATA List" xfId="3940"/>
    <cellStyle name="DATA Memo" xfId="3941"/>
    <cellStyle name="DATA Percent" xfId="3942"/>
    <cellStyle name="DATA Percent [1]" xfId="3943"/>
    <cellStyle name="DATA Percent [2]" xfId="3944"/>
    <cellStyle name="Data Section Heading" xfId="3945"/>
    <cellStyle name="DATA Text" xfId="3946"/>
    <cellStyle name="DATA Version" xfId="3947"/>
    <cellStyle name="DATA_Amount" xfId="3948"/>
    <cellStyle name="Date" xfId="3949"/>
    <cellStyle name="Date 2" xfId="3950"/>
    <cellStyle name="Date Aligned" xfId="3951"/>
    <cellStyle name="Date Aligned*" xfId="3952"/>
    <cellStyle name="Date Aligned_Model_Sep_2_02" xfId="3953"/>
    <cellStyle name="Date input" xfId="3954"/>
    <cellStyle name="date title" xfId="3955"/>
    <cellStyle name="Date U" xfId="3956"/>
    <cellStyle name="Date_0910 GSO Capex RRP - Final (Detail) v2 220710" xfId="3957"/>
    <cellStyle name="dateformat" xfId="3958"/>
    <cellStyle name="Dateline" xfId="3959"/>
    <cellStyle name="DateLong" xfId="3960"/>
    <cellStyle name="DateShort" xfId="3961"/>
    <cellStyle name="Dec places 0" xfId="3962"/>
    <cellStyle name="Dec places 1, millions" xfId="3963"/>
    <cellStyle name="Dec places 2" xfId="3964"/>
    <cellStyle name="Dec places 2, millions" xfId="3965"/>
    <cellStyle name="Dec places 2_Draft RIIO plan presentation template - Customer Opsx Centre V7" xfId="3966"/>
    <cellStyle name="Decimal [0]" xfId="3967"/>
    <cellStyle name="Decimal [2]" xfId="3968"/>
    <cellStyle name="Decimal [2] U" xfId="3969"/>
    <cellStyle name="Decimal [4]" xfId="3970"/>
    <cellStyle name="Decimal [4] U" xfId="3971"/>
    <cellStyle name="Dezimal [0]_Anschreiben" xfId="3972"/>
    <cellStyle name="Dezimal_Anschreiben" xfId="3973"/>
    <cellStyle name="Directors" xfId="3974"/>
    <cellStyle name="dollar" xfId="3975"/>
    <cellStyle name="dollar[0]" xfId="3976"/>
    <cellStyle name="dollar_Draft RIIO plan presentation template - Customer Opsx Centre V7" xfId="3977"/>
    <cellStyle name="done" xfId="3978"/>
    <cellStyle name="Dotted Line" xfId="3979"/>
    <cellStyle name="DOWNFOOT" xfId="3980"/>
    <cellStyle name="DP 0, no commas" xfId="3981"/>
    <cellStyle name="DWF1.5-3.0split" xfId="3982"/>
    <cellStyle name="DWFsplit0-1.5" xfId="3983"/>
    <cellStyle name="DWFsplit0-1.5 2" xfId="3984"/>
    <cellStyle name="DWFsplit0-1.5 2 2" xfId="5105"/>
    <cellStyle name="DWFsplit0-1.5 2 2 2" xfId="8848"/>
    <cellStyle name="DWFsplit0-1.5 2 2 2 2" xfId="6223"/>
    <cellStyle name="DWFsplit0-1.5 2 2 2 2 2" xfId="12948"/>
    <cellStyle name="DWFsplit0-1.5 2 2 3" xfId="7129"/>
    <cellStyle name="DWFsplit0-1.5 2 3" xfId="8018"/>
    <cellStyle name="DWFsplit0-1.5 2 3 2" xfId="6164"/>
    <cellStyle name="DWFsplit0-1.5 2 3 2 2" xfId="12889"/>
    <cellStyle name="DWFsplit0-1.5 2 4" xfId="6280"/>
    <cellStyle name="DWFsplit0-1.5 3" xfId="5106"/>
    <cellStyle name="DWFsplit0-1.5 3 2" xfId="8849"/>
    <cellStyle name="DWFsplit0-1.5 3 2 2" xfId="6224"/>
    <cellStyle name="DWFsplit0-1.5 3 2 2 2" xfId="12949"/>
    <cellStyle name="DWFsplit0-1.5 3 3" xfId="7130"/>
    <cellStyle name="DWFsplit0-1.5 4" xfId="8017"/>
    <cellStyle name="DWFsplit0-1.5 4 2" xfId="6163"/>
    <cellStyle name="DWFsplit0-1.5 4 2 2" xfId="12888"/>
    <cellStyle name="DWFsplit0-1.5 5" xfId="6279"/>
    <cellStyle name="Dziesiêtny [0]_1" xfId="3985"/>
    <cellStyle name="Dziesiêtny_1" xfId="3986"/>
    <cellStyle name="Emphasis 1" xfId="3987"/>
    <cellStyle name="Emphasis 2" xfId="3988"/>
    <cellStyle name="Emphasis 3" xfId="3989"/>
    <cellStyle name="Entered" xfId="3990"/>
    <cellStyle name="eps" xfId="3991"/>
    <cellStyle name="eps$" xfId="3992"/>
    <cellStyle name="eps$A" xfId="3993"/>
    <cellStyle name="eps$E" xfId="3994"/>
    <cellStyle name="epsA" xfId="3995"/>
    <cellStyle name="epsE" xfId="3996"/>
    <cellStyle name="Euro" xfId="14"/>
    <cellStyle name="Euro 2" xfId="3997"/>
    <cellStyle name="Euro 3" xfId="3998"/>
    <cellStyle name="Euro billion" xfId="3999"/>
    <cellStyle name="Euro million" xfId="4000"/>
    <cellStyle name="Euro thousand" xfId="4001"/>
    <cellStyle name="Euro_Allocated Opex " xfId="4002"/>
    <cellStyle name="Explanatory Text 2" xfId="4003"/>
    <cellStyle name="Explanatory Text 3" xfId="4004"/>
    <cellStyle name="EY House" xfId="4005"/>
    <cellStyle name="EYBlocked" xfId="4006"/>
    <cellStyle name="EYCallUp" xfId="4007"/>
    <cellStyle name="EYCheck" xfId="4008"/>
    <cellStyle name="EYDate" xfId="4009"/>
    <cellStyle name="EYDeviant" xfId="4010"/>
    <cellStyle name="Factor" xfId="4011"/>
    <cellStyle name="Flag" xfId="4012"/>
    <cellStyle name="From" xfId="4013"/>
    <cellStyle name="FromDate" xfId="4014"/>
    <cellStyle name="FromDate 2" xfId="5944"/>
    <cellStyle name="General" xfId="4015"/>
    <cellStyle name="H_Major" xfId="4016"/>
    <cellStyle name="Header bar" xfId="4017"/>
    <cellStyle name="Heading" xfId="4018"/>
    <cellStyle name="Heading (12pt)" xfId="4019"/>
    <cellStyle name="Heading (14pt)" xfId="4020"/>
    <cellStyle name="HeadingMain" xfId="4021"/>
    <cellStyle name="HeadingMinor" xfId="4022"/>
    <cellStyle name="HeadingSection" xfId="4023"/>
    <cellStyle name="HeadingSub" xfId="4024"/>
    <cellStyle name="Hidden" xfId="4025"/>
    <cellStyle name="HideZeros" xfId="4026"/>
    <cellStyle name="hours" xfId="4027"/>
    <cellStyle name="HSBC Input Percent" xfId="4028"/>
    <cellStyle name="HSBC Percent" xfId="4029"/>
    <cellStyle name="HSBC Ratio" xfId="4030"/>
    <cellStyle name="HSBC Title Module" xfId="4031"/>
    <cellStyle name="HSBC WK Number 2" xfId="4032"/>
    <cellStyle name="HSBC WK Percent" xfId="4033"/>
    <cellStyle name="HSBC_Date" xfId="4034"/>
    <cellStyle name="IllustrativeTotal" xfId="4035"/>
    <cellStyle name="IllustrativeTotal 2" xfId="5943"/>
    <cellStyle name="ImportFromOtherWorkbook" xfId="4036"/>
    <cellStyle name="ImportFromOtherWorkbook 2" xfId="5942"/>
    <cellStyle name="Index" xfId="4037"/>
    <cellStyle name="InflationIndex" xfId="4038"/>
    <cellStyle name="InputNumber" xfId="4039"/>
    <cellStyle name="InputNumber 2" xfId="5941"/>
    <cellStyle name="InputPercent" xfId="4040"/>
    <cellStyle name="InputPermanent" xfId="4041"/>
    <cellStyle name="InputText" xfId="4042"/>
    <cellStyle name="InputText 2" xfId="5940"/>
    <cellStyle name="Integer" xfId="4043"/>
    <cellStyle name="Invisible" xfId="4044"/>
    <cellStyle name="K (0dp)" xfId="4045"/>
    <cellStyle name="K (2dp)" xfId="4046"/>
    <cellStyle name="KPMG Heading 1" xfId="4047"/>
    <cellStyle name="KPMG Heading 2" xfId="4048"/>
    <cellStyle name="KPMG Heading 3" xfId="4049"/>
    <cellStyle name="KPMG Heading 4" xfId="4050"/>
    <cellStyle name="KPMG Normal" xfId="4051"/>
    <cellStyle name="KPMG Normal Text" xfId="4052"/>
    <cellStyle name="Label" xfId="4053"/>
    <cellStyle name="LABEL Normal" xfId="4054"/>
    <cellStyle name="LABEL Note" xfId="4055"/>
    <cellStyle name="LABEL Units" xfId="4056"/>
    <cellStyle name="Label_8.0 SITA Suffolk BASE CASE FINAL All Scenarios" xfId="4057"/>
    <cellStyle name="lift" xfId="4058"/>
    <cellStyle name="Ligne" xfId="4059"/>
    <cellStyle name="Logical" xfId="4060"/>
    <cellStyle name="M (0dp)" xfId="4061"/>
    <cellStyle name="M (2dp)" xfId="4062"/>
    <cellStyle name="MacroPasted" xfId="4063"/>
    <cellStyle name="MainHeading" xfId="4064"/>
    <cellStyle name="max" xfId="4065"/>
    <cellStyle name="Milliers [0]_Feuil1" xfId="4066"/>
    <cellStyle name="Milliers_Feuil1" xfId="4067"/>
    <cellStyle name="Millions£" xfId="4068"/>
    <cellStyle name="Millions£ (2dp)" xfId="4069"/>
    <cellStyle name="min" xfId="4070"/>
    <cellStyle name="Monétaire [0]_Feuil1" xfId="4071"/>
    <cellStyle name="Monétaire_Feuil1" xfId="4072"/>
    <cellStyle name="Money" xfId="4073"/>
    <cellStyle name="month" xfId="4074"/>
    <cellStyle name="months" xfId="4075"/>
    <cellStyle name="MW" xfId="4076"/>
    <cellStyle name="MWth" xfId="4077"/>
    <cellStyle name="Normal" xfId="0" builtinId="0"/>
    <cellStyle name="Normal - Style1" xfId="4078"/>
    <cellStyle name="Normal - Style1 2" xfId="42"/>
    <cellStyle name="Normal (0dp)" xfId="4079"/>
    <cellStyle name="Normal (0dp+NZ)" xfId="4080"/>
    <cellStyle name="Normal (2dp)" xfId="4081"/>
    <cellStyle name="Normal (2dp+NZ)" xfId="4082"/>
    <cellStyle name="Normal 10" xfId="4083"/>
    <cellStyle name="Normal 10 10" xfId="11234"/>
    <cellStyle name="Normal 10 2" xfId="4084"/>
    <cellStyle name="Normal 10 2 2" xfId="4496"/>
    <cellStyle name="Normal 10 2 2 2" xfId="4896"/>
    <cellStyle name="Normal 10 2 2 2 2" xfId="8639"/>
    <cellStyle name="Normal 10 2 2 2 2 2" xfId="15187"/>
    <cellStyle name="Normal 10 2 2 2 3" xfId="6920"/>
    <cellStyle name="Normal 10 2 2 2 3 2" xfId="13606"/>
    <cellStyle name="Normal 10 2 2 2 4" xfId="11821"/>
    <cellStyle name="Normal 10 2 2 3" xfId="5323"/>
    <cellStyle name="Normal 10 2 2 3 2" xfId="9066"/>
    <cellStyle name="Normal 10 2 2 3 2 2" xfId="15610"/>
    <cellStyle name="Normal 10 2 2 3 3" xfId="7347"/>
    <cellStyle name="Normal 10 2 2 3 3 2" xfId="14029"/>
    <cellStyle name="Normal 10 2 2 3 4" xfId="12244"/>
    <cellStyle name="Normal 10 2 2 4" xfId="5761"/>
    <cellStyle name="Normal 10 2 2 4 2" xfId="9502"/>
    <cellStyle name="Normal 10 2 2 4 2 2" xfId="16004"/>
    <cellStyle name="Normal 10 2 2 4 3" xfId="7783"/>
    <cellStyle name="Normal 10 2 2 4 3 2" xfId="14423"/>
    <cellStyle name="Normal 10 2 2 4 4" xfId="12654"/>
    <cellStyle name="Normal 10 2 2 5" xfId="9892"/>
    <cellStyle name="Normal 10 2 2 5 2" xfId="16373"/>
    <cellStyle name="Normal 10 2 2 6" xfId="8260"/>
    <cellStyle name="Normal 10 2 2 6 2" xfId="14817"/>
    <cellStyle name="Normal 10 2 2 7" xfId="6541"/>
    <cellStyle name="Normal 10 2 2 7 2" xfId="13231"/>
    <cellStyle name="Normal 10 2 2 8" xfId="11441"/>
    <cellStyle name="Normal 10 2 3" xfId="4811"/>
    <cellStyle name="Normal 10 2 3 2" xfId="8554"/>
    <cellStyle name="Normal 10 2 3 2 2" xfId="15106"/>
    <cellStyle name="Normal 10 2 3 3" xfId="6835"/>
    <cellStyle name="Normal 10 2 3 3 2" xfId="13525"/>
    <cellStyle name="Normal 10 2 3 4" xfId="11740"/>
    <cellStyle name="Normal 10 2 4" xfId="5126"/>
    <cellStyle name="Normal 10 2 4 2" xfId="8869"/>
    <cellStyle name="Normal 10 2 4 2 2" xfId="15413"/>
    <cellStyle name="Normal 10 2 4 3" xfId="7150"/>
    <cellStyle name="Normal 10 2 4 3 2" xfId="13832"/>
    <cellStyle name="Normal 10 2 4 4" xfId="12047"/>
    <cellStyle name="Normal 10 2 5" xfId="5559"/>
    <cellStyle name="Normal 10 2 5 2" xfId="9300"/>
    <cellStyle name="Normal 10 2 5 2 2" xfId="15807"/>
    <cellStyle name="Normal 10 2 5 3" xfId="7581"/>
    <cellStyle name="Normal 10 2 5 3 2" xfId="14226"/>
    <cellStyle name="Normal 10 2 5 4" xfId="12452"/>
    <cellStyle name="Normal 10 2 6" xfId="9801"/>
    <cellStyle name="Normal 10 2 6 2" xfId="16292"/>
    <cellStyle name="Normal 10 2 7" xfId="8020"/>
    <cellStyle name="Normal 10 2 7 2" xfId="14620"/>
    <cellStyle name="Normal 10 2 8" xfId="6293"/>
    <cellStyle name="Normal 10 2 8 2" xfId="13016"/>
    <cellStyle name="Normal 10 2 9" xfId="11235"/>
    <cellStyle name="Normal 10 3" xfId="4495"/>
    <cellStyle name="Normal 10 3 2" xfId="4897"/>
    <cellStyle name="Normal 10 3 2 2" xfId="8640"/>
    <cellStyle name="Normal 10 3 2 2 2" xfId="15188"/>
    <cellStyle name="Normal 10 3 2 3" xfId="6921"/>
    <cellStyle name="Normal 10 3 2 3 2" xfId="13607"/>
    <cellStyle name="Normal 10 3 2 4" xfId="11822"/>
    <cellStyle name="Normal 10 3 3" xfId="5322"/>
    <cellStyle name="Normal 10 3 3 2" xfId="9065"/>
    <cellStyle name="Normal 10 3 3 2 2" xfId="15609"/>
    <cellStyle name="Normal 10 3 3 3" xfId="7346"/>
    <cellStyle name="Normal 10 3 3 3 2" xfId="14028"/>
    <cellStyle name="Normal 10 3 3 4" xfId="12243"/>
    <cellStyle name="Normal 10 3 4" xfId="5760"/>
    <cellStyle name="Normal 10 3 4 2" xfId="9501"/>
    <cellStyle name="Normal 10 3 4 2 2" xfId="16003"/>
    <cellStyle name="Normal 10 3 4 3" xfId="7782"/>
    <cellStyle name="Normal 10 3 4 3 2" xfId="14422"/>
    <cellStyle name="Normal 10 3 4 4" xfId="12653"/>
    <cellStyle name="Normal 10 3 5" xfId="9893"/>
    <cellStyle name="Normal 10 3 5 2" xfId="16374"/>
    <cellStyle name="Normal 10 3 6" xfId="8259"/>
    <cellStyle name="Normal 10 3 6 2" xfId="14816"/>
    <cellStyle name="Normal 10 3 7" xfId="6540"/>
    <cellStyle name="Normal 10 3 7 2" xfId="13230"/>
    <cellStyle name="Normal 10 3 8" xfId="11440"/>
    <cellStyle name="Normal 10 4" xfId="4729"/>
    <cellStyle name="Normal 10 4 2" xfId="8473"/>
    <cellStyle name="Normal 10 4 2 2" xfId="15025"/>
    <cellStyle name="Normal 10 4 3" xfId="6754"/>
    <cellStyle name="Normal 10 4 3 2" xfId="13444"/>
    <cellStyle name="Normal 10 4 4" xfId="11658"/>
    <cellStyle name="Normal 10 5" xfId="5125"/>
    <cellStyle name="Normal 10 5 2" xfId="8868"/>
    <cellStyle name="Normal 10 5 2 2" xfId="15412"/>
    <cellStyle name="Normal 10 5 3" xfId="7149"/>
    <cellStyle name="Normal 10 5 3 2" xfId="13831"/>
    <cellStyle name="Normal 10 5 4" xfId="12046"/>
    <cellStyle name="Normal 10 6" xfId="5558"/>
    <cellStyle name="Normal 10 6 2" xfId="9299"/>
    <cellStyle name="Normal 10 6 2 2" xfId="15806"/>
    <cellStyle name="Normal 10 6 3" xfId="7580"/>
    <cellStyle name="Normal 10 6 3 2" xfId="14225"/>
    <cellStyle name="Normal 10 6 4" xfId="12451"/>
    <cellStyle name="Normal 10 7" xfId="9717"/>
    <cellStyle name="Normal 10 7 2" xfId="16210"/>
    <cellStyle name="Normal 10 8" xfId="8019"/>
    <cellStyle name="Normal 10 8 2" xfId="14619"/>
    <cellStyle name="Normal 10 9" xfId="6292"/>
    <cellStyle name="Normal 10 9 2" xfId="13015"/>
    <cellStyle name="Normal 11" xfId="4085"/>
    <cellStyle name="Normal 11 10" xfId="11236"/>
    <cellStyle name="Normal 11 2" xfId="4086"/>
    <cellStyle name="Normal 11 2 2" xfId="4498"/>
    <cellStyle name="Normal 11 2 2 2" xfId="4898"/>
    <cellStyle name="Normal 11 2 2 2 2" xfId="8641"/>
    <cellStyle name="Normal 11 2 2 2 2 2" xfId="15189"/>
    <cellStyle name="Normal 11 2 2 2 3" xfId="6922"/>
    <cellStyle name="Normal 11 2 2 2 3 2" xfId="13608"/>
    <cellStyle name="Normal 11 2 2 2 4" xfId="11823"/>
    <cellStyle name="Normal 11 2 2 3" xfId="5325"/>
    <cellStyle name="Normal 11 2 2 3 2" xfId="9068"/>
    <cellStyle name="Normal 11 2 2 3 2 2" xfId="15612"/>
    <cellStyle name="Normal 11 2 2 3 3" xfId="7349"/>
    <cellStyle name="Normal 11 2 2 3 3 2" xfId="14031"/>
    <cellStyle name="Normal 11 2 2 3 4" xfId="12246"/>
    <cellStyle name="Normal 11 2 2 4" xfId="5763"/>
    <cellStyle name="Normal 11 2 2 4 2" xfId="9504"/>
    <cellStyle name="Normal 11 2 2 4 2 2" xfId="16006"/>
    <cellStyle name="Normal 11 2 2 4 3" xfId="7785"/>
    <cellStyle name="Normal 11 2 2 4 3 2" xfId="14425"/>
    <cellStyle name="Normal 11 2 2 4 4" xfId="12656"/>
    <cellStyle name="Normal 11 2 2 5" xfId="9894"/>
    <cellStyle name="Normal 11 2 2 5 2" xfId="16375"/>
    <cellStyle name="Normal 11 2 2 6" xfId="8262"/>
    <cellStyle name="Normal 11 2 2 6 2" xfId="14819"/>
    <cellStyle name="Normal 11 2 2 7" xfId="6543"/>
    <cellStyle name="Normal 11 2 2 7 2" xfId="13233"/>
    <cellStyle name="Normal 11 2 2 8" xfId="11443"/>
    <cellStyle name="Normal 11 2 3" xfId="4784"/>
    <cellStyle name="Normal 11 2 3 2" xfId="8527"/>
    <cellStyle name="Normal 11 2 3 2 2" xfId="15079"/>
    <cellStyle name="Normal 11 2 3 3" xfId="6808"/>
    <cellStyle name="Normal 11 2 3 3 2" xfId="13498"/>
    <cellStyle name="Normal 11 2 3 4" xfId="11713"/>
    <cellStyle name="Normal 11 2 4" xfId="5128"/>
    <cellStyle name="Normal 11 2 4 2" xfId="8871"/>
    <cellStyle name="Normal 11 2 4 2 2" xfId="15415"/>
    <cellStyle name="Normal 11 2 4 3" xfId="7152"/>
    <cellStyle name="Normal 11 2 4 3 2" xfId="13834"/>
    <cellStyle name="Normal 11 2 4 4" xfId="12049"/>
    <cellStyle name="Normal 11 2 5" xfId="5561"/>
    <cellStyle name="Normal 11 2 5 2" xfId="9302"/>
    <cellStyle name="Normal 11 2 5 2 2" xfId="15809"/>
    <cellStyle name="Normal 11 2 5 3" xfId="7583"/>
    <cellStyle name="Normal 11 2 5 3 2" xfId="14228"/>
    <cellStyle name="Normal 11 2 5 4" xfId="12454"/>
    <cellStyle name="Normal 11 2 6" xfId="9774"/>
    <cellStyle name="Normal 11 2 6 2" xfId="16265"/>
    <cellStyle name="Normal 11 2 7" xfId="8022"/>
    <cellStyle name="Normal 11 2 7 2" xfId="14622"/>
    <cellStyle name="Normal 11 2 8" xfId="6295"/>
    <cellStyle name="Normal 11 2 8 2" xfId="13018"/>
    <cellStyle name="Normal 11 2 9" xfId="11237"/>
    <cellStyle name="Normal 11 3" xfId="4497"/>
    <cellStyle name="Normal 11 3 2" xfId="4899"/>
    <cellStyle name="Normal 11 3 2 2" xfId="8642"/>
    <cellStyle name="Normal 11 3 2 2 2" xfId="15190"/>
    <cellStyle name="Normal 11 3 2 3" xfId="6923"/>
    <cellStyle name="Normal 11 3 2 3 2" xfId="13609"/>
    <cellStyle name="Normal 11 3 2 4" xfId="11824"/>
    <cellStyle name="Normal 11 3 3" xfId="5324"/>
    <cellStyle name="Normal 11 3 3 2" xfId="9067"/>
    <cellStyle name="Normal 11 3 3 2 2" xfId="15611"/>
    <cellStyle name="Normal 11 3 3 3" xfId="7348"/>
    <cellStyle name="Normal 11 3 3 3 2" xfId="14030"/>
    <cellStyle name="Normal 11 3 3 4" xfId="12245"/>
    <cellStyle name="Normal 11 3 4" xfId="5762"/>
    <cellStyle name="Normal 11 3 4 2" xfId="9503"/>
    <cellStyle name="Normal 11 3 4 2 2" xfId="16005"/>
    <cellStyle name="Normal 11 3 4 3" xfId="7784"/>
    <cellStyle name="Normal 11 3 4 3 2" xfId="14424"/>
    <cellStyle name="Normal 11 3 4 4" xfId="12655"/>
    <cellStyle name="Normal 11 3 5" xfId="9895"/>
    <cellStyle name="Normal 11 3 5 2" xfId="16376"/>
    <cellStyle name="Normal 11 3 6" xfId="8261"/>
    <cellStyle name="Normal 11 3 6 2" xfId="14818"/>
    <cellStyle name="Normal 11 3 7" xfId="6542"/>
    <cellStyle name="Normal 11 3 7 2" xfId="13232"/>
    <cellStyle name="Normal 11 3 8" xfId="11442"/>
    <cellStyle name="Normal 11 4" xfId="4702"/>
    <cellStyle name="Normal 11 4 2" xfId="8446"/>
    <cellStyle name="Normal 11 4 2 2" xfId="14998"/>
    <cellStyle name="Normal 11 4 3" xfId="6727"/>
    <cellStyle name="Normal 11 4 3 2" xfId="13417"/>
    <cellStyle name="Normal 11 4 4" xfId="11631"/>
    <cellStyle name="Normal 11 5" xfId="5127"/>
    <cellStyle name="Normal 11 5 2" xfId="8870"/>
    <cellStyle name="Normal 11 5 2 2" xfId="15414"/>
    <cellStyle name="Normal 11 5 3" xfId="7151"/>
    <cellStyle name="Normal 11 5 3 2" xfId="13833"/>
    <cellStyle name="Normal 11 5 4" xfId="12048"/>
    <cellStyle name="Normal 11 6" xfId="5560"/>
    <cellStyle name="Normal 11 6 2" xfId="9301"/>
    <cellStyle name="Normal 11 6 2 2" xfId="15808"/>
    <cellStyle name="Normal 11 6 3" xfId="7582"/>
    <cellStyle name="Normal 11 6 3 2" xfId="14227"/>
    <cellStyle name="Normal 11 6 4" xfId="12453"/>
    <cellStyle name="Normal 11 7" xfId="9690"/>
    <cellStyle name="Normal 11 7 2" xfId="16183"/>
    <cellStyle name="Normal 11 8" xfId="8021"/>
    <cellStyle name="Normal 11 8 2" xfId="14621"/>
    <cellStyle name="Normal 11 9" xfId="6294"/>
    <cellStyle name="Normal 11 9 2" xfId="13017"/>
    <cellStyle name="Normal 12" xfId="4087"/>
    <cellStyle name="Normal 12 10" xfId="11238"/>
    <cellStyle name="Normal 12 2" xfId="4088"/>
    <cellStyle name="Normal 12 2 2" xfId="4500"/>
    <cellStyle name="Normal 12 2 2 2" xfId="4900"/>
    <cellStyle name="Normal 12 2 2 2 2" xfId="8643"/>
    <cellStyle name="Normal 12 2 2 2 2 2" xfId="15191"/>
    <cellStyle name="Normal 12 2 2 2 3" xfId="6924"/>
    <cellStyle name="Normal 12 2 2 2 3 2" xfId="13610"/>
    <cellStyle name="Normal 12 2 2 2 4" xfId="11825"/>
    <cellStyle name="Normal 12 2 2 3" xfId="5327"/>
    <cellStyle name="Normal 12 2 2 3 2" xfId="9070"/>
    <cellStyle name="Normal 12 2 2 3 2 2" xfId="15614"/>
    <cellStyle name="Normal 12 2 2 3 3" xfId="7351"/>
    <cellStyle name="Normal 12 2 2 3 3 2" xfId="14033"/>
    <cellStyle name="Normal 12 2 2 3 4" xfId="12248"/>
    <cellStyle name="Normal 12 2 2 4" xfId="5765"/>
    <cellStyle name="Normal 12 2 2 4 2" xfId="9506"/>
    <cellStyle name="Normal 12 2 2 4 2 2" xfId="16008"/>
    <cellStyle name="Normal 12 2 2 4 3" xfId="7787"/>
    <cellStyle name="Normal 12 2 2 4 3 2" xfId="14427"/>
    <cellStyle name="Normal 12 2 2 4 4" xfId="12658"/>
    <cellStyle name="Normal 12 2 2 5" xfId="9896"/>
    <cellStyle name="Normal 12 2 2 5 2" xfId="16377"/>
    <cellStyle name="Normal 12 2 2 6" xfId="8264"/>
    <cellStyle name="Normal 12 2 2 6 2" xfId="14821"/>
    <cellStyle name="Normal 12 2 2 7" xfId="6545"/>
    <cellStyle name="Normal 12 2 2 7 2" xfId="13235"/>
    <cellStyle name="Normal 12 2 2 8" xfId="11445"/>
    <cellStyle name="Normal 12 2 3" xfId="4785"/>
    <cellStyle name="Normal 12 2 3 2" xfId="8528"/>
    <cellStyle name="Normal 12 2 3 2 2" xfId="15080"/>
    <cellStyle name="Normal 12 2 3 3" xfId="6809"/>
    <cellStyle name="Normal 12 2 3 3 2" xfId="13499"/>
    <cellStyle name="Normal 12 2 3 4" xfId="11714"/>
    <cellStyle name="Normal 12 2 4" xfId="5130"/>
    <cellStyle name="Normal 12 2 4 2" xfId="8873"/>
    <cellStyle name="Normal 12 2 4 2 2" xfId="15417"/>
    <cellStyle name="Normal 12 2 4 3" xfId="7154"/>
    <cellStyle name="Normal 12 2 4 3 2" xfId="13836"/>
    <cellStyle name="Normal 12 2 4 4" xfId="12051"/>
    <cellStyle name="Normal 12 2 5" xfId="5563"/>
    <cellStyle name="Normal 12 2 5 2" xfId="9304"/>
    <cellStyle name="Normal 12 2 5 2 2" xfId="15811"/>
    <cellStyle name="Normal 12 2 5 3" xfId="7585"/>
    <cellStyle name="Normal 12 2 5 3 2" xfId="14230"/>
    <cellStyle name="Normal 12 2 5 4" xfId="12456"/>
    <cellStyle name="Normal 12 2 6" xfId="9775"/>
    <cellStyle name="Normal 12 2 6 2" xfId="16266"/>
    <cellStyle name="Normal 12 2 7" xfId="8024"/>
    <cellStyle name="Normal 12 2 7 2" xfId="14624"/>
    <cellStyle name="Normal 12 2 8" xfId="6297"/>
    <cellStyle name="Normal 12 2 8 2" xfId="13020"/>
    <cellStyle name="Normal 12 2 9" xfId="11239"/>
    <cellStyle name="Normal 12 3" xfId="4499"/>
    <cellStyle name="Normal 12 3 2" xfId="4901"/>
    <cellStyle name="Normal 12 3 2 2" xfId="8644"/>
    <cellStyle name="Normal 12 3 2 2 2" xfId="15192"/>
    <cellStyle name="Normal 12 3 2 3" xfId="6925"/>
    <cellStyle name="Normal 12 3 2 3 2" xfId="13611"/>
    <cellStyle name="Normal 12 3 2 4" xfId="11826"/>
    <cellStyle name="Normal 12 3 3" xfId="5326"/>
    <cellStyle name="Normal 12 3 3 2" xfId="9069"/>
    <cellStyle name="Normal 12 3 3 2 2" xfId="15613"/>
    <cellStyle name="Normal 12 3 3 3" xfId="7350"/>
    <cellStyle name="Normal 12 3 3 3 2" xfId="14032"/>
    <cellStyle name="Normal 12 3 3 4" xfId="12247"/>
    <cellStyle name="Normal 12 3 4" xfId="5764"/>
    <cellStyle name="Normal 12 3 4 2" xfId="9505"/>
    <cellStyle name="Normal 12 3 4 2 2" xfId="16007"/>
    <cellStyle name="Normal 12 3 4 3" xfId="7786"/>
    <cellStyle name="Normal 12 3 4 3 2" xfId="14426"/>
    <cellStyle name="Normal 12 3 4 4" xfId="12657"/>
    <cellStyle name="Normal 12 3 5" xfId="9897"/>
    <cellStyle name="Normal 12 3 5 2" xfId="16378"/>
    <cellStyle name="Normal 12 3 6" xfId="8263"/>
    <cellStyle name="Normal 12 3 6 2" xfId="14820"/>
    <cellStyle name="Normal 12 3 7" xfId="6544"/>
    <cellStyle name="Normal 12 3 7 2" xfId="13234"/>
    <cellStyle name="Normal 12 3 8" xfId="11444"/>
    <cellStyle name="Normal 12 4" xfId="4703"/>
    <cellStyle name="Normal 12 4 2" xfId="8447"/>
    <cellStyle name="Normal 12 4 2 2" xfId="14999"/>
    <cellStyle name="Normal 12 4 3" xfId="6728"/>
    <cellStyle name="Normal 12 4 3 2" xfId="13418"/>
    <cellStyle name="Normal 12 4 4" xfId="11632"/>
    <cellStyle name="Normal 12 5" xfId="5129"/>
    <cellStyle name="Normal 12 5 2" xfId="8872"/>
    <cellStyle name="Normal 12 5 2 2" xfId="15416"/>
    <cellStyle name="Normal 12 5 3" xfId="7153"/>
    <cellStyle name="Normal 12 5 3 2" xfId="13835"/>
    <cellStyle name="Normal 12 5 4" xfId="12050"/>
    <cellStyle name="Normal 12 6" xfId="5562"/>
    <cellStyle name="Normal 12 6 2" xfId="9303"/>
    <cellStyle name="Normal 12 6 2 2" xfId="15810"/>
    <cellStyle name="Normal 12 6 3" xfId="7584"/>
    <cellStyle name="Normal 12 6 3 2" xfId="14229"/>
    <cellStyle name="Normal 12 6 4" xfId="12455"/>
    <cellStyle name="Normal 12 7" xfId="9691"/>
    <cellStyle name="Normal 12 7 2" xfId="16184"/>
    <cellStyle name="Normal 12 8" xfId="8023"/>
    <cellStyle name="Normal 12 8 2" xfId="14623"/>
    <cellStyle name="Normal 12 9" xfId="6296"/>
    <cellStyle name="Normal 12 9 2" xfId="13019"/>
    <cellStyle name="Normal 13" xfId="4089"/>
    <cellStyle name="Normal 13 10" xfId="11240"/>
    <cellStyle name="Normal 13 2" xfId="4090"/>
    <cellStyle name="Normal 13 2 2" xfId="4502"/>
    <cellStyle name="Normal 13 2 2 2" xfId="4902"/>
    <cellStyle name="Normal 13 2 2 2 2" xfId="8645"/>
    <cellStyle name="Normal 13 2 2 2 2 2" xfId="15193"/>
    <cellStyle name="Normal 13 2 2 2 3" xfId="6926"/>
    <cellStyle name="Normal 13 2 2 2 3 2" xfId="13612"/>
    <cellStyle name="Normal 13 2 2 2 4" xfId="11827"/>
    <cellStyle name="Normal 13 2 2 3" xfId="5329"/>
    <cellStyle name="Normal 13 2 2 3 2" xfId="9072"/>
    <cellStyle name="Normal 13 2 2 3 2 2" xfId="15616"/>
    <cellStyle name="Normal 13 2 2 3 3" xfId="7353"/>
    <cellStyle name="Normal 13 2 2 3 3 2" xfId="14035"/>
    <cellStyle name="Normal 13 2 2 3 4" xfId="12250"/>
    <cellStyle name="Normal 13 2 2 4" xfId="5767"/>
    <cellStyle name="Normal 13 2 2 4 2" xfId="9508"/>
    <cellStyle name="Normal 13 2 2 4 2 2" xfId="16010"/>
    <cellStyle name="Normal 13 2 2 4 3" xfId="7789"/>
    <cellStyle name="Normal 13 2 2 4 3 2" xfId="14429"/>
    <cellStyle name="Normal 13 2 2 4 4" xfId="12660"/>
    <cellStyle name="Normal 13 2 2 5" xfId="9898"/>
    <cellStyle name="Normal 13 2 2 5 2" xfId="16379"/>
    <cellStyle name="Normal 13 2 2 6" xfId="8266"/>
    <cellStyle name="Normal 13 2 2 6 2" xfId="14823"/>
    <cellStyle name="Normal 13 2 2 7" xfId="6547"/>
    <cellStyle name="Normal 13 2 2 7 2" xfId="13237"/>
    <cellStyle name="Normal 13 2 2 8" xfId="11447"/>
    <cellStyle name="Normal 13 2 3" xfId="4787"/>
    <cellStyle name="Normal 13 2 3 2" xfId="8530"/>
    <cellStyle name="Normal 13 2 3 2 2" xfId="15082"/>
    <cellStyle name="Normal 13 2 3 3" xfId="6811"/>
    <cellStyle name="Normal 13 2 3 3 2" xfId="13501"/>
    <cellStyle name="Normal 13 2 3 4" xfId="11716"/>
    <cellStyle name="Normal 13 2 4" xfId="5132"/>
    <cellStyle name="Normal 13 2 4 2" xfId="8875"/>
    <cellStyle name="Normal 13 2 4 2 2" xfId="15419"/>
    <cellStyle name="Normal 13 2 4 3" xfId="7156"/>
    <cellStyle name="Normal 13 2 4 3 2" xfId="13838"/>
    <cellStyle name="Normal 13 2 4 4" xfId="12053"/>
    <cellStyle name="Normal 13 2 5" xfId="5565"/>
    <cellStyle name="Normal 13 2 5 2" xfId="9306"/>
    <cellStyle name="Normal 13 2 5 2 2" xfId="15813"/>
    <cellStyle name="Normal 13 2 5 3" xfId="7587"/>
    <cellStyle name="Normal 13 2 5 3 2" xfId="14232"/>
    <cellStyle name="Normal 13 2 5 4" xfId="12458"/>
    <cellStyle name="Normal 13 2 6" xfId="9777"/>
    <cellStyle name="Normal 13 2 6 2" xfId="16268"/>
    <cellStyle name="Normal 13 2 7" xfId="8026"/>
    <cellStyle name="Normal 13 2 7 2" xfId="14626"/>
    <cellStyle name="Normal 13 2 8" xfId="6299"/>
    <cellStyle name="Normal 13 2 8 2" xfId="13022"/>
    <cellStyle name="Normal 13 2 9" xfId="11241"/>
    <cellStyle name="Normal 13 3" xfId="4501"/>
    <cellStyle name="Normal 13 3 2" xfId="4903"/>
    <cellStyle name="Normal 13 3 2 2" xfId="8646"/>
    <cellStyle name="Normal 13 3 2 2 2" xfId="15194"/>
    <cellStyle name="Normal 13 3 2 3" xfId="6927"/>
    <cellStyle name="Normal 13 3 2 3 2" xfId="13613"/>
    <cellStyle name="Normal 13 3 2 4" xfId="11828"/>
    <cellStyle name="Normal 13 3 3" xfId="5328"/>
    <cellStyle name="Normal 13 3 3 2" xfId="9071"/>
    <cellStyle name="Normal 13 3 3 2 2" xfId="15615"/>
    <cellStyle name="Normal 13 3 3 3" xfId="7352"/>
    <cellStyle name="Normal 13 3 3 3 2" xfId="14034"/>
    <cellStyle name="Normal 13 3 3 4" xfId="12249"/>
    <cellStyle name="Normal 13 3 4" xfId="5766"/>
    <cellStyle name="Normal 13 3 4 2" xfId="9507"/>
    <cellStyle name="Normal 13 3 4 2 2" xfId="16009"/>
    <cellStyle name="Normal 13 3 4 3" xfId="7788"/>
    <cellStyle name="Normal 13 3 4 3 2" xfId="14428"/>
    <cellStyle name="Normal 13 3 4 4" xfId="12659"/>
    <cellStyle name="Normal 13 3 5" xfId="9899"/>
    <cellStyle name="Normal 13 3 5 2" xfId="16380"/>
    <cellStyle name="Normal 13 3 6" xfId="8265"/>
    <cellStyle name="Normal 13 3 6 2" xfId="14822"/>
    <cellStyle name="Normal 13 3 7" xfId="6546"/>
    <cellStyle name="Normal 13 3 7 2" xfId="13236"/>
    <cellStyle name="Normal 13 3 8" xfId="11446"/>
    <cellStyle name="Normal 13 4" xfId="4705"/>
    <cellStyle name="Normal 13 4 2" xfId="8449"/>
    <cellStyle name="Normal 13 4 2 2" xfId="15001"/>
    <cellStyle name="Normal 13 4 3" xfId="6730"/>
    <cellStyle name="Normal 13 4 3 2" xfId="13420"/>
    <cellStyle name="Normal 13 4 4" xfId="11634"/>
    <cellStyle name="Normal 13 5" xfId="5131"/>
    <cellStyle name="Normal 13 5 2" xfId="8874"/>
    <cellStyle name="Normal 13 5 2 2" xfId="15418"/>
    <cellStyle name="Normal 13 5 3" xfId="7155"/>
    <cellStyle name="Normal 13 5 3 2" xfId="13837"/>
    <cellStyle name="Normal 13 5 4" xfId="12052"/>
    <cellStyle name="Normal 13 6" xfId="5564"/>
    <cellStyle name="Normal 13 6 2" xfId="9305"/>
    <cellStyle name="Normal 13 6 2 2" xfId="15812"/>
    <cellStyle name="Normal 13 6 3" xfId="7586"/>
    <cellStyle name="Normal 13 6 3 2" xfId="14231"/>
    <cellStyle name="Normal 13 6 4" xfId="12457"/>
    <cellStyle name="Normal 13 7" xfId="9693"/>
    <cellStyle name="Normal 13 7 2" xfId="16186"/>
    <cellStyle name="Normal 13 8" xfId="8025"/>
    <cellStyle name="Normal 13 8 2" xfId="14625"/>
    <cellStyle name="Normal 13 9" xfId="6298"/>
    <cellStyle name="Normal 13 9 2" xfId="13021"/>
    <cellStyle name="Normal 14" xfId="4091"/>
    <cellStyle name="Normal 14 10" xfId="11242"/>
    <cellStyle name="Normal 14 10 18" xfId="4092"/>
    <cellStyle name="Normal 14 10 18 10" xfId="11243"/>
    <cellStyle name="Normal 14 10 18 2" xfId="4093"/>
    <cellStyle name="Normal 14 10 18 2 2" xfId="4505"/>
    <cellStyle name="Normal 14 10 18 2 2 2" xfId="4904"/>
    <cellStyle name="Normal 14 10 18 2 2 2 2" xfId="8647"/>
    <cellStyle name="Normal 14 10 18 2 2 2 2 2" xfId="15195"/>
    <cellStyle name="Normal 14 10 18 2 2 2 3" xfId="6928"/>
    <cellStyle name="Normal 14 10 18 2 2 2 3 2" xfId="13614"/>
    <cellStyle name="Normal 14 10 18 2 2 2 4" xfId="11829"/>
    <cellStyle name="Normal 14 10 18 2 2 3" xfId="5332"/>
    <cellStyle name="Normal 14 10 18 2 2 3 2" xfId="9075"/>
    <cellStyle name="Normal 14 10 18 2 2 3 2 2" xfId="15619"/>
    <cellStyle name="Normal 14 10 18 2 2 3 3" xfId="7356"/>
    <cellStyle name="Normal 14 10 18 2 2 3 3 2" xfId="14038"/>
    <cellStyle name="Normal 14 10 18 2 2 3 4" xfId="12253"/>
    <cellStyle name="Normal 14 10 18 2 2 4" xfId="5770"/>
    <cellStyle name="Normal 14 10 18 2 2 4 2" xfId="9511"/>
    <cellStyle name="Normal 14 10 18 2 2 4 2 2" xfId="16013"/>
    <cellStyle name="Normal 14 10 18 2 2 4 3" xfId="7792"/>
    <cellStyle name="Normal 14 10 18 2 2 4 3 2" xfId="14432"/>
    <cellStyle name="Normal 14 10 18 2 2 4 4" xfId="12663"/>
    <cellStyle name="Normal 14 10 18 2 2 5" xfId="9900"/>
    <cellStyle name="Normal 14 10 18 2 2 5 2" xfId="16381"/>
    <cellStyle name="Normal 14 10 18 2 2 6" xfId="8269"/>
    <cellStyle name="Normal 14 10 18 2 2 6 2" xfId="14826"/>
    <cellStyle name="Normal 14 10 18 2 2 7" xfId="6550"/>
    <cellStyle name="Normal 14 10 18 2 2 7 2" xfId="13240"/>
    <cellStyle name="Normal 14 10 18 2 2 8" xfId="11450"/>
    <cellStyle name="Normal 14 10 18 2 3" xfId="4759"/>
    <cellStyle name="Normal 14 10 18 2 3 2" xfId="8502"/>
    <cellStyle name="Normal 14 10 18 2 3 2 2" xfId="15054"/>
    <cellStyle name="Normal 14 10 18 2 3 3" xfId="6783"/>
    <cellStyle name="Normal 14 10 18 2 3 3 2" xfId="13473"/>
    <cellStyle name="Normal 14 10 18 2 3 4" xfId="11688"/>
    <cellStyle name="Normal 14 10 18 2 4" xfId="5135"/>
    <cellStyle name="Normal 14 10 18 2 4 2" xfId="8878"/>
    <cellStyle name="Normal 14 10 18 2 4 2 2" xfId="15422"/>
    <cellStyle name="Normal 14 10 18 2 4 3" xfId="7159"/>
    <cellStyle name="Normal 14 10 18 2 4 3 2" xfId="13841"/>
    <cellStyle name="Normal 14 10 18 2 4 4" xfId="12056"/>
    <cellStyle name="Normal 14 10 18 2 5" xfId="5568"/>
    <cellStyle name="Normal 14 10 18 2 5 2" xfId="9309"/>
    <cellStyle name="Normal 14 10 18 2 5 2 2" xfId="15816"/>
    <cellStyle name="Normal 14 10 18 2 5 3" xfId="7590"/>
    <cellStyle name="Normal 14 10 18 2 5 3 2" xfId="14235"/>
    <cellStyle name="Normal 14 10 18 2 5 4" xfId="12461"/>
    <cellStyle name="Normal 14 10 18 2 6" xfId="9749"/>
    <cellStyle name="Normal 14 10 18 2 6 2" xfId="16240"/>
    <cellStyle name="Normal 14 10 18 2 7" xfId="8029"/>
    <cellStyle name="Normal 14 10 18 2 7 2" xfId="14629"/>
    <cellStyle name="Normal 14 10 18 2 8" xfId="6302"/>
    <cellStyle name="Normal 14 10 18 2 8 2" xfId="13025"/>
    <cellStyle name="Normal 14 10 18 2 9" xfId="11244"/>
    <cellStyle name="Normal 14 10 18 3" xfId="4504"/>
    <cellStyle name="Normal 14 10 18 3 2" xfId="4905"/>
    <cellStyle name="Normal 14 10 18 3 2 2" xfId="8648"/>
    <cellStyle name="Normal 14 10 18 3 2 2 2" xfId="15196"/>
    <cellStyle name="Normal 14 10 18 3 2 3" xfId="6929"/>
    <cellStyle name="Normal 14 10 18 3 2 3 2" xfId="13615"/>
    <cellStyle name="Normal 14 10 18 3 2 4" xfId="11830"/>
    <cellStyle name="Normal 14 10 18 3 3" xfId="5331"/>
    <cellStyle name="Normal 14 10 18 3 3 2" xfId="9074"/>
    <cellStyle name="Normal 14 10 18 3 3 2 2" xfId="15618"/>
    <cellStyle name="Normal 14 10 18 3 3 3" xfId="7355"/>
    <cellStyle name="Normal 14 10 18 3 3 3 2" xfId="14037"/>
    <cellStyle name="Normal 14 10 18 3 3 4" xfId="12252"/>
    <cellStyle name="Normal 14 10 18 3 4" xfId="5769"/>
    <cellStyle name="Normal 14 10 18 3 4 2" xfId="9510"/>
    <cellStyle name="Normal 14 10 18 3 4 2 2" xfId="16012"/>
    <cellStyle name="Normal 14 10 18 3 4 3" xfId="7791"/>
    <cellStyle name="Normal 14 10 18 3 4 3 2" xfId="14431"/>
    <cellStyle name="Normal 14 10 18 3 4 4" xfId="12662"/>
    <cellStyle name="Normal 14 10 18 3 5" xfId="9901"/>
    <cellStyle name="Normal 14 10 18 3 5 2" xfId="16382"/>
    <cellStyle name="Normal 14 10 18 3 6" xfId="8268"/>
    <cellStyle name="Normal 14 10 18 3 6 2" xfId="14825"/>
    <cellStyle name="Normal 14 10 18 3 7" xfId="6549"/>
    <cellStyle name="Normal 14 10 18 3 7 2" xfId="13239"/>
    <cellStyle name="Normal 14 10 18 3 8" xfId="11449"/>
    <cellStyle name="Normal 14 10 18 4" xfId="4696"/>
    <cellStyle name="Normal 14 10 18 4 2" xfId="8441"/>
    <cellStyle name="Normal 14 10 18 4 2 2" xfId="14993"/>
    <cellStyle name="Normal 14 10 18 4 3" xfId="6722"/>
    <cellStyle name="Normal 14 10 18 4 3 2" xfId="13412"/>
    <cellStyle name="Normal 14 10 18 4 4" xfId="11626"/>
    <cellStyle name="Normal 14 10 18 5" xfId="5134"/>
    <cellStyle name="Normal 14 10 18 5 2" xfId="8877"/>
    <cellStyle name="Normal 14 10 18 5 2 2" xfId="15421"/>
    <cellStyle name="Normal 14 10 18 5 3" xfId="7158"/>
    <cellStyle name="Normal 14 10 18 5 3 2" xfId="13840"/>
    <cellStyle name="Normal 14 10 18 5 4" xfId="12055"/>
    <cellStyle name="Normal 14 10 18 6" xfId="5567"/>
    <cellStyle name="Normal 14 10 18 6 2" xfId="9308"/>
    <cellStyle name="Normal 14 10 18 6 2 2" xfId="15815"/>
    <cellStyle name="Normal 14 10 18 6 3" xfId="7589"/>
    <cellStyle name="Normal 14 10 18 6 3 2" xfId="14234"/>
    <cellStyle name="Normal 14 10 18 6 4" xfId="12460"/>
    <cellStyle name="Normal 14 10 18 7" xfId="9678"/>
    <cellStyle name="Normal 14 10 18 7 2" xfId="16178"/>
    <cellStyle name="Normal 14 10 18 8" xfId="8028"/>
    <cellStyle name="Normal 14 10 18 8 2" xfId="14628"/>
    <cellStyle name="Normal 14 10 18 9" xfId="6301"/>
    <cellStyle name="Normal 14 10 18 9 2" xfId="13024"/>
    <cellStyle name="Normal 14 2" xfId="4094"/>
    <cellStyle name="Normal 14 2 2" xfId="4506"/>
    <cellStyle name="Normal 14 2 2 2" xfId="4906"/>
    <cellStyle name="Normal 14 2 2 2 2" xfId="8649"/>
    <cellStyle name="Normal 14 2 2 2 2 2" xfId="15197"/>
    <cellStyle name="Normal 14 2 2 2 3" xfId="6930"/>
    <cellStyle name="Normal 14 2 2 2 3 2" xfId="13616"/>
    <cellStyle name="Normal 14 2 2 2 4" xfId="11831"/>
    <cellStyle name="Normal 14 2 2 3" xfId="5333"/>
    <cellStyle name="Normal 14 2 2 3 2" xfId="9076"/>
    <cellStyle name="Normal 14 2 2 3 2 2" xfId="15620"/>
    <cellStyle name="Normal 14 2 2 3 3" xfId="7357"/>
    <cellStyle name="Normal 14 2 2 3 3 2" xfId="14039"/>
    <cellStyle name="Normal 14 2 2 3 4" xfId="12254"/>
    <cellStyle name="Normal 14 2 2 4" xfId="5771"/>
    <cellStyle name="Normal 14 2 2 4 2" xfId="9512"/>
    <cellStyle name="Normal 14 2 2 4 2 2" xfId="16014"/>
    <cellStyle name="Normal 14 2 2 4 3" xfId="7793"/>
    <cellStyle name="Normal 14 2 2 4 3 2" xfId="14433"/>
    <cellStyle name="Normal 14 2 2 4 4" xfId="12664"/>
    <cellStyle name="Normal 14 2 2 5" xfId="9902"/>
    <cellStyle name="Normal 14 2 2 5 2" xfId="16383"/>
    <cellStyle name="Normal 14 2 2 6" xfId="8270"/>
    <cellStyle name="Normal 14 2 2 6 2" xfId="14827"/>
    <cellStyle name="Normal 14 2 2 7" xfId="6551"/>
    <cellStyle name="Normal 14 2 2 7 2" xfId="13241"/>
    <cellStyle name="Normal 14 2 2 8" xfId="11451"/>
    <cellStyle name="Normal 14 2 3" xfId="4790"/>
    <cellStyle name="Normal 14 2 3 2" xfId="8533"/>
    <cellStyle name="Normal 14 2 3 2 2" xfId="15085"/>
    <cellStyle name="Normal 14 2 3 3" xfId="6814"/>
    <cellStyle name="Normal 14 2 3 3 2" xfId="13504"/>
    <cellStyle name="Normal 14 2 3 4" xfId="11719"/>
    <cellStyle name="Normal 14 2 4" xfId="5136"/>
    <cellStyle name="Normal 14 2 4 2" xfId="8879"/>
    <cellStyle name="Normal 14 2 4 2 2" xfId="15423"/>
    <cellStyle name="Normal 14 2 4 3" xfId="7160"/>
    <cellStyle name="Normal 14 2 4 3 2" xfId="13842"/>
    <cellStyle name="Normal 14 2 4 4" xfId="12057"/>
    <cellStyle name="Normal 14 2 5" xfId="5569"/>
    <cellStyle name="Normal 14 2 5 2" xfId="9310"/>
    <cellStyle name="Normal 14 2 5 2 2" xfId="15817"/>
    <cellStyle name="Normal 14 2 5 3" xfId="7591"/>
    <cellStyle name="Normal 14 2 5 3 2" xfId="14236"/>
    <cellStyle name="Normal 14 2 5 4" xfId="12462"/>
    <cellStyle name="Normal 14 2 6" xfId="9780"/>
    <cellStyle name="Normal 14 2 6 2" xfId="16271"/>
    <cellStyle name="Normal 14 2 7" xfId="8030"/>
    <cellStyle name="Normal 14 2 7 2" xfId="14630"/>
    <cellStyle name="Normal 14 2 8" xfId="6303"/>
    <cellStyle name="Normal 14 2 8 2" xfId="13026"/>
    <cellStyle name="Normal 14 2 9" xfId="11245"/>
    <cellStyle name="Normal 14 3" xfId="4503"/>
    <cellStyle name="Normal 14 3 2" xfId="4907"/>
    <cellStyle name="Normal 14 3 2 2" xfId="8650"/>
    <cellStyle name="Normal 14 3 2 2 2" xfId="15198"/>
    <cellStyle name="Normal 14 3 2 3" xfId="6931"/>
    <cellStyle name="Normal 14 3 2 3 2" xfId="13617"/>
    <cellStyle name="Normal 14 3 2 4" xfId="11832"/>
    <cellStyle name="Normal 14 3 3" xfId="5330"/>
    <cellStyle name="Normal 14 3 3 2" xfId="9073"/>
    <cellStyle name="Normal 14 3 3 2 2" xfId="15617"/>
    <cellStyle name="Normal 14 3 3 3" xfId="7354"/>
    <cellStyle name="Normal 14 3 3 3 2" xfId="14036"/>
    <cellStyle name="Normal 14 3 3 4" xfId="12251"/>
    <cellStyle name="Normal 14 3 4" xfId="5768"/>
    <cellStyle name="Normal 14 3 4 2" xfId="9509"/>
    <cellStyle name="Normal 14 3 4 2 2" xfId="16011"/>
    <cellStyle name="Normal 14 3 4 3" xfId="7790"/>
    <cellStyle name="Normal 14 3 4 3 2" xfId="14430"/>
    <cellStyle name="Normal 14 3 4 4" xfId="12661"/>
    <cellStyle name="Normal 14 3 5" xfId="9903"/>
    <cellStyle name="Normal 14 3 5 2" xfId="16384"/>
    <cellStyle name="Normal 14 3 6" xfId="8267"/>
    <cellStyle name="Normal 14 3 6 2" xfId="14824"/>
    <cellStyle name="Normal 14 3 7" xfId="6548"/>
    <cellStyle name="Normal 14 3 7 2" xfId="13238"/>
    <cellStyle name="Normal 14 3 8" xfId="11448"/>
    <cellStyle name="Normal 14 4" xfId="4708"/>
    <cellStyle name="Normal 14 4 2" xfId="8452"/>
    <cellStyle name="Normal 14 4 2 2" xfId="15004"/>
    <cellStyle name="Normal 14 4 3" xfId="6733"/>
    <cellStyle name="Normal 14 4 3 2" xfId="13423"/>
    <cellStyle name="Normal 14 4 4" xfId="11637"/>
    <cellStyle name="Normal 14 5" xfId="5133"/>
    <cellStyle name="Normal 14 5 2" xfId="8876"/>
    <cellStyle name="Normal 14 5 2 2" xfId="15420"/>
    <cellStyle name="Normal 14 5 3" xfId="7157"/>
    <cellStyle name="Normal 14 5 3 2" xfId="13839"/>
    <cellStyle name="Normal 14 5 4" xfId="12054"/>
    <cellStyle name="Normal 14 6" xfId="5566"/>
    <cellStyle name="Normal 14 6 2" xfId="9307"/>
    <cellStyle name="Normal 14 6 2 2" xfId="15814"/>
    <cellStyle name="Normal 14 6 3" xfId="7588"/>
    <cellStyle name="Normal 14 6 3 2" xfId="14233"/>
    <cellStyle name="Normal 14 6 4" xfId="12459"/>
    <cellStyle name="Normal 14 7" xfId="9696"/>
    <cellStyle name="Normal 14 7 2" xfId="16189"/>
    <cellStyle name="Normal 14 8" xfId="8027"/>
    <cellStyle name="Normal 14 8 2" xfId="14627"/>
    <cellStyle name="Normal 14 9" xfId="6300"/>
    <cellStyle name="Normal 14 9 2" xfId="13023"/>
    <cellStyle name="Normal 15" xfId="4095"/>
    <cellStyle name="Normal 15 10" xfId="11246"/>
    <cellStyle name="Normal 15 2" xfId="4096"/>
    <cellStyle name="Normal 15 2 2" xfId="4508"/>
    <cellStyle name="Normal 15 2 2 2" xfId="4908"/>
    <cellStyle name="Normal 15 2 2 2 2" xfId="8651"/>
    <cellStyle name="Normal 15 2 2 2 2 2" xfId="15199"/>
    <cellStyle name="Normal 15 2 2 2 3" xfId="6932"/>
    <cellStyle name="Normal 15 2 2 2 3 2" xfId="13618"/>
    <cellStyle name="Normal 15 2 2 2 4" xfId="11833"/>
    <cellStyle name="Normal 15 2 2 3" xfId="5335"/>
    <cellStyle name="Normal 15 2 2 3 2" xfId="9078"/>
    <cellStyle name="Normal 15 2 2 3 2 2" xfId="15622"/>
    <cellStyle name="Normal 15 2 2 3 3" xfId="7359"/>
    <cellStyle name="Normal 15 2 2 3 3 2" xfId="14041"/>
    <cellStyle name="Normal 15 2 2 3 4" xfId="12256"/>
    <cellStyle name="Normal 15 2 2 4" xfId="5773"/>
    <cellStyle name="Normal 15 2 2 4 2" xfId="9514"/>
    <cellStyle name="Normal 15 2 2 4 2 2" xfId="16016"/>
    <cellStyle name="Normal 15 2 2 4 3" xfId="7795"/>
    <cellStyle name="Normal 15 2 2 4 3 2" xfId="14435"/>
    <cellStyle name="Normal 15 2 2 4 4" xfId="12666"/>
    <cellStyle name="Normal 15 2 2 5" xfId="9904"/>
    <cellStyle name="Normal 15 2 2 5 2" xfId="16385"/>
    <cellStyle name="Normal 15 2 2 6" xfId="8272"/>
    <cellStyle name="Normal 15 2 2 6 2" xfId="14829"/>
    <cellStyle name="Normal 15 2 2 7" xfId="6553"/>
    <cellStyle name="Normal 15 2 2 7 2" xfId="13243"/>
    <cellStyle name="Normal 15 2 2 8" xfId="11453"/>
    <cellStyle name="Normal 15 2 3" xfId="4792"/>
    <cellStyle name="Normal 15 2 3 2" xfId="8535"/>
    <cellStyle name="Normal 15 2 3 2 2" xfId="15087"/>
    <cellStyle name="Normal 15 2 3 3" xfId="6816"/>
    <cellStyle name="Normal 15 2 3 3 2" xfId="13506"/>
    <cellStyle name="Normal 15 2 3 4" xfId="11721"/>
    <cellStyle name="Normal 15 2 4" xfId="5138"/>
    <cellStyle name="Normal 15 2 4 2" xfId="8881"/>
    <cellStyle name="Normal 15 2 4 2 2" xfId="15425"/>
    <cellStyle name="Normal 15 2 4 3" xfId="7162"/>
    <cellStyle name="Normal 15 2 4 3 2" xfId="13844"/>
    <cellStyle name="Normal 15 2 4 4" xfId="12059"/>
    <cellStyle name="Normal 15 2 5" xfId="5571"/>
    <cellStyle name="Normal 15 2 5 2" xfId="9312"/>
    <cellStyle name="Normal 15 2 5 2 2" xfId="15819"/>
    <cellStyle name="Normal 15 2 5 3" xfId="7593"/>
    <cellStyle name="Normal 15 2 5 3 2" xfId="14238"/>
    <cellStyle name="Normal 15 2 5 4" xfId="12464"/>
    <cellStyle name="Normal 15 2 6" xfId="9782"/>
    <cellStyle name="Normal 15 2 6 2" xfId="16273"/>
    <cellStyle name="Normal 15 2 7" xfId="8032"/>
    <cellStyle name="Normal 15 2 7 2" xfId="14632"/>
    <cellStyle name="Normal 15 2 8" xfId="6305"/>
    <cellStyle name="Normal 15 2 8 2" xfId="13028"/>
    <cellStyle name="Normal 15 2 9" xfId="11247"/>
    <cellStyle name="Normal 15 3" xfId="4507"/>
    <cellStyle name="Normal 15 3 2" xfId="4909"/>
    <cellStyle name="Normal 15 3 2 2" xfId="8652"/>
    <cellStyle name="Normal 15 3 2 2 2" xfId="15200"/>
    <cellStyle name="Normal 15 3 2 3" xfId="6933"/>
    <cellStyle name="Normal 15 3 2 3 2" xfId="13619"/>
    <cellStyle name="Normal 15 3 2 4" xfId="11834"/>
    <cellStyle name="Normal 15 3 3" xfId="5334"/>
    <cellStyle name="Normal 15 3 3 2" xfId="9077"/>
    <cellStyle name="Normal 15 3 3 2 2" xfId="15621"/>
    <cellStyle name="Normal 15 3 3 3" xfId="7358"/>
    <cellStyle name="Normal 15 3 3 3 2" xfId="14040"/>
    <cellStyle name="Normal 15 3 3 4" xfId="12255"/>
    <cellStyle name="Normal 15 3 4" xfId="5772"/>
    <cellStyle name="Normal 15 3 4 2" xfId="9513"/>
    <cellStyle name="Normal 15 3 4 2 2" xfId="16015"/>
    <cellStyle name="Normal 15 3 4 3" xfId="7794"/>
    <cellStyle name="Normal 15 3 4 3 2" xfId="14434"/>
    <cellStyle name="Normal 15 3 4 4" xfId="12665"/>
    <cellStyle name="Normal 15 3 5" xfId="9905"/>
    <cellStyle name="Normal 15 3 5 2" xfId="16386"/>
    <cellStyle name="Normal 15 3 6" xfId="8271"/>
    <cellStyle name="Normal 15 3 6 2" xfId="14828"/>
    <cellStyle name="Normal 15 3 7" xfId="6552"/>
    <cellStyle name="Normal 15 3 7 2" xfId="13242"/>
    <cellStyle name="Normal 15 3 8" xfId="11452"/>
    <cellStyle name="Normal 15 4" xfId="4710"/>
    <cellStyle name="Normal 15 4 2" xfId="8454"/>
    <cellStyle name="Normal 15 4 2 2" xfId="15006"/>
    <cellStyle name="Normal 15 4 3" xfId="6735"/>
    <cellStyle name="Normal 15 4 3 2" xfId="13425"/>
    <cellStyle name="Normal 15 4 4" xfId="11639"/>
    <cellStyle name="Normal 15 5" xfId="5137"/>
    <cellStyle name="Normal 15 5 2" xfId="8880"/>
    <cellStyle name="Normal 15 5 2 2" xfId="15424"/>
    <cellStyle name="Normal 15 5 3" xfId="7161"/>
    <cellStyle name="Normal 15 5 3 2" xfId="13843"/>
    <cellStyle name="Normal 15 5 4" xfId="12058"/>
    <cellStyle name="Normal 15 6" xfId="5570"/>
    <cellStyle name="Normal 15 6 2" xfId="9311"/>
    <cellStyle name="Normal 15 6 2 2" xfId="15818"/>
    <cellStyle name="Normal 15 6 3" xfId="7592"/>
    <cellStyle name="Normal 15 6 3 2" xfId="14237"/>
    <cellStyle name="Normal 15 6 4" xfId="12463"/>
    <cellStyle name="Normal 15 7" xfId="9698"/>
    <cellStyle name="Normal 15 7 2" xfId="16191"/>
    <cellStyle name="Normal 15 8" xfId="8031"/>
    <cellStyle name="Normal 15 8 2" xfId="14631"/>
    <cellStyle name="Normal 15 9" xfId="6304"/>
    <cellStyle name="Normal 15 9 2" xfId="13027"/>
    <cellStyle name="Normal 16" xfId="4097"/>
    <cellStyle name="Normal 16 10" xfId="11248"/>
    <cellStyle name="Normal 16 2" xfId="4098"/>
    <cellStyle name="Normal 16 2 2" xfId="4510"/>
    <cellStyle name="Normal 16 2 2 2" xfId="4910"/>
    <cellStyle name="Normal 16 2 2 2 2" xfId="8653"/>
    <cellStyle name="Normal 16 2 2 2 2 2" xfId="15201"/>
    <cellStyle name="Normal 16 2 2 2 3" xfId="6934"/>
    <cellStyle name="Normal 16 2 2 2 3 2" xfId="13620"/>
    <cellStyle name="Normal 16 2 2 2 4" xfId="11835"/>
    <cellStyle name="Normal 16 2 2 3" xfId="5337"/>
    <cellStyle name="Normal 16 2 2 3 2" xfId="9080"/>
    <cellStyle name="Normal 16 2 2 3 2 2" xfId="15624"/>
    <cellStyle name="Normal 16 2 2 3 3" xfId="7361"/>
    <cellStyle name="Normal 16 2 2 3 3 2" xfId="14043"/>
    <cellStyle name="Normal 16 2 2 3 4" xfId="12258"/>
    <cellStyle name="Normal 16 2 2 4" xfId="5775"/>
    <cellStyle name="Normal 16 2 2 4 2" xfId="9516"/>
    <cellStyle name="Normal 16 2 2 4 2 2" xfId="16018"/>
    <cellStyle name="Normal 16 2 2 4 3" xfId="7797"/>
    <cellStyle name="Normal 16 2 2 4 3 2" xfId="14437"/>
    <cellStyle name="Normal 16 2 2 4 4" xfId="12668"/>
    <cellStyle name="Normal 16 2 2 5" xfId="9906"/>
    <cellStyle name="Normal 16 2 2 5 2" xfId="16387"/>
    <cellStyle name="Normal 16 2 2 6" xfId="8274"/>
    <cellStyle name="Normal 16 2 2 6 2" xfId="14831"/>
    <cellStyle name="Normal 16 2 2 7" xfId="6555"/>
    <cellStyle name="Normal 16 2 2 7 2" xfId="13245"/>
    <cellStyle name="Normal 16 2 2 8" xfId="11455"/>
    <cellStyle name="Normal 16 2 3" xfId="4793"/>
    <cellStyle name="Normal 16 2 3 2" xfId="8536"/>
    <cellStyle name="Normal 16 2 3 2 2" xfId="15088"/>
    <cellStyle name="Normal 16 2 3 3" xfId="6817"/>
    <cellStyle name="Normal 16 2 3 3 2" xfId="13507"/>
    <cellStyle name="Normal 16 2 3 4" xfId="11722"/>
    <cellStyle name="Normal 16 2 4" xfId="5140"/>
    <cellStyle name="Normal 16 2 4 2" xfId="8883"/>
    <cellStyle name="Normal 16 2 4 2 2" xfId="15427"/>
    <cellStyle name="Normal 16 2 4 3" xfId="7164"/>
    <cellStyle name="Normal 16 2 4 3 2" xfId="13846"/>
    <cellStyle name="Normal 16 2 4 4" xfId="12061"/>
    <cellStyle name="Normal 16 2 5" xfId="5573"/>
    <cellStyle name="Normal 16 2 5 2" xfId="9314"/>
    <cellStyle name="Normal 16 2 5 2 2" xfId="15821"/>
    <cellStyle name="Normal 16 2 5 3" xfId="7595"/>
    <cellStyle name="Normal 16 2 5 3 2" xfId="14240"/>
    <cellStyle name="Normal 16 2 5 4" xfId="12466"/>
    <cellStyle name="Normal 16 2 6" xfId="9783"/>
    <cellStyle name="Normal 16 2 6 2" xfId="16274"/>
    <cellStyle name="Normal 16 2 7" xfId="8034"/>
    <cellStyle name="Normal 16 2 7 2" xfId="14634"/>
    <cellStyle name="Normal 16 2 8" xfId="6307"/>
    <cellStyle name="Normal 16 2 8 2" xfId="13030"/>
    <cellStyle name="Normal 16 2 9" xfId="11249"/>
    <cellStyle name="Normal 16 3" xfId="4509"/>
    <cellStyle name="Normal 16 3 2" xfId="4911"/>
    <cellStyle name="Normal 16 3 2 2" xfId="8654"/>
    <cellStyle name="Normal 16 3 2 2 2" xfId="15202"/>
    <cellStyle name="Normal 16 3 2 3" xfId="6935"/>
    <cellStyle name="Normal 16 3 2 3 2" xfId="13621"/>
    <cellStyle name="Normal 16 3 2 4" xfId="11836"/>
    <cellStyle name="Normal 16 3 3" xfId="5336"/>
    <cellStyle name="Normal 16 3 3 2" xfId="9079"/>
    <cellStyle name="Normal 16 3 3 2 2" xfId="15623"/>
    <cellStyle name="Normal 16 3 3 3" xfId="7360"/>
    <cellStyle name="Normal 16 3 3 3 2" xfId="14042"/>
    <cellStyle name="Normal 16 3 3 4" xfId="12257"/>
    <cellStyle name="Normal 16 3 4" xfId="5774"/>
    <cellStyle name="Normal 16 3 4 2" xfId="9515"/>
    <cellStyle name="Normal 16 3 4 2 2" xfId="16017"/>
    <cellStyle name="Normal 16 3 4 3" xfId="7796"/>
    <cellStyle name="Normal 16 3 4 3 2" xfId="14436"/>
    <cellStyle name="Normal 16 3 4 4" xfId="12667"/>
    <cellStyle name="Normal 16 3 5" xfId="9907"/>
    <cellStyle name="Normal 16 3 5 2" xfId="16388"/>
    <cellStyle name="Normal 16 3 6" xfId="8273"/>
    <cellStyle name="Normal 16 3 6 2" xfId="14830"/>
    <cellStyle name="Normal 16 3 7" xfId="6554"/>
    <cellStyle name="Normal 16 3 7 2" xfId="13244"/>
    <cellStyle name="Normal 16 3 8" xfId="11454"/>
    <cellStyle name="Normal 16 4" xfId="4711"/>
    <cellStyle name="Normal 16 4 2" xfId="8455"/>
    <cellStyle name="Normal 16 4 2 2" xfId="15007"/>
    <cellStyle name="Normal 16 4 3" xfId="6736"/>
    <cellStyle name="Normal 16 4 3 2" xfId="13426"/>
    <cellStyle name="Normal 16 4 4" xfId="11640"/>
    <cellStyle name="Normal 16 5" xfId="5139"/>
    <cellStyle name="Normal 16 5 2" xfId="8882"/>
    <cellStyle name="Normal 16 5 2 2" xfId="15426"/>
    <cellStyle name="Normal 16 5 3" xfId="7163"/>
    <cellStyle name="Normal 16 5 3 2" xfId="13845"/>
    <cellStyle name="Normal 16 5 4" xfId="12060"/>
    <cellStyle name="Normal 16 6" xfId="5572"/>
    <cellStyle name="Normal 16 6 2" xfId="9313"/>
    <cellStyle name="Normal 16 6 2 2" xfId="15820"/>
    <cellStyle name="Normal 16 6 3" xfId="7594"/>
    <cellStyle name="Normal 16 6 3 2" xfId="14239"/>
    <cellStyle name="Normal 16 6 4" xfId="12465"/>
    <cellStyle name="Normal 16 7" xfId="9699"/>
    <cellStyle name="Normal 16 7 2" xfId="16192"/>
    <cellStyle name="Normal 16 8" xfId="8033"/>
    <cellStyle name="Normal 16 8 2" xfId="14633"/>
    <cellStyle name="Normal 16 9" xfId="6306"/>
    <cellStyle name="Normal 16 9 2" xfId="13029"/>
    <cellStyle name="Normal 17" xfId="4099"/>
    <cellStyle name="Normal 17 10" xfId="11250"/>
    <cellStyle name="Normal 17 2" xfId="4100"/>
    <cellStyle name="Normal 17 2 2" xfId="4512"/>
    <cellStyle name="Normal 17 2 2 2" xfId="4912"/>
    <cellStyle name="Normal 17 2 2 2 2" xfId="8655"/>
    <cellStyle name="Normal 17 2 2 2 2 2" xfId="15203"/>
    <cellStyle name="Normal 17 2 2 2 3" xfId="6936"/>
    <cellStyle name="Normal 17 2 2 2 3 2" xfId="13622"/>
    <cellStyle name="Normal 17 2 2 2 4" xfId="11837"/>
    <cellStyle name="Normal 17 2 2 3" xfId="5339"/>
    <cellStyle name="Normal 17 2 2 3 2" xfId="9082"/>
    <cellStyle name="Normal 17 2 2 3 2 2" xfId="15626"/>
    <cellStyle name="Normal 17 2 2 3 3" xfId="7363"/>
    <cellStyle name="Normal 17 2 2 3 3 2" xfId="14045"/>
    <cellStyle name="Normal 17 2 2 3 4" xfId="12260"/>
    <cellStyle name="Normal 17 2 2 4" xfId="5777"/>
    <cellStyle name="Normal 17 2 2 4 2" xfId="9518"/>
    <cellStyle name="Normal 17 2 2 4 2 2" xfId="16020"/>
    <cellStyle name="Normal 17 2 2 4 3" xfId="7799"/>
    <cellStyle name="Normal 17 2 2 4 3 2" xfId="14439"/>
    <cellStyle name="Normal 17 2 2 4 4" xfId="12670"/>
    <cellStyle name="Normal 17 2 2 5" xfId="9908"/>
    <cellStyle name="Normal 17 2 2 5 2" xfId="16389"/>
    <cellStyle name="Normal 17 2 2 6" xfId="8276"/>
    <cellStyle name="Normal 17 2 2 6 2" xfId="14833"/>
    <cellStyle name="Normal 17 2 2 7" xfId="6557"/>
    <cellStyle name="Normal 17 2 2 7 2" xfId="13247"/>
    <cellStyle name="Normal 17 2 2 8" xfId="11457"/>
    <cellStyle name="Normal 17 2 3" xfId="4795"/>
    <cellStyle name="Normal 17 2 3 2" xfId="8538"/>
    <cellStyle name="Normal 17 2 3 2 2" xfId="15090"/>
    <cellStyle name="Normal 17 2 3 3" xfId="6819"/>
    <cellStyle name="Normal 17 2 3 3 2" xfId="13509"/>
    <cellStyle name="Normal 17 2 3 4" xfId="11724"/>
    <cellStyle name="Normal 17 2 4" xfId="5142"/>
    <cellStyle name="Normal 17 2 4 2" xfId="8885"/>
    <cellStyle name="Normal 17 2 4 2 2" xfId="15429"/>
    <cellStyle name="Normal 17 2 4 3" xfId="7166"/>
    <cellStyle name="Normal 17 2 4 3 2" xfId="13848"/>
    <cellStyle name="Normal 17 2 4 4" xfId="12063"/>
    <cellStyle name="Normal 17 2 5" xfId="5575"/>
    <cellStyle name="Normal 17 2 5 2" xfId="9316"/>
    <cellStyle name="Normal 17 2 5 2 2" xfId="15823"/>
    <cellStyle name="Normal 17 2 5 3" xfId="7597"/>
    <cellStyle name="Normal 17 2 5 3 2" xfId="14242"/>
    <cellStyle name="Normal 17 2 5 4" xfId="12468"/>
    <cellStyle name="Normal 17 2 6" xfId="9785"/>
    <cellStyle name="Normal 17 2 6 2" xfId="16276"/>
    <cellStyle name="Normal 17 2 7" xfId="8036"/>
    <cellStyle name="Normal 17 2 7 2" xfId="14636"/>
    <cellStyle name="Normal 17 2 8" xfId="6309"/>
    <cellStyle name="Normal 17 2 8 2" xfId="13032"/>
    <cellStyle name="Normal 17 2 9" xfId="11251"/>
    <cellStyle name="Normal 17 3" xfId="4511"/>
    <cellStyle name="Normal 17 3 2" xfId="4913"/>
    <cellStyle name="Normal 17 3 2 2" xfId="8656"/>
    <cellStyle name="Normal 17 3 2 2 2" xfId="15204"/>
    <cellStyle name="Normal 17 3 2 3" xfId="6937"/>
    <cellStyle name="Normal 17 3 2 3 2" xfId="13623"/>
    <cellStyle name="Normal 17 3 2 4" xfId="11838"/>
    <cellStyle name="Normal 17 3 3" xfId="5338"/>
    <cellStyle name="Normal 17 3 3 2" xfId="9081"/>
    <cellStyle name="Normal 17 3 3 2 2" xfId="15625"/>
    <cellStyle name="Normal 17 3 3 3" xfId="7362"/>
    <cellStyle name="Normal 17 3 3 3 2" xfId="14044"/>
    <cellStyle name="Normal 17 3 3 4" xfId="12259"/>
    <cellStyle name="Normal 17 3 4" xfId="5776"/>
    <cellStyle name="Normal 17 3 4 2" xfId="9517"/>
    <cellStyle name="Normal 17 3 4 2 2" xfId="16019"/>
    <cellStyle name="Normal 17 3 4 3" xfId="7798"/>
    <cellStyle name="Normal 17 3 4 3 2" xfId="14438"/>
    <cellStyle name="Normal 17 3 4 4" xfId="12669"/>
    <cellStyle name="Normal 17 3 5" xfId="9909"/>
    <cellStyle name="Normal 17 3 5 2" xfId="16390"/>
    <cellStyle name="Normal 17 3 6" xfId="8275"/>
    <cellStyle name="Normal 17 3 6 2" xfId="14832"/>
    <cellStyle name="Normal 17 3 7" xfId="6556"/>
    <cellStyle name="Normal 17 3 7 2" xfId="13246"/>
    <cellStyle name="Normal 17 3 8" xfId="11456"/>
    <cellStyle name="Normal 17 4" xfId="4713"/>
    <cellStyle name="Normal 17 4 2" xfId="8457"/>
    <cellStyle name="Normal 17 4 2 2" xfId="15009"/>
    <cellStyle name="Normal 17 4 3" xfId="6738"/>
    <cellStyle name="Normal 17 4 3 2" xfId="13428"/>
    <cellStyle name="Normal 17 4 4" xfId="11642"/>
    <cellStyle name="Normal 17 5" xfId="5141"/>
    <cellStyle name="Normal 17 5 2" xfId="8884"/>
    <cellStyle name="Normal 17 5 2 2" xfId="15428"/>
    <cellStyle name="Normal 17 5 3" xfId="7165"/>
    <cellStyle name="Normal 17 5 3 2" xfId="13847"/>
    <cellStyle name="Normal 17 5 4" xfId="12062"/>
    <cellStyle name="Normal 17 6" xfId="5574"/>
    <cellStyle name="Normal 17 6 2" xfId="9315"/>
    <cellStyle name="Normal 17 6 2 2" xfId="15822"/>
    <cellStyle name="Normal 17 6 3" xfId="7596"/>
    <cellStyle name="Normal 17 6 3 2" xfId="14241"/>
    <cellStyle name="Normal 17 6 4" xfId="12467"/>
    <cellStyle name="Normal 17 7" xfId="9701"/>
    <cellStyle name="Normal 17 7 2" xfId="16194"/>
    <cellStyle name="Normal 17 8" xfId="8035"/>
    <cellStyle name="Normal 17 8 2" xfId="14635"/>
    <cellStyle name="Normal 17 9" xfId="6308"/>
    <cellStyle name="Normal 17 9 2" xfId="13031"/>
    <cellStyle name="Normal 18" xfId="4101"/>
    <cellStyle name="Normal 18 10" xfId="11252"/>
    <cellStyle name="Normal 18 2" xfId="4102"/>
    <cellStyle name="Normal 18 2 2" xfId="4514"/>
    <cellStyle name="Normal 18 2 2 2" xfId="4914"/>
    <cellStyle name="Normal 18 2 2 2 2" xfId="8657"/>
    <cellStyle name="Normal 18 2 2 2 2 2" xfId="15205"/>
    <cellStyle name="Normal 18 2 2 2 3" xfId="6938"/>
    <cellStyle name="Normal 18 2 2 2 3 2" xfId="13624"/>
    <cellStyle name="Normal 18 2 2 2 4" xfId="11839"/>
    <cellStyle name="Normal 18 2 2 3" xfId="5341"/>
    <cellStyle name="Normal 18 2 2 3 2" xfId="9084"/>
    <cellStyle name="Normal 18 2 2 3 2 2" xfId="15628"/>
    <cellStyle name="Normal 18 2 2 3 3" xfId="7365"/>
    <cellStyle name="Normal 18 2 2 3 3 2" xfId="14047"/>
    <cellStyle name="Normal 18 2 2 3 4" xfId="12262"/>
    <cellStyle name="Normal 18 2 2 4" xfId="5779"/>
    <cellStyle name="Normal 18 2 2 4 2" xfId="9520"/>
    <cellStyle name="Normal 18 2 2 4 2 2" xfId="16022"/>
    <cellStyle name="Normal 18 2 2 4 3" xfId="7801"/>
    <cellStyle name="Normal 18 2 2 4 3 2" xfId="14441"/>
    <cellStyle name="Normal 18 2 2 4 4" xfId="12672"/>
    <cellStyle name="Normal 18 2 2 5" xfId="9910"/>
    <cellStyle name="Normal 18 2 2 5 2" xfId="16391"/>
    <cellStyle name="Normal 18 2 2 6" xfId="8278"/>
    <cellStyle name="Normal 18 2 2 6 2" xfId="14835"/>
    <cellStyle name="Normal 18 2 2 7" xfId="6559"/>
    <cellStyle name="Normal 18 2 2 7 2" xfId="13249"/>
    <cellStyle name="Normal 18 2 2 8" xfId="11459"/>
    <cellStyle name="Normal 18 2 3" xfId="4798"/>
    <cellStyle name="Normal 18 2 3 2" xfId="8541"/>
    <cellStyle name="Normal 18 2 3 2 2" xfId="15093"/>
    <cellStyle name="Normal 18 2 3 3" xfId="6822"/>
    <cellStyle name="Normal 18 2 3 3 2" xfId="13512"/>
    <cellStyle name="Normal 18 2 3 4" xfId="11727"/>
    <cellStyle name="Normal 18 2 4" xfId="5144"/>
    <cellStyle name="Normal 18 2 4 2" xfId="8887"/>
    <cellStyle name="Normal 18 2 4 2 2" xfId="15431"/>
    <cellStyle name="Normal 18 2 4 3" xfId="7168"/>
    <cellStyle name="Normal 18 2 4 3 2" xfId="13850"/>
    <cellStyle name="Normal 18 2 4 4" xfId="12065"/>
    <cellStyle name="Normal 18 2 5" xfId="5577"/>
    <cellStyle name="Normal 18 2 5 2" xfId="9318"/>
    <cellStyle name="Normal 18 2 5 2 2" xfId="15825"/>
    <cellStyle name="Normal 18 2 5 3" xfId="7599"/>
    <cellStyle name="Normal 18 2 5 3 2" xfId="14244"/>
    <cellStyle name="Normal 18 2 5 4" xfId="12470"/>
    <cellStyle name="Normal 18 2 6" xfId="9788"/>
    <cellStyle name="Normal 18 2 6 2" xfId="16279"/>
    <cellStyle name="Normal 18 2 7" xfId="8038"/>
    <cellStyle name="Normal 18 2 7 2" xfId="14638"/>
    <cellStyle name="Normal 18 2 8" xfId="6311"/>
    <cellStyle name="Normal 18 2 8 2" xfId="13034"/>
    <cellStyle name="Normal 18 2 9" xfId="11253"/>
    <cellStyle name="Normal 18 3" xfId="4513"/>
    <cellStyle name="Normal 18 3 2" xfId="4915"/>
    <cellStyle name="Normal 18 3 2 2" xfId="8658"/>
    <cellStyle name="Normal 18 3 2 2 2" xfId="15206"/>
    <cellStyle name="Normal 18 3 2 3" xfId="6939"/>
    <cellStyle name="Normal 18 3 2 3 2" xfId="13625"/>
    <cellStyle name="Normal 18 3 2 4" xfId="11840"/>
    <cellStyle name="Normal 18 3 3" xfId="5340"/>
    <cellStyle name="Normal 18 3 3 2" xfId="9083"/>
    <cellStyle name="Normal 18 3 3 2 2" xfId="15627"/>
    <cellStyle name="Normal 18 3 3 3" xfId="7364"/>
    <cellStyle name="Normal 18 3 3 3 2" xfId="14046"/>
    <cellStyle name="Normal 18 3 3 4" xfId="12261"/>
    <cellStyle name="Normal 18 3 4" xfId="5778"/>
    <cellStyle name="Normal 18 3 4 2" xfId="9519"/>
    <cellStyle name="Normal 18 3 4 2 2" xfId="16021"/>
    <cellStyle name="Normal 18 3 4 3" xfId="7800"/>
    <cellStyle name="Normal 18 3 4 3 2" xfId="14440"/>
    <cellStyle name="Normal 18 3 4 4" xfId="12671"/>
    <cellStyle name="Normal 18 3 5" xfId="9911"/>
    <cellStyle name="Normal 18 3 5 2" xfId="16392"/>
    <cellStyle name="Normal 18 3 6" xfId="8277"/>
    <cellStyle name="Normal 18 3 6 2" xfId="14834"/>
    <cellStyle name="Normal 18 3 7" xfId="6558"/>
    <cellStyle name="Normal 18 3 7 2" xfId="13248"/>
    <cellStyle name="Normal 18 3 8" xfId="11458"/>
    <cellStyle name="Normal 18 4" xfId="4716"/>
    <cellStyle name="Normal 18 4 2" xfId="8460"/>
    <cellStyle name="Normal 18 4 2 2" xfId="15012"/>
    <cellStyle name="Normal 18 4 3" xfId="6741"/>
    <cellStyle name="Normal 18 4 3 2" xfId="13431"/>
    <cellStyle name="Normal 18 4 4" xfId="11645"/>
    <cellStyle name="Normal 18 5" xfId="5143"/>
    <cellStyle name="Normal 18 5 2" xfId="8886"/>
    <cellStyle name="Normal 18 5 2 2" xfId="15430"/>
    <cellStyle name="Normal 18 5 3" xfId="7167"/>
    <cellStyle name="Normal 18 5 3 2" xfId="13849"/>
    <cellStyle name="Normal 18 5 4" xfId="12064"/>
    <cellStyle name="Normal 18 6" xfId="5576"/>
    <cellStyle name="Normal 18 6 2" xfId="9317"/>
    <cellStyle name="Normal 18 6 2 2" xfId="15824"/>
    <cellStyle name="Normal 18 6 3" xfId="7598"/>
    <cellStyle name="Normal 18 6 3 2" xfId="14243"/>
    <cellStyle name="Normal 18 6 4" xfId="12469"/>
    <cellStyle name="Normal 18 7" xfId="9704"/>
    <cellStyle name="Normal 18 7 2" xfId="16197"/>
    <cellStyle name="Normal 18 8" xfId="8037"/>
    <cellStyle name="Normal 18 8 2" xfId="14637"/>
    <cellStyle name="Normal 18 9" xfId="6310"/>
    <cellStyle name="Normal 18 9 2" xfId="13033"/>
    <cellStyle name="Normal 19" xfId="4103"/>
    <cellStyle name="Normal 19 10" xfId="11254"/>
    <cellStyle name="Normal 19 2" xfId="4104"/>
    <cellStyle name="Normal 19 2 2" xfId="4516"/>
    <cellStyle name="Normal 19 2 2 2" xfId="4916"/>
    <cellStyle name="Normal 19 2 2 2 2" xfId="8659"/>
    <cellStyle name="Normal 19 2 2 2 2 2" xfId="15207"/>
    <cellStyle name="Normal 19 2 2 2 3" xfId="6940"/>
    <cellStyle name="Normal 19 2 2 2 3 2" xfId="13626"/>
    <cellStyle name="Normal 19 2 2 2 4" xfId="11841"/>
    <cellStyle name="Normal 19 2 2 3" xfId="5343"/>
    <cellStyle name="Normal 19 2 2 3 2" xfId="9086"/>
    <cellStyle name="Normal 19 2 2 3 2 2" xfId="15630"/>
    <cellStyle name="Normal 19 2 2 3 3" xfId="7367"/>
    <cellStyle name="Normal 19 2 2 3 3 2" xfId="14049"/>
    <cellStyle name="Normal 19 2 2 3 4" xfId="12264"/>
    <cellStyle name="Normal 19 2 2 4" xfId="5781"/>
    <cellStyle name="Normal 19 2 2 4 2" xfId="9522"/>
    <cellStyle name="Normal 19 2 2 4 2 2" xfId="16024"/>
    <cellStyle name="Normal 19 2 2 4 3" xfId="7803"/>
    <cellStyle name="Normal 19 2 2 4 3 2" xfId="14443"/>
    <cellStyle name="Normal 19 2 2 4 4" xfId="12674"/>
    <cellStyle name="Normal 19 2 2 5" xfId="9912"/>
    <cellStyle name="Normal 19 2 2 5 2" xfId="16393"/>
    <cellStyle name="Normal 19 2 2 6" xfId="8280"/>
    <cellStyle name="Normal 19 2 2 6 2" xfId="14837"/>
    <cellStyle name="Normal 19 2 2 7" xfId="6561"/>
    <cellStyle name="Normal 19 2 2 7 2" xfId="13251"/>
    <cellStyle name="Normal 19 2 2 8" xfId="11461"/>
    <cellStyle name="Normal 19 2 3" xfId="4800"/>
    <cellStyle name="Normal 19 2 3 2" xfId="8543"/>
    <cellStyle name="Normal 19 2 3 2 2" xfId="15095"/>
    <cellStyle name="Normal 19 2 3 3" xfId="6824"/>
    <cellStyle name="Normal 19 2 3 3 2" xfId="13514"/>
    <cellStyle name="Normal 19 2 3 4" xfId="11729"/>
    <cellStyle name="Normal 19 2 4" xfId="5146"/>
    <cellStyle name="Normal 19 2 4 2" xfId="8889"/>
    <cellStyle name="Normal 19 2 4 2 2" xfId="15433"/>
    <cellStyle name="Normal 19 2 4 3" xfId="7170"/>
    <cellStyle name="Normal 19 2 4 3 2" xfId="13852"/>
    <cellStyle name="Normal 19 2 4 4" xfId="12067"/>
    <cellStyle name="Normal 19 2 5" xfId="5579"/>
    <cellStyle name="Normal 19 2 5 2" xfId="9320"/>
    <cellStyle name="Normal 19 2 5 2 2" xfId="15827"/>
    <cellStyle name="Normal 19 2 5 3" xfId="7601"/>
    <cellStyle name="Normal 19 2 5 3 2" xfId="14246"/>
    <cellStyle name="Normal 19 2 5 4" xfId="12472"/>
    <cellStyle name="Normal 19 2 6" xfId="9790"/>
    <cellStyle name="Normal 19 2 6 2" xfId="16281"/>
    <cellStyle name="Normal 19 2 7" xfId="8040"/>
    <cellStyle name="Normal 19 2 7 2" xfId="14640"/>
    <cellStyle name="Normal 19 2 8" xfId="6313"/>
    <cellStyle name="Normal 19 2 8 2" xfId="13036"/>
    <cellStyle name="Normal 19 2 9" xfId="11255"/>
    <cellStyle name="Normal 19 3" xfId="4515"/>
    <cellStyle name="Normal 19 3 2" xfId="4917"/>
    <cellStyle name="Normal 19 3 2 2" xfId="8660"/>
    <cellStyle name="Normal 19 3 2 2 2" xfId="15208"/>
    <cellStyle name="Normal 19 3 2 3" xfId="6941"/>
    <cellStyle name="Normal 19 3 2 3 2" xfId="13627"/>
    <cellStyle name="Normal 19 3 2 4" xfId="11842"/>
    <cellStyle name="Normal 19 3 3" xfId="5342"/>
    <cellStyle name="Normal 19 3 3 2" xfId="9085"/>
    <cellStyle name="Normal 19 3 3 2 2" xfId="15629"/>
    <cellStyle name="Normal 19 3 3 3" xfId="7366"/>
    <cellStyle name="Normal 19 3 3 3 2" xfId="14048"/>
    <cellStyle name="Normal 19 3 3 4" xfId="12263"/>
    <cellStyle name="Normal 19 3 4" xfId="5780"/>
    <cellStyle name="Normal 19 3 4 2" xfId="9521"/>
    <cellStyle name="Normal 19 3 4 2 2" xfId="16023"/>
    <cellStyle name="Normal 19 3 4 3" xfId="7802"/>
    <cellStyle name="Normal 19 3 4 3 2" xfId="14442"/>
    <cellStyle name="Normal 19 3 4 4" xfId="12673"/>
    <cellStyle name="Normal 19 3 5" xfId="9913"/>
    <cellStyle name="Normal 19 3 5 2" xfId="16394"/>
    <cellStyle name="Normal 19 3 6" xfId="8279"/>
    <cellStyle name="Normal 19 3 6 2" xfId="14836"/>
    <cellStyle name="Normal 19 3 7" xfId="6560"/>
    <cellStyle name="Normal 19 3 7 2" xfId="13250"/>
    <cellStyle name="Normal 19 3 8" xfId="11460"/>
    <cellStyle name="Normal 19 4" xfId="4718"/>
    <cellStyle name="Normal 19 4 2" xfId="8462"/>
    <cellStyle name="Normal 19 4 2 2" xfId="15014"/>
    <cellStyle name="Normal 19 4 3" xfId="6743"/>
    <cellStyle name="Normal 19 4 3 2" xfId="13433"/>
    <cellStyle name="Normal 19 4 4" xfId="11647"/>
    <cellStyle name="Normal 19 5" xfId="5145"/>
    <cellStyle name="Normal 19 5 2" xfId="8888"/>
    <cellStyle name="Normal 19 5 2 2" xfId="15432"/>
    <cellStyle name="Normal 19 5 3" xfId="7169"/>
    <cellStyle name="Normal 19 5 3 2" xfId="13851"/>
    <cellStyle name="Normal 19 5 4" xfId="12066"/>
    <cellStyle name="Normal 19 6" xfId="5578"/>
    <cellStyle name="Normal 19 6 2" xfId="9319"/>
    <cellStyle name="Normal 19 6 2 2" xfId="15826"/>
    <cellStyle name="Normal 19 6 3" xfId="7600"/>
    <cellStyle name="Normal 19 6 3 2" xfId="14245"/>
    <cellStyle name="Normal 19 6 4" xfId="12471"/>
    <cellStyle name="Normal 19 7" xfId="9706"/>
    <cellStyle name="Normal 19 7 2" xfId="16199"/>
    <cellStyle name="Normal 19 8" xfId="8039"/>
    <cellStyle name="Normal 19 8 2" xfId="14639"/>
    <cellStyle name="Normal 19 9" xfId="6312"/>
    <cellStyle name="Normal 19 9 2" xfId="13035"/>
    <cellStyle name="Normal 2" xfId="5"/>
    <cellStyle name="Normal 2 10" xfId="7933"/>
    <cellStyle name="Normal 2 10 2" xfId="14573"/>
    <cellStyle name="Normal 2 11" xfId="5912"/>
    <cellStyle name="Normal 2 11 2" xfId="12805"/>
    <cellStyle name="Normal 2 12" xfId="10244"/>
    <cellStyle name="Normal 2 2" xfId="6"/>
    <cellStyle name="Normal 2 2 10" xfId="5076"/>
    <cellStyle name="Normal 2 2 10 2" xfId="8819"/>
    <cellStyle name="Normal 2 2 10 2 2" xfId="15367"/>
    <cellStyle name="Normal 2 2 10 3" xfId="7100"/>
    <cellStyle name="Normal 2 2 10 3 2" xfId="13786"/>
    <cellStyle name="Normal 2 2 10 4" xfId="12001"/>
    <cellStyle name="Normal 2 2 11" xfId="5513"/>
    <cellStyle name="Normal 2 2 11 2" xfId="9254"/>
    <cellStyle name="Normal 2 2 11 2 2" xfId="15761"/>
    <cellStyle name="Normal 2 2 11 3" xfId="7535"/>
    <cellStyle name="Normal 2 2 11 3 2" xfId="14180"/>
    <cellStyle name="Normal 2 2 11 4" xfId="12406"/>
    <cellStyle name="Normal 2 2 12" xfId="9657"/>
    <cellStyle name="Normal 2 2 12 2" xfId="16159"/>
    <cellStyle name="Normal 2 2 13" xfId="7934"/>
    <cellStyle name="Normal 2 2 13 2" xfId="14574"/>
    <cellStyle name="Normal 2 2 14" xfId="5913"/>
    <cellStyle name="Normal 2 2 14 2" xfId="12806"/>
    <cellStyle name="Normal 2 2 15" xfId="10245"/>
    <cellStyle name="Normal 2 2 2" xfId="17"/>
    <cellStyle name="Normal 2 2 2 10" xfId="7939"/>
    <cellStyle name="Normal 2 2 2 10 2" xfId="14579"/>
    <cellStyle name="Normal 2 2 2 11" xfId="5918"/>
    <cellStyle name="Normal 2 2 2 11 2" xfId="12811"/>
    <cellStyle name="Normal 2 2 2 12" xfId="10253"/>
    <cellStyle name="Normal 2 2 2 2" xfId="39"/>
    <cellStyle name="Normal 2 2 2 2 10" xfId="5937"/>
    <cellStyle name="Normal 2 2 2 2 10 2" xfId="12830"/>
    <cellStyle name="Normal 2 2 2 2 11" xfId="10272"/>
    <cellStyle name="Normal 2 2 2 2 2" xfId="4105"/>
    <cellStyle name="Normal 2 2 2 2 2 2" xfId="4517"/>
    <cellStyle name="Normal 2 2 2 2 2 2 2" xfId="4918"/>
    <cellStyle name="Normal 2 2 2 2 2 2 2 2" xfId="8661"/>
    <cellStyle name="Normal 2 2 2 2 2 2 2 2 2" xfId="15209"/>
    <cellStyle name="Normal 2 2 2 2 2 2 2 3" xfId="6942"/>
    <cellStyle name="Normal 2 2 2 2 2 2 2 3 2" xfId="13628"/>
    <cellStyle name="Normal 2 2 2 2 2 2 2 4" xfId="11843"/>
    <cellStyle name="Normal 2 2 2 2 2 2 3" xfId="5344"/>
    <cellStyle name="Normal 2 2 2 2 2 2 3 2" xfId="9087"/>
    <cellStyle name="Normal 2 2 2 2 2 2 3 2 2" xfId="15631"/>
    <cellStyle name="Normal 2 2 2 2 2 2 3 3" xfId="7368"/>
    <cellStyle name="Normal 2 2 2 2 2 2 3 3 2" xfId="14050"/>
    <cellStyle name="Normal 2 2 2 2 2 2 3 4" xfId="12265"/>
    <cellStyle name="Normal 2 2 2 2 2 2 4" xfId="5782"/>
    <cellStyle name="Normal 2 2 2 2 2 2 4 2" xfId="9523"/>
    <cellStyle name="Normal 2 2 2 2 2 2 4 2 2" xfId="16025"/>
    <cellStyle name="Normal 2 2 2 2 2 2 4 3" xfId="7804"/>
    <cellStyle name="Normal 2 2 2 2 2 2 4 3 2" xfId="14444"/>
    <cellStyle name="Normal 2 2 2 2 2 2 4 4" xfId="12675"/>
    <cellStyle name="Normal 2 2 2 2 2 2 5" xfId="9914"/>
    <cellStyle name="Normal 2 2 2 2 2 2 5 2" xfId="16395"/>
    <cellStyle name="Normal 2 2 2 2 2 2 6" xfId="8281"/>
    <cellStyle name="Normal 2 2 2 2 2 2 6 2" xfId="14838"/>
    <cellStyle name="Normal 2 2 2 2 2 2 7" xfId="6562"/>
    <cellStyle name="Normal 2 2 2 2 2 2 7 2" xfId="13252"/>
    <cellStyle name="Normal 2 2 2 2 2 2 8" xfId="11462"/>
    <cellStyle name="Normal 2 2 2 2 2 24" xfId="4106"/>
    <cellStyle name="Normal 2 2 2 2 2 24 10" xfId="9680"/>
    <cellStyle name="Normal 2 2 2 2 2 24 10 2" xfId="16180"/>
    <cellStyle name="Normal 2 2 2 2 2 24 11" xfId="8042"/>
    <cellStyle name="Normal 2 2 2 2 2 24 11 2" xfId="14642"/>
    <cellStyle name="Normal 2 2 2 2 2 24 12" xfId="6315"/>
    <cellStyle name="Normal 2 2 2 2 2 24 12 2" xfId="13038"/>
    <cellStyle name="Normal 2 2 2 2 2 24 13" xfId="11257"/>
    <cellStyle name="Normal 2 2 2 2 2 24 2" xfId="4107"/>
    <cellStyle name="Normal 2 2 2 2 2 24 2 2" xfId="4519"/>
    <cellStyle name="Normal 2 2 2 2 2 24 2 2 2" xfId="4919"/>
    <cellStyle name="Normal 2 2 2 2 2 24 2 2 2 2" xfId="8662"/>
    <cellStyle name="Normal 2 2 2 2 2 24 2 2 2 2 2" xfId="15210"/>
    <cellStyle name="Normal 2 2 2 2 2 24 2 2 2 3" xfId="6943"/>
    <cellStyle name="Normal 2 2 2 2 2 24 2 2 2 3 2" xfId="13629"/>
    <cellStyle name="Normal 2 2 2 2 2 24 2 2 2 4" xfId="11844"/>
    <cellStyle name="Normal 2 2 2 2 2 24 2 2 3" xfId="5346"/>
    <cellStyle name="Normal 2 2 2 2 2 24 2 2 3 2" xfId="9089"/>
    <cellStyle name="Normal 2 2 2 2 2 24 2 2 3 2 2" xfId="15633"/>
    <cellStyle name="Normal 2 2 2 2 2 24 2 2 3 3" xfId="7370"/>
    <cellStyle name="Normal 2 2 2 2 2 24 2 2 3 3 2" xfId="14052"/>
    <cellStyle name="Normal 2 2 2 2 2 24 2 2 3 4" xfId="12267"/>
    <cellStyle name="Normal 2 2 2 2 2 24 2 2 4" xfId="5784"/>
    <cellStyle name="Normal 2 2 2 2 2 24 2 2 4 2" xfId="9525"/>
    <cellStyle name="Normal 2 2 2 2 2 24 2 2 4 2 2" xfId="16027"/>
    <cellStyle name="Normal 2 2 2 2 2 24 2 2 4 3" xfId="7806"/>
    <cellStyle name="Normal 2 2 2 2 2 24 2 2 4 3 2" xfId="14446"/>
    <cellStyle name="Normal 2 2 2 2 2 24 2 2 4 4" xfId="12677"/>
    <cellStyle name="Normal 2 2 2 2 2 24 2 2 5" xfId="9915"/>
    <cellStyle name="Normal 2 2 2 2 2 24 2 2 5 2" xfId="16396"/>
    <cellStyle name="Normal 2 2 2 2 2 24 2 2 6" xfId="8283"/>
    <cellStyle name="Normal 2 2 2 2 2 24 2 2 6 2" xfId="14840"/>
    <cellStyle name="Normal 2 2 2 2 2 24 2 2 7" xfId="6564"/>
    <cellStyle name="Normal 2 2 2 2 2 24 2 2 7 2" xfId="13254"/>
    <cellStyle name="Normal 2 2 2 2 2 24 2 2 8" xfId="11464"/>
    <cellStyle name="Normal 2 2 2 2 2 24 2 3" xfId="4760"/>
    <cellStyle name="Normal 2 2 2 2 2 24 2 3 2" xfId="8503"/>
    <cellStyle name="Normal 2 2 2 2 2 24 2 3 2 2" xfId="15055"/>
    <cellStyle name="Normal 2 2 2 2 2 24 2 3 3" xfId="6784"/>
    <cellStyle name="Normal 2 2 2 2 2 24 2 3 3 2" xfId="13474"/>
    <cellStyle name="Normal 2 2 2 2 2 24 2 3 4" xfId="11689"/>
    <cellStyle name="Normal 2 2 2 2 2 24 2 4" xfId="5149"/>
    <cellStyle name="Normal 2 2 2 2 2 24 2 4 2" xfId="8892"/>
    <cellStyle name="Normal 2 2 2 2 2 24 2 4 2 2" xfId="15436"/>
    <cellStyle name="Normal 2 2 2 2 2 24 2 4 3" xfId="7173"/>
    <cellStyle name="Normal 2 2 2 2 2 24 2 4 3 2" xfId="13855"/>
    <cellStyle name="Normal 2 2 2 2 2 24 2 4 4" xfId="12070"/>
    <cellStyle name="Normal 2 2 2 2 2 24 2 5" xfId="5582"/>
    <cellStyle name="Normal 2 2 2 2 2 24 2 5 2" xfId="9323"/>
    <cellStyle name="Normal 2 2 2 2 2 24 2 5 2 2" xfId="15830"/>
    <cellStyle name="Normal 2 2 2 2 2 24 2 5 3" xfId="7604"/>
    <cellStyle name="Normal 2 2 2 2 2 24 2 5 3 2" xfId="14249"/>
    <cellStyle name="Normal 2 2 2 2 2 24 2 5 4" xfId="12475"/>
    <cellStyle name="Normal 2 2 2 2 2 24 2 6" xfId="9750"/>
    <cellStyle name="Normal 2 2 2 2 2 24 2 6 2" xfId="16241"/>
    <cellStyle name="Normal 2 2 2 2 2 24 2 7" xfId="8043"/>
    <cellStyle name="Normal 2 2 2 2 2 24 2 7 2" xfId="14643"/>
    <cellStyle name="Normal 2 2 2 2 2 24 2 8" xfId="6316"/>
    <cellStyle name="Normal 2 2 2 2 2 24 2 8 2" xfId="13039"/>
    <cellStyle name="Normal 2 2 2 2 2 24 2 9" xfId="11258"/>
    <cellStyle name="Normal 2 2 2 2 2 24 3" xfId="4108"/>
    <cellStyle name="Normal 2 2 2 2 2 24 3 2" xfId="4520"/>
    <cellStyle name="Normal 2 2 2 2 2 24 3 2 2" xfId="4920"/>
    <cellStyle name="Normal 2 2 2 2 2 24 3 2 2 2" xfId="8663"/>
    <cellStyle name="Normal 2 2 2 2 2 24 3 2 2 2 2" xfId="15211"/>
    <cellStyle name="Normal 2 2 2 2 2 24 3 2 2 3" xfId="6944"/>
    <cellStyle name="Normal 2 2 2 2 2 24 3 2 2 3 2" xfId="13630"/>
    <cellStyle name="Normal 2 2 2 2 2 24 3 2 2 4" xfId="11845"/>
    <cellStyle name="Normal 2 2 2 2 2 24 3 2 3" xfId="5347"/>
    <cellStyle name="Normal 2 2 2 2 2 24 3 2 3 2" xfId="9090"/>
    <cellStyle name="Normal 2 2 2 2 2 24 3 2 3 2 2" xfId="15634"/>
    <cellStyle name="Normal 2 2 2 2 2 24 3 2 3 3" xfId="7371"/>
    <cellStyle name="Normal 2 2 2 2 2 24 3 2 3 3 2" xfId="14053"/>
    <cellStyle name="Normal 2 2 2 2 2 24 3 2 3 4" xfId="12268"/>
    <cellStyle name="Normal 2 2 2 2 2 24 3 2 4" xfId="5785"/>
    <cellStyle name="Normal 2 2 2 2 2 24 3 2 4 2" xfId="9526"/>
    <cellStyle name="Normal 2 2 2 2 2 24 3 2 4 2 2" xfId="16028"/>
    <cellStyle name="Normal 2 2 2 2 2 24 3 2 4 3" xfId="7807"/>
    <cellStyle name="Normal 2 2 2 2 2 24 3 2 4 3 2" xfId="14447"/>
    <cellStyle name="Normal 2 2 2 2 2 24 3 2 4 4" xfId="12678"/>
    <cellStyle name="Normal 2 2 2 2 2 24 3 2 5" xfId="9916"/>
    <cellStyle name="Normal 2 2 2 2 2 24 3 2 5 2" xfId="16397"/>
    <cellStyle name="Normal 2 2 2 2 2 24 3 2 6" xfId="8284"/>
    <cellStyle name="Normal 2 2 2 2 2 24 3 2 6 2" xfId="14841"/>
    <cellStyle name="Normal 2 2 2 2 2 24 3 2 7" xfId="6565"/>
    <cellStyle name="Normal 2 2 2 2 2 24 3 2 7 2" xfId="13255"/>
    <cellStyle name="Normal 2 2 2 2 2 24 3 2 8" xfId="11465"/>
    <cellStyle name="Normal 2 2 2 2 2 24 3 3" xfId="4842"/>
    <cellStyle name="Normal 2 2 2 2 2 24 3 3 2" xfId="8585"/>
    <cellStyle name="Normal 2 2 2 2 2 24 3 3 2 2" xfId="15133"/>
    <cellStyle name="Normal 2 2 2 2 2 24 3 3 3" xfId="6866"/>
    <cellStyle name="Normal 2 2 2 2 2 24 3 3 3 2" xfId="13552"/>
    <cellStyle name="Normal 2 2 2 2 2 24 3 3 4" xfId="11767"/>
    <cellStyle name="Normal 2 2 2 2 2 24 3 4" xfId="5150"/>
    <cellStyle name="Normal 2 2 2 2 2 24 3 4 2" xfId="8893"/>
    <cellStyle name="Normal 2 2 2 2 2 24 3 4 2 2" xfId="15437"/>
    <cellStyle name="Normal 2 2 2 2 2 24 3 4 3" xfId="7174"/>
    <cellStyle name="Normal 2 2 2 2 2 24 3 4 3 2" xfId="13856"/>
    <cellStyle name="Normal 2 2 2 2 2 24 3 4 4" xfId="12071"/>
    <cellStyle name="Normal 2 2 2 2 2 24 3 5" xfId="5583"/>
    <cellStyle name="Normal 2 2 2 2 2 24 3 5 2" xfId="9324"/>
    <cellStyle name="Normal 2 2 2 2 2 24 3 5 2 2" xfId="15831"/>
    <cellStyle name="Normal 2 2 2 2 2 24 3 5 3" xfId="7605"/>
    <cellStyle name="Normal 2 2 2 2 2 24 3 5 3 2" xfId="14250"/>
    <cellStyle name="Normal 2 2 2 2 2 24 3 5 4" xfId="12476"/>
    <cellStyle name="Normal 2 2 2 2 2 24 3 6" xfId="9833"/>
    <cellStyle name="Normal 2 2 2 2 2 24 3 6 2" xfId="16319"/>
    <cellStyle name="Normal 2 2 2 2 2 24 3 7" xfId="8044"/>
    <cellStyle name="Normal 2 2 2 2 2 24 3 7 2" xfId="14644"/>
    <cellStyle name="Normal 2 2 2 2 2 24 3 8" xfId="6317"/>
    <cellStyle name="Normal 2 2 2 2 2 24 3 8 2" xfId="13040"/>
    <cellStyle name="Normal 2 2 2 2 2 24 3 9" xfId="11259"/>
    <cellStyle name="Normal 2 2 2 2 2 24 4" xfId="4419"/>
    <cellStyle name="Normal 2 2 2 2 2 24 4 2" xfId="4629"/>
    <cellStyle name="Normal 2 2 2 2 2 24 4 2 2" xfId="4922"/>
    <cellStyle name="Normal 2 2 2 2 2 24 4 2 2 2" xfId="8665"/>
    <cellStyle name="Normal 2 2 2 2 2 24 4 2 2 2 2" xfId="15213"/>
    <cellStyle name="Normal 2 2 2 2 2 24 4 2 2 3" xfId="6946"/>
    <cellStyle name="Normal 2 2 2 2 2 24 4 2 2 3 2" xfId="13632"/>
    <cellStyle name="Normal 2 2 2 2 2 24 4 2 2 4" xfId="11847"/>
    <cellStyle name="Normal 2 2 2 2 2 24 4 2 3" xfId="5456"/>
    <cellStyle name="Normal 2 2 2 2 2 24 4 2 3 2" xfId="9199"/>
    <cellStyle name="Normal 2 2 2 2 2 24 4 2 3 2 2" xfId="15743"/>
    <cellStyle name="Normal 2 2 2 2 2 24 4 2 3 3" xfId="7480"/>
    <cellStyle name="Normal 2 2 2 2 2 24 4 2 3 3 2" xfId="14162"/>
    <cellStyle name="Normal 2 2 2 2 2 24 4 2 3 4" xfId="12377"/>
    <cellStyle name="Normal 2 2 2 2 2 24 4 2 4" xfId="5894"/>
    <cellStyle name="Normal 2 2 2 2 2 24 4 2 4 2" xfId="9635"/>
    <cellStyle name="Normal 2 2 2 2 2 24 4 2 4 2 2" xfId="16137"/>
    <cellStyle name="Normal 2 2 2 2 2 24 4 2 4 3" xfId="7916"/>
    <cellStyle name="Normal 2 2 2 2 2 24 4 2 4 3 2" xfId="14556"/>
    <cellStyle name="Normal 2 2 2 2 2 24 4 2 4 4" xfId="12787"/>
    <cellStyle name="Normal 2 2 2 2 2 24 4 2 5" xfId="9918"/>
    <cellStyle name="Normal 2 2 2 2 2 24 4 2 5 2" xfId="16399"/>
    <cellStyle name="Normal 2 2 2 2 2 24 4 2 6" xfId="8393"/>
    <cellStyle name="Normal 2 2 2 2 2 24 4 2 6 2" xfId="14950"/>
    <cellStyle name="Normal 2 2 2 2 2 24 4 2 7" xfId="6674"/>
    <cellStyle name="Normal 2 2 2 2 2 24 4 2 7 2" xfId="13364"/>
    <cellStyle name="Normal 2 2 2 2 2 24 4 2 8" xfId="11574"/>
    <cellStyle name="Normal 2 2 2 2 2 24 4 3" xfId="4921"/>
    <cellStyle name="Normal 2 2 2 2 2 24 4 3 2" xfId="8664"/>
    <cellStyle name="Normal 2 2 2 2 2 24 4 3 2 2" xfId="15212"/>
    <cellStyle name="Normal 2 2 2 2 2 24 4 3 3" xfId="6945"/>
    <cellStyle name="Normal 2 2 2 2 2 24 4 3 3 2" xfId="13631"/>
    <cellStyle name="Normal 2 2 2 2 2 24 4 3 4" xfId="11846"/>
    <cellStyle name="Normal 2 2 2 2 2 24 4 4" xfId="5259"/>
    <cellStyle name="Normal 2 2 2 2 2 24 4 4 2" xfId="9002"/>
    <cellStyle name="Normal 2 2 2 2 2 24 4 4 2 2" xfId="15546"/>
    <cellStyle name="Normal 2 2 2 2 2 24 4 4 3" xfId="7283"/>
    <cellStyle name="Normal 2 2 2 2 2 24 4 4 3 2" xfId="13965"/>
    <cellStyle name="Normal 2 2 2 2 2 24 4 4 4" xfId="12180"/>
    <cellStyle name="Normal 2 2 2 2 2 24 4 5" xfId="5697"/>
    <cellStyle name="Normal 2 2 2 2 2 24 4 5 2" xfId="9438"/>
    <cellStyle name="Normal 2 2 2 2 2 24 4 5 2 2" xfId="15940"/>
    <cellStyle name="Normal 2 2 2 2 2 24 4 5 3" xfId="7719"/>
    <cellStyle name="Normal 2 2 2 2 2 24 4 5 3 2" xfId="14359"/>
    <cellStyle name="Normal 2 2 2 2 2 24 4 5 4" xfId="12590"/>
    <cellStyle name="Normal 2 2 2 2 2 24 4 6" xfId="9917"/>
    <cellStyle name="Normal 2 2 2 2 2 24 4 6 2" xfId="16398"/>
    <cellStyle name="Normal 2 2 2 2 2 24 4 7" xfId="8196"/>
    <cellStyle name="Normal 2 2 2 2 2 24 4 7 2" xfId="14753"/>
    <cellStyle name="Normal 2 2 2 2 2 24 4 8" xfId="6477"/>
    <cellStyle name="Normal 2 2 2 2 2 24 4 8 2" xfId="13167"/>
    <cellStyle name="Normal 2 2 2 2 2 24 4 9" xfId="11375"/>
    <cellStyle name="Normal 2 2 2 2 2 24 5" xfId="4432"/>
    <cellStyle name="Normal 2 2 2 2 2 24 5 2" xfId="4641"/>
    <cellStyle name="Normal 2 2 2 2 2 24 5 2 2" xfId="4924"/>
    <cellStyle name="Normal 2 2 2 2 2 24 5 2 2 2" xfId="8667"/>
    <cellStyle name="Normal 2 2 2 2 2 24 5 2 2 2 2" xfId="15215"/>
    <cellStyle name="Normal 2 2 2 2 2 24 5 2 2 3" xfId="6948"/>
    <cellStyle name="Normal 2 2 2 2 2 24 5 2 2 3 2" xfId="13634"/>
    <cellStyle name="Normal 2 2 2 2 2 24 5 2 2 4" xfId="11849"/>
    <cellStyle name="Normal 2 2 2 2 2 24 5 2 3" xfId="5468"/>
    <cellStyle name="Normal 2 2 2 2 2 24 5 2 3 2" xfId="9211"/>
    <cellStyle name="Normal 2 2 2 2 2 24 5 2 3 2 2" xfId="15755"/>
    <cellStyle name="Normal 2 2 2 2 2 24 5 2 3 3" xfId="7492"/>
    <cellStyle name="Normal 2 2 2 2 2 24 5 2 3 3 2" xfId="14174"/>
    <cellStyle name="Normal 2 2 2 2 2 24 5 2 3 4" xfId="12389"/>
    <cellStyle name="Normal 2 2 2 2 2 24 5 2 4" xfId="5906"/>
    <cellStyle name="Normal 2 2 2 2 2 24 5 2 4 2" xfId="9647"/>
    <cellStyle name="Normal 2 2 2 2 2 24 5 2 4 2 2" xfId="16149"/>
    <cellStyle name="Normal 2 2 2 2 2 24 5 2 4 3" xfId="7928"/>
    <cellStyle name="Normal 2 2 2 2 2 24 5 2 4 3 2" xfId="14568"/>
    <cellStyle name="Normal 2 2 2 2 2 24 5 2 4 4" xfId="12799"/>
    <cellStyle name="Normal 2 2 2 2 2 24 5 2 5" xfId="9920"/>
    <cellStyle name="Normal 2 2 2 2 2 24 5 2 5 2" xfId="16401"/>
    <cellStyle name="Normal 2 2 2 2 2 24 5 2 6" xfId="8405"/>
    <cellStyle name="Normal 2 2 2 2 2 24 5 2 6 2" xfId="14962"/>
    <cellStyle name="Normal 2 2 2 2 2 24 5 2 7" xfId="6686"/>
    <cellStyle name="Normal 2 2 2 2 2 24 5 2 7 2" xfId="13376"/>
    <cellStyle name="Normal 2 2 2 2 2 24 5 2 8" xfId="11586"/>
    <cellStyle name="Normal 2 2 2 2 2 24 5 3" xfId="4923"/>
    <cellStyle name="Normal 2 2 2 2 2 24 5 3 2" xfId="8666"/>
    <cellStyle name="Normal 2 2 2 2 2 24 5 3 2 2" xfId="15214"/>
    <cellStyle name="Normal 2 2 2 2 2 24 5 3 3" xfId="6947"/>
    <cellStyle name="Normal 2 2 2 2 2 24 5 3 3 2" xfId="13633"/>
    <cellStyle name="Normal 2 2 2 2 2 24 5 3 4" xfId="11848"/>
    <cellStyle name="Normal 2 2 2 2 2 24 5 4" xfId="5271"/>
    <cellStyle name="Normal 2 2 2 2 2 24 5 4 2" xfId="9014"/>
    <cellStyle name="Normal 2 2 2 2 2 24 5 4 2 2" xfId="15558"/>
    <cellStyle name="Normal 2 2 2 2 2 24 5 4 3" xfId="7295"/>
    <cellStyle name="Normal 2 2 2 2 2 24 5 4 3 2" xfId="13977"/>
    <cellStyle name="Normal 2 2 2 2 2 24 5 4 4" xfId="12192"/>
    <cellStyle name="Normal 2 2 2 2 2 24 5 5" xfId="5709"/>
    <cellStyle name="Normal 2 2 2 2 2 24 5 5 2" xfId="9450"/>
    <cellStyle name="Normal 2 2 2 2 2 24 5 5 2 2" xfId="15952"/>
    <cellStyle name="Normal 2 2 2 2 2 24 5 5 3" xfId="7731"/>
    <cellStyle name="Normal 2 2 2 2 2 24 5 5 3 2" xfId="14371"/>
    <cellStyle name="Normal 2 2 2 2 2 24 5 5 4" xfId="12602"/>
    <cellStyle name="Normal 2 2 2 2 2 24 5 6" xfId="9919"/>
    <cellStyle name="Normal 2 2 2 2 2 24 5 6 2" xfId="16400"/>
    <cellStyle name="Normal 2 2 2 2 2 24 5 7" xfId="8208"/>
    <cellStyle name="Normal 2 2 2 2 2 24 5 7 2" xfId="14765"/>
    <cellStyle name="Normal 2 2 2 2 2 24 5 8" xfId="6489"/>
    <cellStyle name="Normal 2 2 2 2 2 24 5 8 2" xfId="13179"/>
    <cellStyle name="Normal 2 2 2 2 2 24 5 9" xfId="11387"/>
    <cellStyle name="Normal 2 2 2 2 2 24 6" xfId="4518"/>
    <cellStyle name="Normal 2 2 2 2 2 24 6 2" xfId="4925"/>
    <cellStyle name="Normal 2 2 2 2 2 24 6 2 2" xfId="8668"/>
    <cellStyle name="Normal 2 2 2 2 2 24 6 2 2 2" xfId="15216"/>
    <cellStyle name="Normal 2 2 2 2 2 24 6 2 3" xfId="6949"/>
    <cellStyle name="Normal 2 2 2 2 2 24 6 2 3 2" xfId="13635"/>
    <cellStyle name="Normal 2 2 2 2 2 24 6 2 4" xfId="11850"/>
    <cellStyle name="Normal 2 2 2 2 2 24 6 3" xfId="5345"/>
    <cellStyle name="Normal 2 2 2 2 2 24 6 3 2" xfId="9088"/>
    <cellStyle name="Normal 2 2 2 2 2 24 6 3 2 2" xfId="15632"/>
    <cellStyle name="Normal 2 2 2 2 2 24 6 3 3" xfId="7369"/>
    <cellStyle name="Normal 2 2 2 2 2 24 6 3 3 2" xfId="14051"/>
    <cellStyle name="Normal 2 2 2 2 2 24 6 3 4" xfId="12266"/>
    <cellStyle name="Normal 2 2 2 2 2 24 6 4" xfId="5783"/>
    <cellStyle name="Normal 2 2 2 2 2 24 6 4 2" xfId="9524"/>
    <cellStyle name="Normal 2 2 2 2 2 24 6 4 2 2" xfId="16026"/>
    <cellStyle name="Normal 2 2 2 2 2 24 6 4 3" xfId="7805"/>
    <cellStyle name="Normal 2 2 2 2 2 24 6 4 3 2" xfId="14445"/>
    <cellStyle name="Normal 2 2 2 2 2 24 6 4 4" xfId="12676"/>
    <cellStyle name="Normal 2 2 2 2 2 24 6 5" xfId="9921"/>
    <cellStyle name="Normal 2 2 2 2 2 24 6 5 2" xfId="16402"/>
    <cellStyle name="Normal 2 2 2 2 2 24 6 6" xfId="8282"/>
    <cellStyle name="Normal 2 2 2 2 2 24 6 6 2" xfId="14839"/>
    <cellStyle name="Normal 2 2 2 2 2 24 6 7" xfId="6563"/>
    <cellStyle name="Normal 2 2 2 2 2 24 6 7 2" xfId="13253"/>
    <cellStyle name="Normal 2 2 2 2 2 24 6 8" xfId="11463"/>
    <cellStyle name="Normal 2 2 2 2 2 24 7" xfId="4698"/>
    <cellStyle name="Normal 2 2 2 2 2 24 7 2" xfId="8443"/>
    <cellStyle name="Normal 2 2 2 2 2 24 7 2 2" xfId="14995"/>
    <cellStyle name="Normal 2 2 2 2 2 24 7 3" xfId="6724"/>
    <cellStyle name="Normal 2 2 2 2 2 24 7 3 2" xfId="13414"/>
    <cellStyle name="Normal 2 2 2 2 2 24 7 4" xfId="11628"/>
    <cellStyle name="Normal 2 2 2 2 2 24 8" xfId="5148"/>
    <cellStyle name="Normal 2 2 2 2 2 24 8 2" xfId="8891"/>
    <cellStyle name="Normal 2 2 2 2 2 24 8 2 2" xfId="15435"/>
    <cellStyle name="Normal 2 2 2 2 2 24 8 3" xfId="7172"/>
    <cellStyle name="Normal 2 2 2 2 2 24 8 3 2" xfId="13854"/>
    <cellStyle name="Normal 2 2 2 2 2 24 8 4" xfId="12069"/>
    <cellStyle name="Normal 2 2 2 2 2 24 9" xfId="5581"/>
    <cellStyle name="Normal 2 2 2 2 2 24 9 2" xfId="9322"/>
    <cellStyle name="Normal 2 2 2 2 2 24 9 2 2" xfId="15829"/>
    <cellStyle name="Normal 2 2 2 2 2 24 9 3" xfId="7603"/>
    <cellStyle name="Normal 2 2 2 2 2 24 9 3 2" xfId="14248"/>
    <cellStyle name="Normal 2 2 2 2 2 24 9 4" xfId="12474"/>
    <cellStyle name="Normal 2 2 2 2 2 3" xfId="4770"/>
    <cellStyle name="Normal 2 2 2 2 2 3 2" xfId="8513"/>
    <cellStyle name="Normal 2 2 2 2 2 3 2 2" xfId="15065"/>
    <cellStyle name="Normal 2 2 2 2 2 3 3" xfId="6794"/>
    <cellStyle name="Normal 2 2 2 2 2 3 3 2" xfId="13484"/>
    <cellStyle name="Normal 2 2 2 2 2 3 4" xfId="11699"/>
    <cellStyle name="Normal 2 2 2 2 2 4" xfId="5147"/>
    <cellStyle name="Normal 2 2 2 2 2 4 2" xfId="8890"/>
    <cellStyle name="Normal 2 2 2 2 2 4 2 2" xfId="15434"/>
    <cellStyle name="Normal 2 2 2 2 2 4 3" xfId="7171"/>
    <cellStyle name="Normal 2 2 2 2 2 4 3 2" xfId="13853"/>
    <cellStyle name="Normal 2 2 2 2 2 4 4" xfId="12068"/>
    <cellStyle name="Normal 2 2 2 2 2 5" xfId="5580"/>
    <cellStyle name="Normal 2 2 2 2 2 5 2" xfId="9321"/>
    <cellStyle name="Normal 2 2 2 2 2 5 2 2" xfId="15828"/>
    <cellStyle name="Normal 2 2 2 2 2 5 3" xfId="7602"/>
    <cellStyle name="Normal 2 2 2 2 2 5 3 2" xfId="14247"/>
    <cellStyle name="Normal 2 2 2 2 2 5 4" xfId="12473"/>
    <cellStyle name="Normal 2 2 2 2 2 6" xfId="9760"/>
    <cellStyle name="Normal 2 2 2 2 2 6 2" xfId="16251"/>
    <cellStyle name="Normal 2 2 2 2 2 7" xfId="8041"/>
    <cellStyle name="Normal 2 2 2 2 2 7 2" xfId="14641"/>
    <cellStyle name="Normal 2 2 2 2 2 8" xfId="6314"/>
    <cellStyle name="Normal 2 2 2 2 2 8 2" xfId="13037"/>
    <cellStyle name="Normal 2 2 2 2 2 9" xfId="11256"/>
    <cellStyle name="Normal 2 2 2 2 3" xfId="4109"/>
    <cellStyle name="Normal 2 2 2 2 3 2" xfId="4521"/>
    <cellStyle name="Normal 2 2 2 2 3 2 2" xfId="4926"/>
    <cellStyle name="Normal 2 2 2 2 3 2 2 2" xfId="8669"/>
    <cellStyle name="Normal 2 2 2 2 3 2 2 2 2" xfId="15217"/>
    <cellStyle name="Normal 2 2 2 2 3 2 2 3" xfId="6950"/>
    <cellStyle name="Normal 2 2 2 2 3 2 2 3 2" xfId="13636"/>
    <cellStyle name="Normal 2 2 2 2 3 2 2 4" xfId="11851"/>
    <cellStyle name="Normal 2 2 2 2 3 2 3" xfId="5348"/>
    <cellStyle name="Normal 2 2 2 2 3 2 3 2" xfId="9091"/>
    <cellStyle name="Normal 2 2 2 2 3 2 3 2 2" xfId="15635"/>
    <cellStyle name="Normal 2 2 2 2 3 2 3 3" xfId="7372"/>
    <cellStyle name="Normal 2 2 2 2 3 2 3 3 2" xfId="14054"/>
    <cellStyle name="Normal 2 2 2 2 3 2 3 4" xfId="12269"/>
    <cellStyle name="Normal 2 2 2 2 3 2 4" xfId="5786"/>
    <cellStyle name="Normal 2 2 2 2 3 2 4 2" xfId="9527"/>
    <cellStyle name="Normal 2 2 2 2 3 2 4 2 2" xfId="16029"/>
    <cellStyle name="Normal 2 2 2 2 3 2 4 3" xfId="7808"/>
    <cellStyle name="Normal 2 2 2 2 3 2 4 3 2" xfId="14448"/>
    <cellStyle name="Normal 2 2 2 2 3 2 4 4" xfId="12679"/>
    <cellStyle name="Normal 2 2 2 2 3 2 5" xfId="9922"/>
    <cellStyle name="Normal 2 2 2 2 3 2 5 2" xfId="16403"/>
    <cellStyle name="Normal 2 2 2 2 3 2 6" xfId="8285"/>
    <cellStyle name="Normal 2 2 2 2 3 2 6 2" xfId="14842"/>
    <cellStyle name="Normal 2 2 2 2 3 2 7" xfId="6566"/>
    <cellStyle name="Normal 2 2 2 2 3 2 7 2" xfId="13256"/>
    <cellStyle name="Normal 2 2 2 2 3 2 8" xfId="11466"/>
    <cellStyle name="Normal 2 2 2 2 3 3" xfId="4838"/>
    <cellStyle name="Normal 2 2 2 2 3 3 2" xfId="8581"/>
    <cellStyle name="Normal 2 2 2 2 3 3 2 2" xfId="15129"/>
    <cellStyle name="Normal 2 2 2 2 3 3 3" xfId="6862"/>
    <cellStyle name="Normal 2 2 2 2 3 3 3 2" xfId="13548"/>
    <cellStyle name="Normal 2 2 2 2 3 3 4" xfId="11763"/>
    <cellStyle name="Normal 2 2 2 2 3 4" xfId="5151"/>
    <cellStyle name="Normal 2 2 2 2 3 4 2" xfId="8894"/>
    <cellStyle name="Normal 2 2 2 2 3 4 2 2" xfId="15438"/>
    <cellStyle name="Normal 2 2 2 2 3 4 3" xfId="7175"/>
    <cellStyle name="Normal 2 2 2 2 3 4 3 2" xfId="13857"/>
    <cellStyle name="Normal 2 2 2 2 3 4 4" xfId="12072"/>
    <cellStyle name="Normal 2 2 2 2 3 5" xfId="5584"/>
    <cellStyle name="Normal 2 2 2 2 3 5 2" xfId="9325"/>
    <cellStyle name="Normal 2 2 2 2 3 5 2 2" xfId="15832"/>
    <cellStyle name="Normal 2 2 2 2 3 5 3" xfId="7606"/>
    <cellStyle name="Normal 2 2 2 2 3 5 3 2" xfId="14251"/>
    <cellStyle name="Normal 2 2 2 2 3 5 4" xfId="12477"/>
    <cellStyle name="Normal 2 2 2 2 3 6" xfId="9829"/>
    <cellStyle name="Normal 2 2 2 2 3 6 2" xfId="16315"/>
    <cellStyle name="Normal 2 2 2 2 3 7" xfId="8045"/>
    <cellStyle name="Normal 2 2 2 2 3 7 2" xfId="14645"/>
    <cellStyle name="Normal 2 2 2 2 3 8" xfId="6318"/>
    <cellStyle name="Normal 2 2 2 2 3 8 2" xfId="13041"/>
    <cellStyle name="Normal 2 2 2 2 3 9" xfId="11260"/>
    <cellStyle name="Normal 2 2 2 2 4" xfId="4473"/>
    <cellStyle name="Normal 2 2 2 2 4 2" xfId="4927"/>
    <cellStyle name="Normal 2 2 2 2 4 2 2" xfId="8670"/>
    <cellStyle name="Normal 2 2 2 2 4 2 2 2" xfId="15218"/>
    <cellStyle name="Normal 2 2 2 2 4 2 3" xfId="6951"/>
    <cellStyle name="Normal 2 2 2 2 4 2 3 2" xfId="13637"/>
    <cellStyle name="Normal 2 2 2 2 4 2 4" xfId="11852"/>
    <cellStyle name="Normal 2 2 2 2 4 3" xfId="5301"/>
    <cellStyle name="Normal 2 2 2 2 4 3 2" xfId="9044"/>
    <cellStyle name="Normal 2 2 2 2 4 3 2 2" xfId="15588"/>
    <cellStyle name="Normal 2 2 2 2 4 3 3" xfId="7325"/>
    <cellStyle name="Normal 2 2 2 2 4 3 3 2" xfId="14007"/>
    <cellStyle name="Normal 2 2 2 2 4 3 4" xfId="12222"/>
    <cellStyle name="Normal 2 2 2 2 4 4" xfId="5739"/>
    <cellStyle name="Normal 2 2 2 2 4 4 2" xfId="9480"/>
    <cellStyle name="Normal 2 2 2 2 4 4 2 2" xfId="15982"/>
    <cellStyle name="Normal 2 2 2 2 4 4 3" xfId="7761"/>
    <cellStyle name="Normal 2 2 2 2 4 4 3 2" xfId="14401"/>
    <cellStyle name="Normal 2 2 2 2 4 4 4" xfId="12632"/>
    <cellStyle name="Normal 2 2 2 2 4 5" xfId="9923"/>
    <cellStyle name="Normal 2 2 2 2 4 5 2" xfId="16404"/>
    <cellStyle name="Normal 2 2 2 2 4 6" xfId="8238"/>
    <cellStyle name="Normal 2 2 2 2 4 6 2" xfId="14795"/>
    <cellStyle name="Normal 2 2 2 2 4 7" xfId="6519"/>
    <cellStyle name="Normal 2 2 2 2 4 7 2" xfId="13209"/>
    <cellStyle name="Normal 2 2 2 2 4 8" xfId="11418"/>
    <cellStyle name="Normal 2 2 2 2 5" xfId="4679"/>
    <cellStyle name="Normal 2 2 2 2 5 2" xfId="8425"/>
    <cellStyle name="Normal 2 2 2 2 5 2 2" xfId="14977"/>
    <cellStyle name="Normal 2 2 2 2 5 3" xfId="6706"/>
    <cellStyle name="Normal 2 2 2 2 5 3 2" xfId="13396"/>
    <cellStyle name="Normal 2 2 2 2 5 4" xfId="11610"/>
    <cellStyle name="Normal 2 2 2 2 6" xfId="5100"/>
    <cellStyle name="Normal 2 2 2 2 6 2" xfId="8843"/>
    <cellStyle name="Normal 2 2 2 2 6 2 2" xfId="15391"/>
    <cellStyle name="Normal 2 2 2 2 6 3" xfId="7124"/>
    <cellStyle name="Normal 2 2 2 2 6 3 2" xfId="13810"/>
    <cellStyle name="Normal 2 2 2 2 6 4" xfId="12025"/>
    <cellStyle name="Normal 2 2 2 2 7" xfId="5537"/>
    <cellStyle name="Normal 2 2 2 2 7 2" xfId="9278"/>
    <cellStyle name="Normal 2 2 2 2 7 2 2" xfId="15785"/>
    <cellStyle name="Normal 2 2 2 2 7 3" xfId="7559"/>
    <cellStyle name="Normal 2 2 2 2 7 3 2" xfId="14204"/>
    <cellStyle name="Normal 2 2 2 2 7 4" xfId="12430"/>
    <cellStyle name="Normal 2 2 2 2 8" xfId="9659"/>
    <cellStyle name="Normal 2 2 2 2 8 2" xfId="16161"/>
    <cellStyle name="Normal 2 2 2 2 9" xfId="7958"/>
    <cellStyle name="Normal 2 2 2 2 9 2" xfId="14598"/>
    <cellStyle name="Normal 2 2 2 3" xfId="27"/>
    <cellStyle name="Normal 2 2 2 3 2" xfId="4462"/>
    <cellStyle name="Normal 2 2 2 3 2 2" xfId="4928"/>
    <cellStyle name="Normal 2 2 2 3 2 2 2" xfId="8671"/>
    <cellStyle name="Normal 2 2 2 3 2 2 2 2" xfId="15219"/>
    <cellStyle name="Normal 2 2 2 3 2 2 3" xfId="6952"/>
    <cellStyle name="Normal 2 2 2 3 2 2 3 2" xfId="13638"/>
    <cellStyle name="Normal 2 2 2 3 2 2 4" xfId="11853"/>
    <cellStyle name="Normal 2 2 2 3 2 3" xfId="5290"/>
    <cellStyle name="Normal 2 2 2 3 2 3 2" xfId="9033"/>
    <cellStyle name="Normal 2 2 2 3 2 3 2 2" xfId="15577"/>
    <cellStyle name="Normal 2 2 2 3 2 3 3" xfId="7314"/>
    <cellStyle name="Normal 2 2 2 3 2 3 3 2" xfId="13996"/>
    <cellStyle name="Normal 2 2 2 3 2 3 4" xfId="12211"/>
    <cellStyle name="Normal 2 2 2 3 2 4" xfId="5728"/>
    <cellStyle name="Normal 2 2 2 3 2 4 2" xfId="9469"/>
    <cellStyle name="Normal 2 2 2 3 2 4 2 2" xfId="15971"/>
    <cellStyle name="Normal 2 2 2 3 2 4 3" xfId="7750"/>
    <cellStyle name="Normal 2 2 2 3 2 4 3 2" xfId="14390"/>
    <cellStyle name="Normal 2 2 2 3 2 4 4" xfId="12621"/>
    <cellStyle name="Normal 2 2 2 3 2 5" xfId="9924"/>
    <cellStyle name="Normal 2 2 2 3 2 5 2" xfId="16405"/>
    <cellStyle name="Normal 2 2 2 3 2 6" xfId="8227"/>
    <cellStyle name="Normal 2 2 2 3 2 6 2" xfId="14784"/>
    <cellStyle name="Normal 2 2 2 3 2 7" xfId="6508"/>
    <cellStyle name="Normal 2 2 2 3 2 7 2" xfId="13198"/>
    <cellStyle name="Normal 2 2 2 3 2 8" xfId="11407"/>
    <cellStyle name="Normal 2 2 2 3 3" xfId="4769"/>
    <cellStyle name="Normal 2 2 2 3 3 2" xfId="8512"/>
    <cellStyle name="Normal 2 2 2 3 3 2 2" xfId="15064"/>
    <cellStyle name="Normal 2 2 2 3 3 3" xfId="6793"/>
    <cellStyle name="Normal 2 2 2 3 3 3 2" xfId="13483"/>
    <cellStyle name="Normal 2 2 2 3 3 4" xfId="11698"/>
    <cellStyle name="Normal 2 2 2 3 4" xfId="5089"/>
    <cellStyle name="Normal 2 2 2 3 4 2" xfId="8832"/>
    <cellStyle name="Normal 2 2 2 3 4 2 2" xfId="15380"/>
    <cellStyle name="Normal 2 2 2 3 4 3" xfId="7113"/>
    <cellStyle name="Normal 2 2 2 3 4 3 2" xfId="13799"/>
    <cellStyle name="Normal 2 2 2 3 4 4" xfId="12014"/>
    <cellStyle name="Normal 2 2 2 3 5" xfId="5526"/>
    <cellStyle name="Normal 2 2 2 3 5 2" xfId="9267"/>
    <cellStyle name="Normal 2 2 2 3 5 2 2" xfId="15774"/>
    <cellStyle name="Normal 2 2 2 3 5 3" xfId="7548"/>
    <cellStyle name="Normal 2 2 2 3 5 3 2" xfId="14193"/>
    <cellStyle name="Normal 2 2 2 3 5 4" xfId="12419"/>
    <cellStyle name="Normal 2 2 2 3 6" xfId="9759"/>
    <cellStyle name="Normal 2 2 2 3 6 2" xfId="16250"/>
    <cellStyle name="Normal 2 2 2 3 7" xfId="7947"/>
    <cellStyle name="Normal 2 2 2 3 7 2" xfId="14587"/>
    <cellStyle name="Normal 2 2 2 3 8" xfId="5926"/>
    <cellStyle name="Normal 2 2 2 3 8 2" xfId="12819"/>
    <cellStyle name="Normal 2 2 2 3 9" xfId="10261"/>
    <cellStyle name="Normal 2 2 2 4" xfId="4110"/>
    <cellStyle name="Normal 2 2 2 4 2" xfId="4522"/>
    <cellStyle name="Normal 2 2 2 4 2 2" xfId="4929"/>
    <cellStyle name="Normal 2 2 2 4 2 2 2" xfId="8672"/>
    <cellStyle name="Normal 2 2 2 4 2 2 2 2" xfId="15220"/>
    <cellStyle name="Normal 2 2 2 4 2 2 3" xfId="6953"/>
    <cellStyle name="Normal 2 2 2 4 2 2 3 2" xfId="13639"/>
    <cellStyle name="Normal 2 2 2 4 2 2 4" xfId="11854"/>
    <cellStyle name="Normal 2 2 2 4 2 3" xfId="5349"/>
    <cellStyle name="Normal 2 2 2 4 2 3 2" xfId="9092"/>
    <cellStyle name="Normal 2 2 2 4 2 3 2 2" xfId="15636"/>
    <cellStyle name="Normal 2 2 2 4 2 3 3" xfId="7373"/>
    <cellStyle name="Normal 2 2 2 4 2 3 3 2" xfId="14055"/>
    <cellStyle name="Normal 2 2 2 4 2 3 4" xfId="12270"/>
    <cellStyle name="Normal 2 2 2 4 2 4" xfId="5787"/>
    <cellStyle name="Normal 2 2 2 4 2 4 2" xfId="9528"/>
    <cellStyle name="Normal 2 2 2 4 2 4 2 2" xfId="16030"/>
    <cellStyle name="Normal 2 2 2 4 2 4 3" xfId="7809"/>
    <cellStyle name="Normal 2 2 2 4 2 4 3 2" xfId="14449"/>
    <cellStyle name="Normal 2 2 2 4 2 4 4" xfId="12680"/>
    <cellStyle name="Normal 2 2 2 4 2 5" xfId="9925"/>
    <cellStyle name="Normal 2 2 2 4 2 5 2" xfId="16406"/>
    <cellStyle name="Normal 2 2 2 4 2 6" xfId="8286"/>
    <cellStyle name="Normal 2 2 2 4 2 6 2" xfId="14843"/>
    <cellStyle name="Normal 2 2 2 4 2 7" xfId="6567"/>
    <cellStyle name="Normal 2 2 2 4 2 7 2" xfId="13257"/>
    <cellStyle name="Normal 2 2 2 4 2 8" xfId="11467"/>
    <cellStyle name="Normal 2 2 2 4 3" xfId="4827"/>
    <cellStyle name="Normal 2 2 2 4 3 2" xfId="8570"/>
    <cellStyle name="Normal 2 2 2 4 3 2 2" xfId="15118"/>
    <cellStyle name="Normal 2 2 2 4 3 3" xfId="6851"/>
    <cellStyle name="Normal 2 2 2 4 3 3 2" xfId="13537"/>
    <cellStyle name="Normal 2 2 2 4 3 4" xfId="11752"/>
    <cellStyle name="Normal 2 2 2 4 4" xfId="5152"/>
    <cellStyle name="Normal 2 2 2 4 4 2" xfId="8895"/>
    <cellStyle name="Normal 2 2 2 4 4 2 2" xfId="15439"/>
    <cellStyle name="Normal 2 2 2 4 4 3" xfId="7176"/>
    <cellStyle name="Normal 2 2 2 4 4 3 2" xfId="13858"/>
    <cellStyle name="Normal 2 2 2 4 4 4" xfId="12073"/>
    <cellStyle name="Normal 2 2 2 4 5" xfId="5585"/>
    <cellStyle name="Normal 2 2 2 4 5 2" xfId="9326"/>
    <cellStyle name="Normal 2 2 2 4 5 2 2" xfId="15833"/>
    <cellStyle name="Normal 2 2 2 4 5 3" xfId="7607"/>
    <cellStyle name="Normal 2 2 2 4 5 3 2" xfId="14252"/>
    <cellStyle name="Normal 2 2 2 4 5 4" xfId="12478"/>
    <cellStyle name="Normal 2 2 2 4 6" xfId="9818"/>
    <cellStyle name="Normal 2 2 2 4 6 2" xfId="16304"/>
    <cellStyle name="Normal 2 2 2 4 7" xfId="8046"/>
    <cellStyle name="Normal 2 2 2 4 7 2" xfId="14646"/>
    <cellStyle name="Normal 2 2 2 4 8" xfId="6319"/>
    <cellStyle name="Normal 2 2 2 4 8 2" xfId="13042"/>
    <cellStyle name="Normal 2 2 2 4 9" xfId="11261"/>
    <cellStyle name="Normal 2 2 2 5" xfId="4454"/>
    <cellStyle name="Normal 2 2 2 5 2" xfId="4930"/>
    <cellStyle name="Normal 2 2 2 5 2 2" xfId="8673"/>
    <cellStyle name="Normal 2 2 2 5 2 2 2" xfId="15221"/>
    <cellStyle name="Normal 2 2 2 5 2 3" xfId="6954"/>
    <cellStyle name="Normal 2 2 2 5 2 3 2" xfId="13640"/>
    <cellStyle name="Normal 2 2 2 5 2 4" xfId="11855"/>
    <cellStyle name="Normal 2 2 2 5 3" xfId="5282"/>
    <cellStyle name="Normal 2 2 2 5 3 2" xfId="9025"/>
    <cellStyle name="Normal 2 2 2 5 3 2 2" xfId="15569"/>
    <cellStyle name="Normal 2 2 2 5 3 3" xfId="7306"/>
    <cellStyle name="Normal 2 2 2 5 3 3 2" xfId="13988"/>
    <cellStyle name="Normal 2 2 2 5 3 4" xfId="12203"/>
    <cellStyle name="Normal 2 2 2 5 4" xfId="5720"/>
    <cellStyle name="Normal 2 2 2 5 4 2" xfId="9461"/>
    <cellStyle name="Normal 2 2 2 5 4 2 2" xfId="15963"/>
    <cellStyle name="Normal 2 2 2 5 4 3" xfId="7742"/>
    <cellStyle name="Normal 2 2 2 5 4 3 2" xfId="14382"/>
    <cellStyle name="Normal 2 2 2 5 4 4" xfId="12613"/>
    <cellStyle name="Normal 2 2 2 5 5" xfId="9926"/>
    <cellStyle name="Normal 2 2 2 5 5 2" xfId="16407"/>
    <cellStyle name="Normal 2 2 2 5 6" xfId="8219"/>
    <cellStyle name="Normal 2 2 2 5 6 2" xfId="14776"/>
    <cellStyle name="Normal 2 2 2 5 7" xfId="6500"/>
    <cellStyle name="Normal 2 2 2 5 7 2" xfId="13190"/>
    <cellStyle name="Normal 2 2 2 5 8" xfId="11399"/>
    <cellStyle name="Normal 2 2 2 6" xfId="4678"/>
    <cellStyle name="Normal 2 2 2 6 2" xfId="8424"/>
    <cellStyle name="Normal 2 2 2 6 2 2" xfId="14976"/>
    <cellStyle name="Normal 2 2 2 6 3" xfId="6705"/>
    <cellStyle name="Normal 2 2 2 6 3 2" xfId="13395"/>
    <cellStyle name="Normal 2 2 2 6 4" xfId="11609"/>
    <cellStyle name="Normal 2 2 2 7" xfId="5081"/>
    <cellStyle name="Normal 2 2 2 7 2" xfId="8824"/>
    <cellStyle name="Normal 2 2 2 7 2 2" xfId="15372"/>
    <cellStyle name="Normal 2 2 2 7 3" xfId="7105"/>
    <cellStyle name="Normal 2 2 2 7 3 2" xfId="13791"/>
    <cellStyle name="Normal 2 2 2 7 4" xfId="12006"/>
    <cellStyle name="Normal 2 2 2 8" xfId="5518"/>
    <cellStyle name="Normal 2 2 2 8 2" xfId="9259"/>
    <cellStyle name="Normal 2 2 2 8 2 2" xfId="15766"/>
    <cellStyle name="Normal 2 2 2 8 3" xfId="7540"/>
    <cellStyle name="Normal 2 2 2 8 3 2" xfId="14185"/>
    <cellStyle name="Normal 2 2 2 8 4" xfId="12411"/>
    <cellStyle name="Normal 2 2 2 9" xfId="9658"/>
    <cellStyle name="Normal 2 2 2 9 2" xfId="16160"/>
    <cellStyle name="Normal 2 2 3" xfId="33"/>
    <cellStyle name="Normal 2 2 3 10" xfId="5932"/>
    <cellStyle name="Normal 2 2 3 10 2" xfId="12825"/>
    <cellStyle name="Normal 2 2 3 11" xfId="10267"/>
    <cellStyle name="Normal 2 2 3 2" xfId="4111"/>
    <cellStyle name="Normal 2 2 3 2 2" xfId="4523"/>
    <cellStyle name="Normal 2 2 3 2 2 2" xfId="4931"/>
    <cellStyle name="Normal 2 2 3 2 2 2 2" xfId="8674"/>
    <cellStyle name="Normal 2 2 3 2 2 2 2 2" xfId="15222"/>
    <cellStyle name="Normal 2 2 3 2 2 2 3" xfId="6955"/>
    <cellStyle name="Normal 2 2 3 2 2 2 3 2" xfId="13641"/>
    <cellStyle name="Normal 2 2 3 2 2 2 4" xfId="11856"/>
    <cellStyle name="Normal 2 2 3 2 2 3" xfId="5350"/>
    <cellStyle name="Normal 2 2 3 2 2 3 2" xfId="9093"/>
    <cellStyle name="Normal 2 2 3 2 2 3 2 2" xfId="15637"/>
    <cellStyle name="Normal 2 2 3 2 2 3 3" xfId="7374"/>
    <cellStyle name="Normal 2 2 3 2 2 3 3 2" xfId="14056"/>
    <cellStyle name="Normal 2 2 3 2 2 3 4" xfId="12271"/>
    <cellStyle name="Normal 2 2 3 2 2 4" xfId="5788"/>
    <cellStyle name="Normal 2 2 3 2 2 4 2" xfId="9529"/>
    <cellStyle name="Normal 2 2 3 2 2 4 2 2" xfId="16031"/>
    <cellStyle name="Normal 2 2 3 2 2 4 3" xfId="7810"/>
    <cellStyle name="Normal 2 2 3 2 2 4 3 2" xfId="14450"/>
    <cellStyle name="Normal 2 2 3 2 2 4 4" xfId="12681"/>
    <cellStyle name="Normal 2 2 3 2 2 5" xfId="9927"/>
    <cellStyle name="Normal 2 2 3 2 2 5 2" xfId="16408"/>
    <cellStyle name="Normal 2 2 3 2 2 6" xfId="8287"/>
    <cellStyle name="Normal 2 2 3 2 2 6 2" xfId="14844"/>
    <cellStyle name="Normal 2 2 3 2 2 7" xfId="6568"/>
    <cellStyle name="Normal 2 2 3 2 2 7 2" xfId="13258"/>
    <cellStyle name="Normal 2 2 3 2 2 8" xfId="11468"/>
    <cellStyle name="Normal 2 2 3 2 3" xfId="4771"/>
    <cellStyle name="Normal 2 2 3 2 3 2" xfId="8514"/>
    <cellStyle name="Normal 2 2 3 2 3 2 2" xfId="15066"/>
    <cellStyle name="Normal 2 2 3 2 3 3" xfId="6795"/>
    <cellStyle name="Normal 2 2 3 2 3 3 2" xfId="13485"/>
    <cellStyle name="Normal 2 2 3 2 3 4" xfId="11700"/>
    <cellStyle name="Normal 2 2 3 2 4" xfId="5153"/>
    <cellStyle name="Normal 2 2 3 2 4 2" xfId="8896"/>
    <cellStyle name="Normal 2 2 3 2 4 2 2" xfId="15440"/>
    <cellStyle name="Normal 2 2 3 2 4 3" xfId="7177"/>
    <cellStyle name="Normal 2 2 3 2 4 3 2" xfId="13859"/>
    <cellStyle name="Normal 2 2 3 2 4 4" xfId="12074"/>
    <cellStyle name="Normal 2 2 3 2 5" xfId="5586"/>
    <cellStyle name="Normal 2 2 3 2 5 2" xfId="9327"/>
    <cellStyle name="Normal 2 2 3 2 5 2 2" xfId="15834"/>
    <cellStyle name="Normal 2 2 3 2 5 3" xfId="7608"/>
    <cellStyle name="Normal 2 2 3 2 5 3 2" xfId="14253"/>
    <cellStyle name="Normal 2 2 3 2 5 4" xfId="12479"/>
    <cellStyle name="Normal 2 2 3 2 6" xfId="9761"/>
    <cellStyle name="Normal 2 2 3 2 6 2" xfId="16252"/>
    <cellStyle name="Normal 2 2 3 2 7" xfId="8047"/>
    <cellStyle name="Normal 2 2 3 2 7 2" xfId="14647"/>
    <cellStyle name="Normal 2 2 3 2 8" xfId="6320"/>
    <cellStyle name="Normal 2 2 3 2 8 2" xfId="13043"/>
    <cellStyle name="Normal 2 2 3 2 9" xfId="11262"/>
    <cellStyle name="Normal 2 2 3 3" xfId="4112"/>
    <cellStyle name="Normal 2 2 3 3 2" xfId="4524"/>
    <cellStyle name="Normal 2 2 3 3 2 2" xfId="4932"/>
    <cellStyle name="Normal 2 2 3 3 2 2 2" xfId="8675"/>
    <cellStyle name="Normal 2 2 3 3 2 2 2 2" xfId="15223"/>
    <cellStyle name="Normal 2 2 3 3 2 2 3" xfId="6956"/>
    <cellStyle name="Normal 2 2 3 3 2 2 3 2" xfId="13642"/>
    <cellStyle name="Normal 2 2 3 3 2 2 4" xfId="11857"/>
    <cellStyle name="Normal 2 2 3 3 2 3" xfId="5351"/>
    <cellStyle name="Normal 2 2 3 3 2 3 2" xfId="9094"/>
    <cellStyle name="Normal 2 2 3 3 2 3 2 2" xfId="15638"/>
    <cellStyle name="Normal 2 2 3 3 2 3 3" xfId="7375"/>
    <cellStyle name="Normal 2 2 3 3 2 3 3 2" xfId="14057"/>
    <cellStyle name="Normal 2 2 3 3 2 3 4" xfId="12272"/>
    <cellStyle name="Normal 2 2 3 3 2 4" xfId="5789"/>
    <cellStyle name="Normal 2 2 3 3 2 4 2" xfId="9530"/>
    <cellStyle name="Normal 2 2 3 3 2 4 2 2" xfId="16032"/>
    <cellStyle name="Normal 2 2 3 3 2 4 3" xfId="7811"/>
    <cellStyle name="Normal 2 2 3 3 2 4 3 2" xfId="14451"/>
    <cellStyle name="Normal 2 2 3 3 2 4 4" xfId="12682"/>
    <cellStyle name="Normal 2 2 3 3 2 5" xfId="9928"/>
    <cellStyle name="Normal 2 2 3 3 2 5 2" xfId="16409"/>
    <cellStyle name="Normal 2 2 3 3 2 6" xfId="8288"/>
    <cellStyle name="Normal 2 2 3 3 2 6 2" xfId="14845"/>
    <cellStyle name="Normal 2 2 3 3 2 7" xfId="6569"/>
    <cellStyle name="Normal 2 2 3 3 2 7 2" xfId="13259"/>
    <cellStyle name="Normal 2 2 3 3 2 8" xfId="11469"/>
    <cellStyle name="Normal 2 2 3 3 3" xfId="4833"/>
    <cellStyle name="Normal 2 2 3 3 3 2" xfId="8576"/>
    <cellStyle name="Normal 2 2 3 3 3 2 2" xfId="15124"/>
    <cellStyle name="Normal 2 2 3 3 3 3" xfId="6857"/>
    <cellStyle name="Normal 2 2 3 3 3 3 2" xfId="13543"/>
    <cellStyle name="Normal 2 2 3 3 3 4" xfId="11758"/>
    <cellStyle name="Normal 2 2 3 3 4" xfId="5154"/>
    <cellStyle name="Normal 2 2 3 3 4 2" xfId="8897"/>
    <cellStyle name="Normal 2 2 3 3 4 2 2" xfId="15441"/>
    <cellStyle name="Normal 2 2 3 3 4 3" xfId="7178"/>
    <cellStyle name="Normal 2 2 3 3 4 3 2" xfId="13860"/>
    <cellStyle name="Normal 2 2 3 3 4 4" xfId="12075"/>
    <cellStyle name="Normal 2 2 3 3 5" xfId="5587"/>
    <cellStyle name="Normal 2 2 3 3 5 2" xfId="9328"/>
    <cellStyle name="Normal 2 2 3 3 5 2 2" xfId="15835"/>
    <cellStyle name="Normal 2 2 3 3 5 3" xfId="7609"/>
    <cellStyle name="Normal 2 2 3 3 5 3 2" xfId="14254"/>
    <cellStyle name="Normal 2 2 3 3 5 4" xfId="12480"/>
    <cellStyle name="Normal 2 2 3 3 6" xfId="9824"/>
    <cellStyle name="Normal 2 2 3 3 6 2" xfId="16310"/>
    <cellStyle name="Normal 2 2 3 3 7" xfId="8048"/>
    <cellStyle name="Normal 2 2 3 3 7 2" xfId="14648"/>
    <cellStyle name="Normal 2 2 3 3 8" xfId="6321"/>
    <cellStyle name="Normal 2 2 3 3 8 2" xfId="13044"/>
    <cellStyle name="Normal 2 2 3 3 9" xfId="11263"/>
    <cellStyle name="Normal 2 2 3 4" xfId="4468"/>
    <cellStyle name="Normal 2 2 3 4 2" xfId="4933"/>
    <cellStyle name="Normal 2 2 3 4 2 2" xfId="8676"/>
    <cellStyle name="Normal 2 2 3 4 2 2 2" xfId="15224"/>
    <cellStyle name="Normal 2 2 3 4 2 3" xfId="6957"/>
    <cellStyle name="Normal 2 2 3 4 2 3 2" xfId="13643"/>
    <cellStyle name="Normal 2 2 3 4 2 4" xfId="11858"/>
    <cellStyle name="Normal 2 2 3 4 3" xfId="5296"/>
    <cellStyle name="Normal 2 2 3 4 3 2" xfId="9039"/>
    <cellStyle name="Normal 2 2 3 4 3 2 2" xfId="15583"/>
    <cellStyle name="Normal 2 2 3 4 3 3" xfId="7320"/>
    <cellStyle name="Normal 2 2 3 4 3 3 2" xfId="14002"/>
    <cellStyle name="Normal 2 2 3 4 3 4" xfId="12217"/>
    <cellStyle name="Normal 2 2 3 4 4" xfId="5734"/>
    <cellStyle name="Normal 2 2 3 4 4 2" xfId="9475"/>
    <cellStyle name="Normal 2 2 3 4 4 2 2" xfId="15977"/>
    <cellStyle name="Normal 2 2 3 4 4 3" xfId="7756"/>
    <cellStyle name="Normal 2 2 3 4 4 3 2" xfId="14396"/>
    <cellStyle name="Normal 2 2 3 4 4 4" xfId="12627"/>
    <cellStyle name="Normal 2 2 3 4 5" xfId="9929"/>
    <cellStyle name="Normal 2 2 3 4 5 2" xfId="16410"/>
    <cellStyle name="Normal 2 2 3 4 6" xfId="8233"/>
    <cellStyle name="Normal 2 2 3 4 6 2" xfId="14790"/>
    <cellStyle name="Normal 2 2 3 4 7" xfId="6514"/>
    <cellStyle name="Normal 2 2 3 4 7 2" xfId="13204"/>
    <cellStyle name="Normal 2 2 3 4 8" xfId="11413"/>
    <cellStyle name="Normal 2 2 3 5" xfId="4680"/>
    <cellStyle name="Normal 2 2 3 5 2" xfId="8426"/>
    <cellStyle name="Normal 2 2 3 5 2 2" xfId="14978"/>
    <cellStyle name="Normal 2 2 3 5 3" xfId="6707"/>
    <cellStyle name="Normal 2 2 3 5 3 2" xfId="13397"/>
    <cellStyle name="Normal 2 2 3 5 4" xfId="11611"/>
    <cellStyle name="Normal 2 2 3 6" xfId="5095"/>
    <cellStyle name="Normal 2 2 3 6 2" xfId="8838"/>
    <cellStyle name="Normal 2 2 3 6 2 2" xfId="15386"/>
    <cellStyle name="Normal 2 2 3 6 3" xfId="7119"/>
    <cellStyle name="Normal 2 2 3 6 3 2" xfId="13805"/>
    <cellStyle name="Normal 2 2 3 6 4" xfId="12020"/>
    <cellStyle name="Normal 2 2 3 7" xfId="5532"/>
    <cellStyle name="Normal 2 2 3 7 2" xfId="9273"/>
    <cellStyle name="Normal 2 2 3 7 2 2" xfId="15780"/>
    <cellStyle name="Normal 2 2 3 7 3" xfId="7554"/>
    <cellStyle name="Normal 2 2 3 7 3 2" xfId="14199"/>
    <cellStyle name="Normal 2 2 3 7 4" xfId="12425"/>
    <cellStyle name="Normal 2 2 3 8" xfId="9660"/>
    <cellStyle name="Normal 2 2 3 8 2" xfId="16162"/>
    <cellStyle name="Normal 2 2 3 9" xfId="7953"/>
    <cellStyle name="Normal 2 2 3 9 2" xfId="14593"/>
    <cellStyle name="Normal 2 2 4" xfId="22"/>
    <cellStyle name="Normal 2 2 4 2" xfId="4458"/>
    <cellStyle name="Normal 2 2 4 2 2" xfId="4934"/>
    <cellStyle name="Normal 2 2 4 2 2 2" xfId="8677"/>
    <cellStyle name="Normal 2 2 4 2 2 2 2" xfId="15225"/>
    <cellStyle name="Normal 2 2 4 2 2 3" xfId="6958"/>
    <cellStyle name="Normal 2 2 4 2 2 3 2" xfId="13644"/>
    <cellStyle name="Normal 2 2 4 2 2 4" xfId="11859"/>
    <cellStyle name="Normal 2 2 4 2 3" xfId="5286"/>
    <cellStyle name="Normal 2 2 4 2 3 2" xfId="9029"/>
    <cellStyle name="Normal 2 2 4 2 3 2 2" xfId="15573"/>
    <cellStyle name="Normal 2 2 4 2 3 3" xfId="7310"/>
    <cellStyle name="Normal 2 2 4 2 3 3 2" xfId="13992"/>
    <cellStyle name="Normal 2 2 4 2 3 4" xfId="12207"/>
    <cellStyle name="Normal 2 2 4 2 4" xfId="5724"/>
    <cellStyle name="Normal 2 2 4 2 4 2" xfId="9465"/>
    <cellStyle name="Normal 2 2 4 2 4 2 2" xfId="15967"/>
    <cellStyle name="Normal 2 2 4 2 4 3" xfId="7746"/>
    <cellStyle name="Normal 2 2 4 2 4 3 2" xfId="14386"/>
    <cellStyle name="Normal 2 2 4 2 4 4" xfId="12617"/>
    <cellStyle name="Normal 2 2 4 2 5" xfId="9930"/>
    <cellStyle name="Normal 2 2 4 2 5 2" xfId="16411"/>
    <cellStyle name="Normal 2 2 4 2 6" xfId="8223"/>
    <cellStyle name="Normal 2 2 4 2 6 2" xfId="14780"/>
    <cellStyle name="Normal 2 2 4 2 7" xfId="6504"/>
    <cellStyle name="Normal 2 2 4 2 7 2" xfId="13194"/>
    <cellStyle name="Normal 2 2 4 2 8" xfId="11403"/>
    <cellStyle name="Normal 2 2 4 3" xfId="4768"/>
    <cellStyle name="Normal 2 2 4 3 2" xfId="8511"/>
    <cellStyle name="Normal 2 2 4 3 2 2" xfId="15063"/>
    <cellStyle name="Normal 2 2 4 3 3" xfId="6792"/>
    <cellStyle name="Normal 2 2 4 3 3 2" xfId="13482"/>
    <cellStyle name="Normal 2 2 4 3 4" xfId="11697"/>
    <cellStyle name="Normal 2 2 4 4" xfId="5085"/>
    <cellStyle name="Normal 2 2 4 4 2" xfId="8828"/>
    <cellStyle name="Normal 2 2 4 4 2 2" xfId="15376"/>
    <cellStyle name="Normal 2 2 4 4 3" xfId="7109"/>
    <cellStyle name="Normal 2 2 4 4 3 2" xfId="13795"/>
    <cellStyle name="Normal 2 2 4 4 4" xfId="12010"/>
    <cellStyle name="Normal 2 2 4 5" xfId="5522"/>
    <cellStyle name="Normal 2 2 4 5 2" xfId="9263"/>
    <cellStyle name="Normal 2 2 4 5 2 2" xfId="15770"/>
    <cellStyle name="Normal 2 2 4 5 3" xfId="7544"/>
    <cellStyle name="Normal 2 2 4 5 3 2" xfId="14189"/>
    <cellStyle name="Normal 2 2 4 5 4" xfId="12415"/>
    <cellStyle name="Normal 2 2 4 6" xfId="9758"/>
    <cellStyle name="Normal 2 2 4 6 2" xfId="16249"/>
    <cellStyle name="Normal 2 2 4 7" xfId="7943"/>
    <cellStyle name="Normal 2 2 4 7 2" xfId="14583"/>
    <cellStyle name="Normal 2 2 4 8" xfId="5922"/>
    <cellStyle name="Normal 2 2 4 8 2" xfId="12815"/>
    <cellStyle name="Normal 2 2 4 9" xfId="10257"/>
    <cellStyle name="Normal 2 2 5" xfId="4113"/>
    <cellStyle name="Normal 2 2 5 2" xfId="4525"/>
    <cellStyle name="Normal 2 2 5 2 2" xfId="4935"/>
    <cellStyle name="Normal 2 2 5 2 2 2" xfId="8678"/>
    <cellStyle name="Normal 2 2 5 2 2 2 2" xfId="15226"/>
    <cellStyle name="Normal 2 2 5 2 2 3" xfId="6959"/>
    <cellStyle name="Normal 2 2 5 2 2 3 2" xfId="13645"/>
    <cellStyle name="Normal 2 2 5 2 2 4" xfId="11860"/>
    <cellStyle name="Normal 2 2 5 2 3" xfId="5352"/>
    <cellStyle name="Normal 2 2 5 2 3 2" xfId="9095"/>
    <cellStyle name="Normal 2 2 5 2 3 2 2" xfId="15639"/>
    <cellStyle name="Normal 2 2 5 2 3 3" xfId="7376"/>
    <cellStyle name="Normal 2 2 5 2 3 3 2" xfId="14058"/>
    <cellStyle name="Normal 2 2 5 2 3 4" xfId="12273"/>
    <cellStyle name="Normal 2 2 5 2 4" xfId="5790"/>
    <cellStyle name="Normal 2 2 5 2 4 2" xfId="9531"/>
    <cellStyle name="Normal 2 2 5 2 4 2 2" xfId="16033"/>
    <cellStyle name="Normal 2 2 5 2 4 3" xfId="7812"/>
    <cellStyle name="Normal 2 2 5 2 4 3 2" xfId="14452"/>
    <cellStyle name="Normal 2 2 5 2 4 4" xfId="12683"/>
    <cellStyle name="Normal 2 2 5 2 5" xfId="9931"/>
    <cellStyle name="Normal 2 2 5 2 5 2" xfId="16412"/>
    <cellStyle name="Normal 2 2 5 2 6" xfId="8289"/>
    <cellStyle name="Normal 2 2 5 2 6 2" xfId="14846"/>
    <cellStyle name="Normal 2 2 5 2 7" xfId="6570"/>
    <cellStyle name="Normal 2 2 5 2 7 2" xfId="13260"/>
    <cellStyle name="Normal 2 2 5 2 8" xfId="11470"/>
    <cellStyle name="Normal 2 2 5 3" xfId="4823"/>
    <cellStyle name="Normal 2 2 5 3 2" xfId="8566"/>
    <cellStyle name="Normal 2 2 5 3 2 2" xfId="15114"/>
    <cellStyle name="Normal 2 2 5 3 3" xfId="6847"/>
    <cellStyle name="Normal 2 2 5 3 3 2" xfId="13533"/>
    <cellStyle name="Normal 2 2 5 3 4" xfId="11748"/>
    <cellStyle name="Normal 2 2 5 4" xfId="5155"/>
    <cellStyle name="Normal 2 2 5 4 2" xfId="8898"/>
    <cellStyle name="Normal 2 2 5 4 2 2" xfId="15442"/>
    <cellStyle name="Normal 2 2 5 4 3" xfId="7179"/>
    <cellStyle name="Normal 2 2 5 4 3 2" xfId="13861"/>
    <cellStyle name="Normal 2 2 5 4 4" xfId="12076"/>
    <cellStyle name="Normal 2 2 5 5" xfId="5588"/>
    <cellStyle name="Normal 2 2 5 5 2" xfId="9329"/>
    <cellStyle name="Normal 2 2 5 5 2 2" xfId="15836"/>
    <cellStyle name="Normal 2 2 5 5 3" xfId="7610"/>
    <cellStyle name="Normal 2 2 5 5 3 2" xfId="14255"/>
    <cellStyle name="Normal 2 2 5 5 4" xfId="12481"/>
    <cellStyle name="Normal 2 2 5 6" xfId="9814"/>
    <cellStyle name="Normal 2 2 5 6 2" xfId="16300"/>
    <cellStyle name="Normal 2 2 5 7" xfId="8049"/>
    <cellStyle name="Normal 2 2 5 7 2" xfId="14649"/>
    <cellStyle name="Normal 2 2 5 8" xfId="6322"/>
    <cellStyle name="Normal 2 2 5 8 2" xfId="13045"/>
    <cellStyle name="Normal 2 2 5 9" xfId="11264"/>
    <cellStyle name="Normal 2 2 6" xfId="4405"/>
    <cellStyle name="Normal 2 2 6 2" xfId="4619"/>
    <cellStyle name="Normal 2 2 6 2 2" xfId="4937"/>
    <cellStyle name="Normal 2 2 6 2 2 2" xfId="8680"/>
    <cellStyle name="Normal 2 2 6 2 2 2 2" xfId="15228"/>
    <cellStyle name="Normal 2 2 6 2 2 3" xfId="6961"/>
    <cellStyle name="Normal 2 2 6 2 2 3 2" xfId="13647"/>
    <cellStyle name="Normal 2 2 6 2 2 4" xfId="11862"/>
    <cellStyle name="Normal 2 2 6 2 3" xfId="5446"/>
    <cellStyle name="Normal 2 2 6 2 3 2" xfId="9189"/>
    <cellStyle name="Normal 2 2 6 2 3 2 2" xfId="15733"/>
    <cellStyle name="Normal 2 2 6 2 3 3" xfId="7470"/>
    <cellStyle name="Normal 2 2 6 2 3 3 2" xfId="14152"/>
    <cellStyle name="Normal 2 2 6 2 3 4" xfId="12367"/>
    <cellStyle name="Normal 2 2 6 2 4" xfId="5884"/>
    <cellStyle name="Normal 2 2 6 2 4 2" xfId="9625"/>
    <cellStyle name="Normal 2 2 6 2 4 2 2" xfId="16127"/>
    <cellStyle name="Normal 2 2 6 2 4 3" xfId="7906"/>
    <cellStyle name="Normal 2 2 6 2 4 3 2" xfId="14546"/>
    <cellStyle name="Normal 2 2 6 2 4 4" xfId="12777"/>
    <cellStyle name="Normal 2 2 6 2 5" xfId="9933"/>
    <cellStyle name="Normal 2 2 6 2 5 2" xfId="16414"/>
    <cellStyle name="Normal 2 2 6 2 6" xfId="8383"/>
    <cellStyle name="Normal 2 2 6 2 6 2" xfId="14940"/>
    <cellStyle name="Normal 2 2 6 2 7" xfId="6664"/>
    <cellStyle name="Normal 2 2 6 2 7 2" xfId="13354"/>
    <cellStyle name="Normal 2 2 6 2 8" xfId="11564"/>
    <cellStyle name="Normal 2 2 6 3" xfId="4936"/>
    <cellStyle name="Normal 2 2 6 3 2" xfId="8679"/>
    <cellStyle name="Normal 2 2 6 3 2 2" xfId="15227"/>
    <cellStyle name="Normal 2 2 6 3 3" xfId="6960"/>
    <cellStyle name="Normal 2 2 6 3 3 2" xfId="13646"/>
    <cellStyle name="Normal 2 2 6 3 4" xfId="11861"/>
    <cellStyle name="Normal 2 2 6 4" xfId="5249"/>
    <cellStyle name="Normal 2 2 6 4 2" xfId="8992"/>
    <cellStyle name="Normal 2 2 6 4 2 2" xfId="15536"/>
    <cellStyle name="Normal 2 2 6 4 3" xfId="7273"/>
    <cellStyle name="Normal 2 2 6 4 3 2" xfId="13955"/>
    <cellStyle name="Normal 2 2 6 4 4" xfId="12170"/>
    <cellStyle name="Normal 2 2 6 5" xfId="5687"/>
    <cellStyle name="Normal 2 2 6 5 2" xfId="9428"/>
    <cellStyle name="Normal 2 2 6 5 2 2" xfId="15930"/>
    <cellStyle name="Normal 2 2 6 5 3" xfId="7709"/>
    <cellStyle name="Normal 2 2 6 5 3 2" xfId="14349"/>
    <cellStyle name="Normal 2 2 6 5 4" xfId="12580"/>
    <cellStyle name="Normal 2 2 6 6" xfId="9932"/>
    <cellStyle name="Normal 2 2 6 6 2" xfId="16413"/>
    <cellStyle name="Normal 2 2 6 7" xfId="8186"/>
    <cellStyle name="Normal 2 2 6 7 2" xfId="14743"/>
    <cellStyle name="Normal 2 2 6 8" xfId="6467"/>
    <cellStyle name="Normal 2 2 6 8 2" xfId="13157"/>
    <cellStyle name="Normal 2 2 6 9" xfId="11363"/>
    <cellStyle name="Normal 2 2 7" xfId="4422"/>
    <cellStyle name="Normal 2 2 7 2" xfId="4631"/>
    <cellStyle name="Normal 2 2 7 2 2" xfId="4939"/>
    <cellStyle name="Normal 2 2 7 2 2 2" xfId="8682"/>
    <cellStyle name="Normal 2 2 7 2 2 2 2" xfId="15230"/>
    <cellStyle name="Normal 2 2 7 2 2 3" xfId="6963"/>
    <cellStyle name="Normal 2 2 7 2 2 3 2" xfId="13649"/>
    <cellStyle name="Normal 2 2 7 2 2 4" xfId="11864"/>
    <cellStyle name="Normal 2 2 7 2 3" xfId="5458"/>
    <cellStyle name="Normal 2 2 7 2 3 2" xfId="9201"/>
    <cellStyle name="Normal 2 2 7 2 3 2 2" xfId="15745"/>
    <cellStyle name="Normal 2 2 7 2 3 3" xfId="7482"/>
    <cellStyle name="Normal 2 2 7 2 3 3 2" xfId="14164"/>
    <cellStyle name="Normal 2 2 7 2 3 4" xfId="12379"/>
    <cellStyle name="Normal 2 2 7 2 4" xfId="5896"/>
    <cellStyle name="Normal 2 2 7 2 4 2" xfId="9637"/>
    <cellStyle name="Normal 2 2 7 2 4 2 2" xfId="16139"/>
    <cellStyle name="Normal 2 2 7 2 4 3" xfId="7918"/>
    <cellStyle name="Normal 2 2 7 2 4 3 2" xfId="14558"/>
    <cellStyle name="Normal 2 2 7 2 4 4" xfId="12789"/>
    <cellStyle name="Normal 2 2 7 2 5" xfId="9935"/>
    <cellStyle name="Normal 2 2 7 2 5 2" xfId="16416"/>
    <cellStyle name="Normal 2 2 7 2 6" xfId="8395"/>
    <cellStyle name="Normal 2 2 7 2 6 2" xfId="14952"/>
    <cellStyle name="Normal 2 2 7 2 7" xfId="6676"/>
    <cellStyle name="Normal 2 2 7 2 7 2" xfId="13366"/>
    <cellStyle name="Normal 2 2 7 2 8" xfId="11576"/>
    <cellStyle name="Normal 2 2 7 3" xfId="4938"/>
    <cellStyle name="Normal 2 2 7 3 2" xfId="8681"/>
    <cellStyle name="Normal 2 2 7 3 2 2" xfId="15229"/>
    <cellStyle name="Normal 2 2 7 3 3" xfId="6962"/>
    <cellStyle name="Normal 2 2 7 3 3 2" xfId="13648"/>
    <cellStyle name="Normal 2 2 7 3 4" xfId="11863"/>
    <cellStyle name="Normal 2 2 7 4" xfId="5261"/>
    <cellStyle name="Normal 2 2 7 4 2" xfId="9004"/>
    <cellStyle name="Normal 2 2 7 4 2 2" xfId="15548"/>
    <cellStyle name="Normal 2 2 7 4 3" xfId="7285"/>
    <cellStyle name="Normal 2 2 7 4 3 2" xfId="13967"/>
    <cellStyle name="Normal 2 2 7 4 4" xfId="12182"/>
    <cellStyle name="Normal 2 2 7 5" xfId="5699"/>
    <cellStyle name="Normal 2 2 7 5 2" xfId="9440"/>
    <cellStyle name="Normal 2 2 7 5 2 2" xfId="15942"/>
    <cellStyle name="Normal 2 2 7 5 3" xfId="7721"/>
    <cellStyle name="Normal 2 2 7 5 3 2" xfId="14361"/>
    <cellStyle name="Normal 2 2 7 5 4" xfId="12592"/>
    <cellStyle name="Normal 2 2 7 6" xfId="9934"/>
    <cellStyle name="Normal 2 2 7 6 2" xfId="16415"/>
    <cellStyle name="Normal 2 2 7 7" xfId="8198"/>
    <cellStyle name="Normal 2 2 7 7 2" xfId="14755"/>
    <cellStyle name="Normal 2 2 7 8" xfId="6479"/>
    <cellStyle name="Normal 2 2 7 8 2" xfId="13169"/>
    <cellStyle name="Normal 2 2 7 9" xfId="11377"/>
    <cellStyle name="Normal 2 2 8" xfId="4449"/>
    <cellStyle name="Normal 2 2 8 2" xfId="4940"/>
    <cellStyle name="Normal 2 2 8 2 2" xfId="8683"/>
    <cellStyle name="Normal 2 2 8 2 2 2" xfId="15231"/>
    <cellStyle name="Normal 2 2 8 2 3" xfId="6964"/>
    <cellStyle name="Normal 2 2 8 2 3 2" xfId="13650"/>
    <cellStyle name="Normal 2 2 8 2 4" xfId="11865"/>
    <cellStyle name="Normal 2 2 8 3" xfId="5277"/>
    <cellStyle name="Normal 2 2 8 3 2" xfId="9020"/>
    <cellStyle name="Normal 2 2 8 3 2 2" xfId="15564"/>
    <cellStyle name="Normal 2 2 8 3 3" xfId="7301"/>
    <cellStyle name="Normal 2 2 8 3 3 2" xfId="13983"/>
    <cellStyle name="Normal 2 2 8 3 4" xfId="12198"/>
    <cellStyle name="Normal 2 2 8 4" xfId="5715"/>
    <cellStyle name="Normal 2 2 8 4 2" xfId="9456"/>
    <cellStyle name="Normal 2 2 8 4 2 2" xfId="15958"/>
    <cellStyle name="Normal 2 2 8 4 3" xfId="7737"/>
    <cellStyle name="Normal 2 2 8 4 3 2" xfId="14377"/>
    <cellStyle name="Normal 2 2 8 4 4" xfId="12608"/>
    <cellStyle name="Normal 2 2 8 5" xfId="9936"/>
    <cellStyle name="Normal 2 2 8 5 2" xfId="16417"/>
    <cellStyle name="Normal 2 2 8 6" xfId="8214"/>
    <cellStyle name="Normal 2 2 8 6 2" xfId="14771"/>
    <cellStyle name="Normal 2 2 8 7" xfId="6495"/>
    <cellStyle name="Normal 2 2 8 7 2" xfId="13185"/>
    <cellStyle name="Normal 2 2 8 8" xfId="11394"/>
    <cellStyle name="Normal 2 2 9" xfId="4677"/>
    <cellStyle name="Normal 2 2 9 2" xfId="8423"/>
    <cellStyle name="Normal 2 2 9 2 2" xfId="14975"/>
    <cellStyle name="Normal 2 2 9 3" xfId="6704"/>
    <cellStyle name="Normal 2 2 9 3 2" xfId="13394"/>
    <cellStyle name="Normal 2 2 9 4" xfId="11608"/>
    <cellStyle name="Normal 2 3" xfId="15"/>
    <cellStyle name="Normal 2 3 2" xfId="37"/>
    <cellStyle name="Normal 2 3 3" xfId="26"/>
    <cellStyle name="Normal 2 3 3 2" xfId="4461"/>
    <cellStyle name="Normal 2 3 3 2 2" xfId="4941"/>
    <cellStyle name="Normal 2 3 3 2 2 2" xfId="8684"/>
    <cellStyle name="Normal 2 3 3 2 2 2 2" xfId="15232"/>
    <cellStyle name="Normal 2 3 3 2 2 3" xfId="6965"/>
    <cellStyle name="Normal 2 3 3 2 2 3 2" xfId="13651"/>
    <cellStyle name="Normal 2 3 3 2 2 4" xfId="11866"/>
    <cellStyle name="Normal 2 3 3 2 3" xfId="5289"/>
    <cellStyle name="Normal 2 3 3 2 3 2" xfId="9032"/>
    <cellStyle name="Normal 2 3 3 2 3 2 2" xfId="15576"/>
    <cellStyle name="Normal 2 3 3 2 3 3" xfId="7313"/>
    <cellStyle name="Normal 2 3 3 2 3 3 2" xfId="13995"/>
    <cellStyle name="Normal 2 3 3 2 3 4" xfId="12210"/>
    <cellStyle name="Normal 2 3 3 2 4" xfId="5727"/>
    <cellStyle name="Normal 2 3 3 2 4 2" xfId="9468"/>
    <cellStyle name="Normal 2 3 3 2 4 2 2" xfId="15970"/>
    <cellStyle name="Normal 2 3 3 2 4 3" xfId="7749"/>
    <cellStyle name="Normal 2 3 3 2 4 3 2" xfId="14389"/>
    <cellStyle name="Normal 2 3 3 2 4 4" xfId="12620"/>
    <cellStyle name="Normal 2 3 3 2 5" xfId="9937"/>
    <cellStyle name="Normal 2 3 3 2 5 2" xfId="16418"/>
    <cellStyle name="Normal 2 3 3 2 6" xfId="8226"/>
    <cellStyle name="Normal 2 3 3 2 6 2" xfId="14783"/>
    <cellStyle name="Normal 2 3 3 2 7" xfId="6507"/>
    <cellStyle name="Normal 2 3 3 2 7 2" xfId="13197"/>
    <cellStyle name="Normal 2 3 3 2 8" xfId="11406"/>
    <cellStyle name="Normal 2 3 3 3" xfId="4772"/>
    <cellStyle name="Normal 2 3 3 3 2" xfId="8515"/>
    <cellStyle name="Normal 2 3 3 3 2 2" xfId="15067"/>
    <cellStyle name="Normal 2 3 3 3 3" xfId="6796"/>
    <cellStyle name="Normal 2 3 3 3 3 2" xfId="13486"/>
    <cellStyle name="Normal 2 3 3 3 4" xfId="11701"/>
    <cellStyle name="Normal 2 3 3 4" xfId="5088"/>
    <cellStyle name="Normal 2 3 3 4 2" xfId="8831"/>
    <cellStyle name="Normal 2 3 3 4 2 2" xfId="15379"/>
    <cellStyle name="Normal 2 3 3 4 3" xfId="7112"/>
    <cellStyle name="Normal 2 3 3 4 3 2" xfId="13798"/>
    <cellStyle name="Normal 2 3 3 4 4" xfId="12013"/>
    <cellStyle name="Normal 2 3 3 5" xfId="5525"/>
    <cellStyle name="Normal 2 3 3 5 2" xfId="9266"/>
    <cellStyle name="Normal 2 3 3 5 2 2" xfId="15773"/>
    <cellStyle name="Normal 2 3 3 5 3" xfId="7547"/>
    <cellStyle name="Normal 2 3 3 5 3 2" xfId="14192"/>
    <cellStyle name="Normal 2 3 3 5 4" xfId="12418"/>
    <cellStyle name="Normal 2 3 3 6" xfId="9762"/>
    <cellStyle name="Normal 2 3 3 6 2" xfId="16253"/>
    <cellStyle name="Normal 2 3 3 7" xfId="7946"/>
    <cellStyle name="Normal 2 3 3 7 2" xfId="14586"/>
    <cellStyle name="Normal 2 3 3 8" xfId="5925"/>
    <cellStyle name="Normal 2 3 3 8 2" xfId="12818"/>
    <cellStyle name="Normal 2 3 3 9" xfId="10260"/>
    <cellStyle name="Normal 2 3 4" xfId="4114"/>
    <cellStyle name="Normal 2 3 4 2" xfId="4526"/>
    <cellStyle name="Normal 2 3 4 2 2" xfId="4942"/>
    <cellStyle name="Normal 2 3 4 2 2 2" xfId="8685"/>
    <cellStyle name="Normal 2 3 4 2 2 2 2" xfId="15233"/>
    <cellStyle name="Normal 2 3 4 2 2 3" xfId="6966"/>
    <cellStyle name="Normal 2 3 4 2 2 3 2" xfId="13652"/>
    <cellStyle name="Normal 2 3 4 2 2 4" xfId="11867"/>
    <cellStyle name="Normal 2 3 4 2 3" xfId="5353"/>
    <cellStyle name="Normal 2 3 4 2 3 2" xfId="9096"/>
    <cellStyle name="Normal 2 3 4 2 3 2 2" xfId="15640"/>
    <cellStyle name="Normal 2 3 4 2 3 3" xfId="7377"/>
    <cellStyle name="Normal 2 3 4 2 3 3 2" xfId="14059"/>
    <cellStyle name="Normal 2 3 4 2 3 4" xfId="12274"/>
    <cellStyle name="Normal 2 3 4 2 4" xfId="5791"/>
    <cellStyle name="Normal 2 3 4 2 4 2" xfId="9532"/>
    <cellStyle name="Normal 2 3 4 2 4 2 2" xfId="16034"/>
    <cellStyle name="Normal 2 3 4 2 4 3" xfId="7813"/>
    <cellStyle name="Normal 2 3 4 2 4 3 2" xfId="14453"/>
    <cellStyle name="Normal 2 3 4 2 4 4" xfId="12684"/>
    <cellStyle name="Normal 2 3 4 2 5" xfId="9938"/>
    <cellStyle name="Normal 2 3 4 2 5 2" xfId="16419"/>
    <cellStyle name="Normal 2 3 4 2 6" xfId="8290"/>
    <cellStyle name="Normal 2 3 4 2 6 2" xfId="14847"/>
    <cellStyle name="Normal 2 3 4 2 7" xfId="6571"/>
    <cellStyle name="Normal 2 3 4 2 7 2" xfId="13261"/>
    <cellStyle name="Normal 2 3 4 2 8" xfId="11471"/>
    <cellStyle name="Normal 2 3 4 3" xfId="4826"/>
    <cellStyle name="Normal 2 3 4 3 2" xfId="8569"/>
    <cellStyle name="Normal 2 3 4 3 2 2" xfId="15117"/>
    <cellStyle name="Normal 2 3 4 3 3" xfId="6850"/>
    <cellStyle name="Normal 2 3 4 3 3 2" xfId="13536"/>
    <cellStyle name="Normal 2 3 4 3 4" xfId="11751"/>
    <cellStyle name="Normal 2 3 4 4" xfId="5156"/>
    <cellStyle name="Normal 2 3 4 4 2" xfId="8899"/>
    <cellStyle name="Normal 2 3 4 4 2 2" xfId="15443"/>
    <cellStyle name="Normal 2 3 4 4 3" xfId="7180"/>
    <cellStyle name="Normal 2 3 4 4 3 2" xfId="13862"/>
    <cellStyle name="Normal 2 3 4 4 4" xfId="12077"/>
    <cellStyle name="Normal 2 3 4 5" xfId="5589"/>
    <cellStyle name="Normal 2 3 4 5 2" xfId="9330"/>
    <cellStyle name="Normal 2 3 4 5 2 2" xfId="15837"/>
    <cellStyle name="Normal 2 3 4 5 3" xfId="7611"/>
    <cellStyle name="Normal 2 3 4 5 3 2" xfId="14256"/>
    <cellStyle name="Normal 2 3 4 5 4" xfId="12482"/>
    <cellStyle name="Normal 2 3 4 6" xfId="9817"/>
    <cellStyle name="Normal 2 3 4 6 2" xfId="16303"/>
    <cellStyle name="Normal 2 3 4 7" xfId="8050"/>
    <cellStyle name="Normal 2 3 4 7 2" xfId="14650"/>
    <cellStyle name="Normal 2 3 4 8" xfId="6323"/>
    <cellStyle name="Normal 2 3 4 8 2" xfId="13046"/>
    <cellStyle name="Normal 2 3 4 9" xfId="11265"/>
    <cellStyle name="Normal 2 3 5" xfId="4681"/>
    <cellStyle name="Normal 2 3 5 2" xfId="8427"/>
    <cellStyle name="Normal 2 3 5 2 2" xfId="14979"/>
    <cellStyle name="Normal 2 3 5 3" xfId="6708"/>
    <cellStyle name="Normal 2 3 5 3 2" xfId="13398"/>
    <cellStyle name="Normal 2 3 5 4" xfId="11612"/>
    <cellStyle name="Normal 2 3 6" xfId="9661"/>
    <cellStyle name="Normal 2 3 6 2" xfId="16163"/>
    <cellStyle name="Normal 2 4" xfId="32"/>
    <cellStyle name="Normal 2 4 10" xfId="5931"/>
    <cellStyle name="Normal 2 4 10 2" xfId="12824"/>
    <cellStyle name="Normal 2 4 11" xfId="10266"/>
    <cellStyle name="Normal 2 4 2" xfId="4115"/>
    <cellStyle name="Normal 2 4 2 2" xfId="4527"/>
    <cellStyle name="Normal 2 4 2 2 2" xfId="4943"/>
    <cellStyle name="Normal 2 4 2 2 2 2" xfId="8686"/>
    <cellStyle name="Normal 2 4 2 2 2 2 2" xfId="15234"/>
    <cellStyle name="Normal 2 4 2 2 2 3" xfId="6967"/>
    <cellStyle name="Normal 2 4 2 2 2 3 2" xfId="13653"/>
    <cellStyle name="Normal 2 4 2 2 2 4" xfId="11868"/>
    <cellStyle name="Normal 2 4 2 2 3" xfId="5354"/>
    <cellStyle name="Normal 2 4 2 2 3 2" xfId="9097"/>
    <cellStyle name="Normal 2 4 2 2 3 2 2" xfId="15641"/>
    <cellStyle name="Normal 2 4 2 2 3 3" xfId="7378"/>
    <cellStyle name="Normal 2 4 2 2 3 3 2" xfId="14060"/>
    <cellStyle name="Normal 2 4 2 2 3 4" xfId="12275"/>
    <cellStyle name="Normal 2 4 2 2 4" xfId="5792"/>
    <cellStyle name="Normal 2 4 2 2 4 2" xfId="9533"/>
    <cellStyle name="Normal 2 4 2 2 4 2 2" xfId="16035"/>
    <cellStyle name="Normal 2 4 2 2 4 3" xfId="7814"/>
    <cellStyle name="Normal 2 4 2 2 4 3 2" xfId="14454"/>
    <cellStyle name="Normal 2 4 2 2 4 4" xfId="12685"/>
    <cellStyle name="Normal 2 4 2 2 5" xfId="9939"/>
    <cellStyle name="Normal 2 4 2 2 5 2" xfId="16420"/>
    <cellStyle name="Normal 2 4 2 2 6" xfId="8291"/>
    <cellStyle name="Normal 2 4 2 2 6 2" xfId="14848"/>
    <cellStyle name="Normal 2 4 2 2 7" xfId="6572"/>
    <cellStyle name="Normal 2 4 2 2 7 2" xfId="13262"/>
    <cellStyle name="Normal 2 4 2 2 8" xfId="11472"/>
    <cellStyle name="Normal 2 4 2 3" xfId="4773"/>
    <cellStyle name="Normal 2 4 2 3 2" xfId="8516"/>
    <cellStyle name="Normal 2 4 2 3 2 2" xfId="15068"/>
    <cellStyle name="Normal 2 4 2 3 3" xfId="6797"/>
    <cellStyle name="Normal 2 4 2 3 3 2" xfId="13487"/>
    <cellStyle name="Normal 2 4 2 3 4" xfId="11702"/>
    <cellStyle name="Normal 2 4 2 4" xfId="5157"/>
    <cellStyle name="Normal 2 4 2 4 2" xfId="8900"/>
    <cellStyle name="Normal 2 4 2 4 2 2" xfId="15444"/>
    <cellStyle name="Normal 2 4 2 4 3" xfId="7181"/>
    <cellStyle name="Normal 2 4 2 4 3 2" xfId="13863"/>
    <cellStyle name="Normal 2 4 2 4 4" xfId="12078"/>
    <cellStyle name="Normal 2 4 2 5" xfId="5590"/>
    <cellStyle name="Normal 2 4 2 5 2" xfId="9331"/>
    <cellStyle name="Normal 2 4 2 5 2 2" xfId="15838"/>
    <cellStyle name="Normal 2 4 2 5 3" xfId="7612"/>
    <cellStyle name="Normal 2 4 2 5 3 2" xfId="14257"/>
    <cellStyle name="Normal 2 4 2 5 4" xfId="12483"/>
    <cellStyle name="Normal 2 4 2 6" xfId="9763"/>
    <cellStyle name="Normal 2 4 2 6 2" xfId="16254"/>
    <cellStyle name="Normal 2 4 2 7" xfId="8051"/>
    <cellStyle name="Normal 2 4 2 7 2" xfId="14651"/>
    <cellStyle name="Normal 2 4 2 8" xfId="6324"/>
    <cellStyle name="Normal 2 4 2 8 2" xfId="13047"/>
    <cellStyle name="Normal 2 4 2 9" xfId="11266"/>
    <cellStyle name="Normal 2 4 3" xfId="4116"/>
    <cellStyle name="Normal 2 4 3 2" xfId="4528"/>
    <cellStyle name="Normal 2 4 3 2 2" xfId="4944"/>
    <cellStyle name="Normal 2 4 3 2 2 2" xfId="8687"/>
    <cellStyle name="Normal 2 4 3 2 2 2 2" xfId="15235"/>
    <cellStyle name="Normal 2 4 3 2 2 3" xfId="6968"/>
    <cellStyle name="Normal 2 4 3 2 2 3 2" xfId="13654"/>
    <cellStyle name="Normal 2 4 3 2 2 4" xfId="11869"/>
    <cellStyle name="Normal 2 4 3 2 3" xfId="5355"/>
    <cellStyle name="Normal 2 4 3 2 3 2" xfId="9098"/>
    <cellStyle name="Normal 2 4 3 2 3 2 2" xfId="15642"/>
    <cellStyle name="Normal 2 4 3 2 3 3" xfId="7379"/>
    <cellStyle name="Normal 2 4 3 2 3 3 2" xfId="14061"/>
    <cellStyle name="Normal 2 4 3 2 3 4" xfId="12276"/>
    <cellStyle name="Normal 2 4 3 2 4" xfId="5793"/>
    <cellStyle name="Normal 2 4 3 2 4 2" xfId="9534"/>
    <cellStyle name="Normal 2 4 3 2 4 2 2" xfId="16036"/>
    <cellStyle name="Normal 2 4 3 2 4 3" xfId="7815"/>
    <cellStyle name="Normal 2 4 3 2 4 3 2" xfId="14455"/>
    <cellStyle name="Normal 2 4 3 2 4 4" xfId="12686"/>
    <cellStyle name="Normal 2 4 3 2 5" xfId="9940"/>
    <cellStyle name="Normal 2 4 3 2 5 2" xfId="16421"/>
    <cellStyle name="Normal 2 4 3 2 6" xfId="8292"/>
    <cellStyle name="Normal 2 4 3 2 6 2" xfId="14849"/>
    <cellStyle name="Normal 2 4 3 2 7" xfId="6573"/>
    <cellStyle name="Normal 2 4 3 2 7 2" xfId="13263"/>
    <cellStyle name="Normal 2 4 3 2 8" xfId="11473"/>
    <cellStyle name="Normal 2 4 3 3" xfId="4832"/>
    <cellStyle name="Normal 2 4 3 3 2" xfId="8575"/>
    <cellStyle name="Normal 2 4 3 3 2 2" xfId="15123"/>
    <cellStyle name="Normal 2 4 3 3 3" xfId="6856"/>
    <cellStyle name="Normal 2 4 3 3 3 2" xfId="13542"/>
    <cellStyle name="Normal 2 4 3 3 4" xfId="11757"/>
    <cellStyle name="Normal 2 4 3 4" xfId="5158"/>
    <cellStyle name="Normal 2 4 3 4 2" xfId="8901"/>
    <cellStyle name="Normal 2 4 3 4 2 2" xfId="15445"/>
    <cellStyle name="Normal 2 4 3 4 3" xfId="7182"/>
    <cellStyle name="Normal 2 4 3 4 3 2" xfId="13864"/>
    <cellStyle name="Normal 2 4 3 4 4" xfId="12079"/>
    <cellStyle name="Normal 2 4 3 5" xfId="5591"/>
    <cellStyle name="Normal 2 4 3 5 2" xfId="9332"/>
    <cellStyle name="Normal 2 4 3 5 2 2" xfId="15839"/>
    <cellStyle name="Normal 2 4 3 5 3" xfId="7613"/>
    <cellStyle name="Normal 2 4 3 5 3 2" xfId="14258"/>
    <cellStyle name="Normal 2 4 3 5 4" xfId="12484"/>
    <cellStyle name="Normal 2 4 3 6" xfId="9823"/>
    <cellStyle name="Normal 2 4 3 6 2" xfId="16309"/>
    <cellStyle name="Normal 2 4 3 7" xfId="8052"/>
    <cellStyle name="Normal 2 4 3 7 2" xfId="14652"/>
    <cellStyle name="Normal 2 4 3 8" xfId="6325"/>
    <cellStyle name="Normal 2 4 3 8 2" xfId="13048"/>
    <cellStyle name="Normal 2 4 3 9" xfId="11267"/>
    <cellStyle name="Normal 2 4 4" xfId="4467"/>
    <cellStyle name="Normal 2 4 4 2" xfId="4945"/>
    <cellStyle name="Normal 2 4 4 2 2" xfId="8688"/>
    <cellStyle name="Normal 2 4 4 2 2 2" xfId="15236"/>
    <cellStyle name="Normal 2 4 4 2 3" xfId="6969"/>
    <cellStyle name="Normal 2 4 4 2 3 2" xfId="13655"/>
    <cellStyle name="Normal 2 4 4 2 4" xfId="11870"/>
    <cellStyle name="Normal 2 4 4 3" xfId="5295"/>
    <cellStyle name="Normal 2 4 4 3 2" xfId="9038"/>
    <cellStyle name="Normal 2 4 4 3 2 2" xfId="15582"/>
    <cellStyle name="Normal 2 4 4 3 3" xfId="7319"/>
    <cellStyle name="Normal 2 4 4 3 3 2" xfId="14001"/>
    <cellStyle name="Normal 2 4 4 3 4" xfId="12216"/>
    <cellStyle name="Normal 2 4 4 4" xfId="5733"/>
    <cellStyle name="Normal 2 4 4 4 2" xfId="9474"/>
    <cellStyle name="Normal 2 4 4 4 2 2" xfId="15976"/>
    <cellStyle name="Normal 2 4 4 4 3" xfId="7755"/>
    <cellStyle name="Normal 2 4 4 4 3 2" xfId="14395"/>
    <cellStyle name="Normal 2 4 4 4 4" xfId="12626"/>
    <cellStyle name="Normal 2 4 4 5" xfId="9941"/>
    <cellStyle name="Normal 2 4 4 5 2" xfId="16422"/>
    <cellStyle name="Normal 2 4 4 6" xfId="8232"/>
    <cellStyle name="Normal 2 4 4 6 2" xfId="14789"/>
    <cellStyle name="Normal 2 4 4 7" xfId="6513"/>
    <cellStyle name="Normal 2 4 4 7 2" xfId="13203"/>
    <cellStyle name="Normal 2 4 4 8" xfId="11412"/>
    <cellStyle name="Normal 2 4 5" xfId="4682"/>
    <cellStyle name="Normal 2 4 5 2" xfId="8428"/>
    <cellStyle name="Normal 2 4 5 2 2" xfId="14980"/>
    <cellStyle name="Normal 2 4 5 3" xfId="6709"/>
    <cellStyle name="Normal 2 4 5 3 2" xfId="13399"/>
    <cellStyle name="Normal 2 4 5 4" xfId="11613"/>
    <cellStyle name="Normal 2 4 6" xfId="5094"/>
    <cellStyle name="Normal 2 4 6 2" xfId="8837"/>
    <cellStyle name="Normal 2 4 6 2 2" xfId="15385"/>
    <cellStyle name="Normal 2 4 6 3" xfId="7118"/>
    <cellStyle name="Normal 2 4 6 3 2" xfId="13804"/>
    <cellStyle name="Normal 2 4 6 4" xfId="12019"/>
    <cellStyle name="Normal 2 4 7" xfId="5531"/>
    <cellStyle name="Normal 2 4 7 2" xfId="9272"/>
    <cellStyle name="Normal 2 4 7 2 2" xfId="15779"/>
    <cellStyle name="Normal 2 4 7 3" xfId="7553"/>
    <cellStyle name="Normal 2 4 7 3 2" xfId="14198"/>
    <cellStyle name="Normal 2 4 7 4" xfId="12424"/>
    <cellStyle name="Normal 2 4 8" xfId="9662"/>
    <cellStyle name="Normal 2 4 8 2" xfId="16164"/>
    <cellStyle name="Normal 2 4 9" xfId="7952"/>
    <cellStyle name="Normal 2 4 9 2" xfId="14592"/>
    <cellStyle name="Normal 2 5" xfId="4404"/>
    <cellStyle name="Normal 2 5 2" xfId="4618"/>
    <cellStyle name="Normal 2 5 2 2" xfId="4947"/>
    <cellStyle name="Normal 2 5 2 2 2" xfId="8690"/>
    <cellStyle name="Normal 2 5 2 2 2 2" xfId="15238"/>
    <cellStyle name="Normal 2 5 2 2 3" xfId="6971"/>
    <cellStyle name="Normal 2 5 2 2 3 2" xfId="13657"/>
    <cellStyle name="Normal 2 5 2 2 4" xfId="11872"/>
    <cellStyle name="Normal 2 5 2 3" xfId="5445"/>
    <cellStyle name="Normal 2 5 2 3 2" xfId="9188"/>
    <cellStyle name="Normal 2 5 2 3 2 2" xfId="15732"/>
    <cellStyle name="Normal 2 5 2 3 3" xfId="7469"/>
    <cellStyle name="Normal 2 5 2 3 3 2" xfId="14151"/>
    <cellStyle name="Normal 2 5 2 3 4" xfId="12366"/>
    <cellStyle name="Normal 2 5 2 4" xfId="5883"/>
    <cellStyle name="Normal 2 5 2 4 15 2 4" xfId="4117"/>
    <cellStyle name="Normal 2 5 2 4 2" xfId="9624"/>
    <cellStyle name="Normal 2 5 2 4 2 2" xfId="16126"/>
    <cellStyle name="Normal 2 5 2 4 3" xfId="7905"/>
    <cellStyle name="Normal 2 5 2 4 3 2" xfId="14545"/>
    <cellStyle name="Normal 2 5 2 4 4" xfId="12776"/>
    <cellStyle name="Normal 2 5 2 5" xfId="9943"/>
    <cellStyle name="Normal 2 5 2 5 2" xfId="16424"/>
    <cellStyle name="Normal 2 5 2 6" xfId="8382"/>
    <cellStyle name="Normal 2 5 2 6 2" xfId="14939"/>
    <cellStyle name="Normal 2 5 2 7" xfId="6663"/>
    <cellStyle name="Normal 2 5 2 7 2" xfId="13353"/>
    <cellStyle name="Normal 2 5 2 8" xfId="11563"/>
    <cellStyle name="Normal 2 5 3" xfId="4946"/>
    <cellStyle name="Normal 2 5 3 2" xfId="8689"/>
    <cellStyle name="Normal 2 5 3 2 2" xfId="15237"/>
    <cellStyle name="Normal 2 5 3 3" xfId="6970"/>
    <cellStyle name="Normal 2 5 3 3 2" xfId="13656"/>
    <cellStyle name="Normal 2 5 3 4" xfId="11871"/>
    <cellStyle name="Normal 2 5 4" xfId="5248"/>
    <cellStyle name="Normal 2 5 4 2" xfId="8991"/>
    <cellStyle name="Normal 2 5 4 2 2" xfId="15535"/>
    <cellStyle name="Normal 2 5 4 3" xfId="7272"/>
    <cellStyle name="Normal 2 5 4 3 2" xfId="13954"/>
    <cellStyle name="Normal 2 5 4 4" xfId="12169"/>
    <cellStyle name="Normal 2 5 5" xfId="5686"/>
    <cellStyle name="Normal 2 5 5 2" xfId="9427"/>
    <cellStyle name="Normal 2 5 5 2 2" xfId="15929"/>
    <cellStyle name="Normal 2 5 5 3" xfId="7708"/>
    <cellStyle name="Normal 2 5 5 3 2" xfId="14348"/>
    <cellStyle name="Normal 2 5 5 4" xfId="12579"/>
    <cellStyle name="Normal 2 5 6" xfId="9942"/>
    <cellStyle name="Normal 2 5 6 2" xfId="16423"/>
    <cellStyle name="Normal 2 5 7" xfId="8185"/>
    <cellStyle name="Normal 2 5 7 2" xfId="14742"/>
    <cellStyle name="Normal 2 5 8" xfId="6466"/>
    <cellStyle name="Normal 2 5 8 2" xfId="13156"/>
    <cellStyle name="Normal 2 5 9" xfId="11362"/>
    <cellStyle name="Normal 2 6" xfId="4421"/>
    <cellStyle name="Normal 2 6 2" xfId="4630"/>
    <cellStyle name="Normal 2 6 2 2" xfId="4949"/>
    <cellStyle name="Normal 2 6 2 2 2" xfId="8692"/>
    <cellStyle name="Normal 2 6 2 2 2 2" xfId="15240"/>
    <cellStyle name="Normal 2 6 2 2 3" xfId="6973"/>
    <cellStyle name="Normal 2 6 2 2 3 2" xfId="13659"/>
    <cellStyle name="Normal 2 6 2 2 4" xfId="11874"/>
    <cellStyle name="Normal 2 6 2 3" xfId="5457"/>
    <cellStyle name="Normal 2 6 2 3 2" xfId="9200"/>
    <cellStyle name="Normal 2 6 2 3 2 2" xfId="15744"/>
    <cellStyle name="Normal 2 6 2 3 3" xfId="7481"/>
    <cellStyle name="Normal 2 6 2 3 3 2" xfId="14163"/>
    <cellStyle name="Normal 2 6 2 3 4" xfId="12378"/>
    <cellStyle name="Normal 2 6 2 4" xfId="5895"/>
    <cellStyle name="Normal 2 6 2 4 2" xfId="9636"/>
    <cellStyle name="Normal 2 6 2 4 2 2" xfId="16138"/>
    <cellStyle name="Normal 2 6 2 4 3" xfId="7917"/>
    <cellStyle name="Normal 2 6 2 4 3 2" xfId="14557"/>
    <cellStyle name="Normal 2 6 2 4 4" xfId="12788"/>
    <cellStyle name="Normal 2 6 2 5" xfId="9945"/>
    <cellStyle name="Normal 2 6 2 5 2" xfId="16426"/>
    <cellStyle name="Normal 2 6 2 6" xfId="8394"/>
    <cellStyle name="Normal 2 6 2 6 2" xfId="14951"/>
    <cellStyle name="Normal 2 6 2 7" xfId="6675"/>
    <cellStyle name="Normal 2 6 2 7 2" xfId="13365"/>
    <cellStyle name="Normal 2 6 2 8" xfId="11575"/>
    <cellStyle name="Normal 2 6 3" xfId="4948"/>
    <cellStyle name="Normal 2 6 3 2" xfId="8691"/>
    <cellStyle name="Normal 2 6 3 2 2" xfId="15239"/>
    <cellStyle name="Normal 2 6 3 3" xfId="6972"/>
    <cellStyle name="Normal 2 6 3 3 2" xfId="13658"/>
    <cellStyle name="Normal 2 6 3 4" xfId="11873"/>
    <cellStyle name="Normal 2 6 4" xfId="5260"/>
    <cellStyle name="Normal 2 6 4 2" xfId="9003"/>
    <cellStyle name="Normal 2 6 4 2 2" xfId="15547"/>
    <cellStyle name="Normal 2 6 4 3" xfId="7284"/>
    <cellStyle name="Normal 2 6 4 3 2" xfId="13966"/>
    <cellStyle name="Normal 2 6 4 4" xfId="12181"/>
    <cellStyle name="Normal 2 6 5" xfId="5698"/>
    <cellStyle name="Normal 2 6 5 2" xfId="9439"/>
    <cellStyle name="Normal 2 6 5 2 2" xfId="15941"/>
    <cellStyle name="Normal 2 6 5 3" xfId="7720"/>
    <cellStyle name="Normal 2 6 5 3 2" xfId="14360"/>
    <cellStyle name="Normal 2 6 5 4" xfId="12591"/>
    <cellStyle name="Normal 2 6 6" xfId="9944"/>
    <cellStyle name="Normal 2 6 6 2" xfId="16425"/>
    <cellStyle name="Normal 2 6 7" xfId="8197"/>
    <cellStyle name="Normal 2 6 7 2" xfId="14754"/>
    <cellStyle name="Normal 2 6 8" xfId="6478"/>
    <cellStyle name="Normal 2 6 8 2" xfId="13168"/>
    <cellStyle name="Normal 2 6 9" xfId="11376"/>
    <cellStyle name="Normal 2 7" xfId="4448"/>
    <cellStyle name="Normal 2 7 2" xfId="4950"/>
    <cellStyle name="Normal 2 7 2 2" xfId="8693"/>
    <cellStyle name="Normal 2 7 2 2 2" xfId="15241"/>
    <cellStyle name="Normal 2 7 2 3" xfId="6974"/>
    <cellStyle name="Normal 2 7 2 3 2" xfId="13660"/>
    <cellStyle name="Normal 2 7 2 4" xfId="11875"/>
    <cellStyle name="Normal 2 7 3" xfId="5276"/>
    <cellStyle name="Normal 2 7 3 2" xfId="9019"/>
    <cellStyle name="Normal 2 7 3 2 2" xfId="15563"/>
    <cellStyle name="Normal 2 7 3 3" xfId="7300"/>
    <cellStyle name="Normal 2 7 3 3 2" xfId="13982"/>
    <cellStyle name="Normal 2 7 3 4" xfId="12197"/>
    <cellStyle name="Normal 2 7 4" xfId="5714"/>
    <cellStyle name="Normal 2 7 4 2" xfId="9455"/>
    <cellStyle name="Normal 2 7 4 2 2" xfId="15957"/>
    <cellStyle name="Normal 2 7 4 3" xfId="7736"/>
    <cellStyle name="Normal 2 7 4 3 2" xfId="14376"/>
    <cellStyle name="Normal 2 7 4 4" xfId="12607"/>
    <cellStyle name="Normal 2 7 5" xfId="9946"/>
    <cellStyle name="Normal 2 7 5 2" xfId="16427"/>
    <cellStyle name="Normal 2 7 6" xfId="8213"/>
    <cellStyle name="Normal 2 7 6 2" xfId="14770"/>
    <cellStyle name="Normal 2 7 7" xfId="6494"/>
    <cellStyle name="Normal 2 7 7 2" xfId="13184"/>
    <cellStyle name="Normal 2 7 8" xfId="11393"/>
    <cellStyle name="Normal 2 8" xfId="5075"/>
    <cellStyle name="Normal 2 8 2" xfId="8818"/>
    <cellStyle name="Normal 2 8 2 2" xfId="15366"/>
    <cellStyle name="Normal 2 8 3" xfId="7099"/>
    <cellStyle name="Normal 2 8 3 2" xfId="13785"/>
    <cellStyle name="Normal 2 8 4" xfId="12000"/>
    <cellStyle name="Normal 2 9" xfId="5512"/>
    <cellStyle name="Normal 2 9 2" xfId="9253"/>
    <cellStyle name="Normal 2 9 2 2" xfId="15760"/>
    <cellStyle name="Normal 2 9 3" xfId="7534"/>
    <cellStyle name="Normal 2 9 3 2" xfId="14179"/>
    <cellStyle name="Normal 2 9 4" xfId="12405"/>
    <cellStyle name="Normal 20" xfId="4118"/>
    <cellStyle name="Normal 20 10" xfId="6326"/>
    <cellStyle name="Normal 20 10 2" xfId="13049"/>
    <cellStyle name="Normal 20 11" xfId="11268"/>
    <cellStyle name="Normal 20 2" xfId="4119"/>
    <cellStyle name="Normal 20 2 2" xfId="4530"/>
    <cellStyle name="Normal 20 2 2 2" xfId="4951"/>
    <cellStyle name="Normal 20 2 2 2 2" xfId="8694"/>
    <cellStyle name="Normal 20 2 2 2 2 2" xfId="15242"/>
    <cellStyle name="Normal 20 2 2 2 3" xfId="6975"/>
    <cellStyle name="Normal 20 2 2 2 3 2" xfId="13661"/>
    <cellStyle name="Normal 20 2 2 2 4" xfId="11876"/>
    <cellStyle name="Normal 20 2 2 3" xfId="5357"/>
    <cellStyle name="Normal 20 2 2 3 2" xfId="9100"/>
    <cellStyle name="Normal 20 2 2 3 2 2" xfId="15644"/>
    <cellStyle name="Normal 20 2 2 3 3" xfId="7381"/>
    <cellStyle name="Normal 20 2 2 3 3 2" xfId="14063"/>
    <cellStyle name="Normal 20 2 2 3 4" xfId="12278"/>
    <cellStyle name="Normal 20 2 2 4" xfId="5795"/>
    <cellStyle name="Normal 20 2 2 4 2" xfId="9536"/>
    <cellStyle name="Normal 20 2 2 4 2 2" xfId="16038"/>
    <cellStyle name="Normal 20 2 2 4 3" xfId="7817"/>
    <cellStyle name="Normal 20 2 2 4 3 2" xfId="14457"/>
    <cellStyle name="Normal 20 2 2 4 4" xfId="12688"/>
    <cellStyle name="Normal 20 2 2 5" xfId="9947"/>
    <cellStyle name="Normal 20 2 2 5 2" xfId="16428"/>
    <cellStyle name="Normal 20 2 2 6" xfId="8294"/>
    <cellStyle name="Normal 20 2 2 6 2" xfId="14851"/>
    <cellStyle name="Normal 20 2 2 7" xfId="6575"/>
    <cellStyle name="Normal 20 2 2 7 2" xfId="13265"/>
    <cellStyle name="Normal 20 2 2 8" xfId="11475"/>
    <cellStyle name="Normal 20 2 3" xfId="4802"/>
    <cellStyle name="Normal 20 2 3 2" xfId="8545"/>
    <cellStyle name="Normal 20 2 3 2 2" xfId="15097"/>
    <cellStyle name="Normal 20 2 3 3" xfId="6826"/>
    <cellStyle name="Normal 20 2 3 3 2" xfId="13516"/>
    <cellStyle name="Normal 20 2 3 4" xfId="11731"/>
    <cellStyle name="Normal 20 2 4" xfId="5160"/>
    <cellStyle name="Normal 20 2 4 2" xfId="8903"/>
    <cellStyle name="Normal 20 2 4 2 2" xfId="15447"/>
    <cellStyle name="Normal 20 2 4 3" xfId="7184"/>
    <cellStyle name="Normal 20 2 4 3 2" xfId="13866"/>
    <cellStyle name="Normal 20 2 4 4" xfId="12081"/>
    <cellStyle name="Normal 20 2 5" xfId="5593"/>
    <cellStyle name="Normal 20 2 5 2" xfId="9334"/>
    <cellStyle name="Normal 20 2 5 2 2" xfId="15841"/>
    <cellStyle name="Normal 20 2 5 3" xfId="7615"/>
    <cellStyle name="Normal 20 2 5 3 2" xfId="14260"/>
    <cellStyle name="Normal 20 2 5 4" xfId="12486"/>
    <cellStyle name="Normal 20 2 6" xfId="9792"/>
    <cellStyle name="Normal 20 2 6 2" xfId="16283"/>
    <cellStyle name="Normal 20 2 7" xfId="8054"/>
    <cellStyle name="Normal 20 2 7 2" xfId="14654"/>
    <cellStyle name="Normal 20 2 8" xfId="6327"/>
    <cellStyle name="Normal 20 2 8 2" xfId="13050"/>
    <cellStyle name="Normal 20 2 9" xfId="11269"/>
    <cellStyle name="Normal 20 3" xfId="4120"/>
    <cellStyle name="Normal 20 4" xfId="4529"/>
    <cellStyle name="Normal 20 4 2" xfId="4952"/>
    <cellStyle name="Normal 20 4 2 2" xfId="8695"/>
    <cellStyle name="Normal 20 4 2 2 2" xfId="15243"/>
    <cellStyle name="Normal 20 4 2 3" xfId="6976"/>
    <cellStyle name="Normal 20 4 2 3 2" xfId="13662"/>
    <cellStyle name="Normal 20 4 2 4" xfId="11877"/>
    <cellStyle name="Normal 20 4 3" xfId="5356"/>
    <cellStyle name="Normal 20 4 3 2" xfId="9099"/>
    <cellStyle name="Normal 20 4 3 2 2" xfId="15643"/>
    <cellStyle name="Normal 20 4 3 3" xfId="7380"/>
    <cellStyle name="Normal 20 4 3 3 2" xfId="14062"/>
    <cellStyle name="Normal 20 4 3 4" xfId="12277"/>
    <cellStyle name="Normal 20 4 4" xfId="5794"/>
    <cellStyle name="Normal 20 4 4 2" xfId="9535"/>
    <cellStyle name="Normal 20 4 4 2 2" xfId="16037"/>
    <cellStyle name="Normal 20 4 4 3" xfId="7816"/>
    <cellStyle name="Normal 20 4 4 3 2" xfId="14456"/>
    <cellStyle name="Normal 20 4 4 4" xfId="12687"/>
    <cellStyle name="Normal 20 4 5" xfId="9948"/>
    <cellStyle name="Normal 20 4 5 2" xfId="16429"/>
    <cellStyle name="Normal 20 4 6" xfId="8293"/>
    <cellStyle name="Normal 20 4 6 2" xfId="14850"/>
    <cellStyle name="Normal 20 4 7" xfId="6574"/>
    <cellStyle name="Normal 20 4 7 2" xfId="13264"/>
    <cellStyle name="Normal 20 4 8" xfId="11474"/>
    <cellStyle name="Normal 20 5" xfId="4720"/>
    <cellStyle name="Normal 20 5 2" xfId="8464"/>
    <cellStyle name="Normal 20 5 2 2" xfId="15016"/>
    <cellStyle name="Normal 20 5 3" xfId="6745"/>
    <cellStyle name="Normal 20 5 3 2" xfId="13435"/>
    <cellStyle name="Normal 20 5 4" xfId="11649"/>
    <cellStyle name="Normal 20 6" xfId="5159"/>
    <cellStyle name="Normal 20 6 2" xfId="8902"/>
    <cellStyle name="Normal 20 6 2 2" xfId="15446"/>
    <cellStyle name="Normal 20 6 3" xfId="7183"/>
    <cellStyle name="Normal 20 6 3 2" xfId="13865"/>
    <cellStyle name="Normal 20 6 4" xfId="12080"/>
    <cellStyle name="Normal 20 7" xfId="5592"/>
    <cellStyle name="Normal 20 7 2" xfId="9333"/>
    <cellStyle name="Normal 20 7 2 2" xfId="15840"/>
    <cellStyle name="Normal 20 7 3" xfId="7614"/>
    <cellStyle name="Normal 20 7 3 2" xfId="14259"/>
    <cellStyle name="Normal 20 7 4" xfId="12485"/>
    <cellStyle name="Normal 20 8" xfId="9708"/>
    <cellStyle name="Normal 20 8 2" xfId="16201"/>
    <cellStyle name="Normal 20 9" xfId="8053"/>
    <cellStyle name="Normal 20 9 2" xfId="14653"/>
    <cellStyle name="Normal 21" xfId="4121"/>
    <cellStyle name="Normal 21 10" xfId="11270"/>
    <cellStyle name="Normal 21 2" xfId="4122"/>
    <cellStyle name="Normal 21 2 2" xfId="4532"/>
    <cellStyle name="Normal 21 2 2 2" xfId="4953"/>
    <cellStyle name="Normal 21 2 2 2 2" xfId="8696"/>
    <cellStyle name="Normal 21 2 2 2 2 2" xfId="15244"/>
    <cellStyle name="Normal 21 2 2 2 3" xfId="6977"/>
    <cellStyle name="Normal 21 2 2 2 3 2" xfId="13663"/>
    <cellStyle name="Normal 21 2 2 2 4" xfId="11878"/>
    <cellStyle name="Normal 21 2 2 3" xfId="5359"/>
    <cellStyle name="Normal 21 2 2 3 2" xfId="9102"/>
    <cellStyle name="Normal 21 2 2 3 2 2" xfId="15646"/>
    <cellStyle name="Normal 21 2 2 3 3" xfId="7383"/>
    <cellStyle name="Normal 21 2 2 3 3 2" xfId="14065"/>
    <cellStyle name="Normal 21 2 2 3 4" xfId="12280"/>
    <cellStyle name="Normal 21 2 2 4" xfId="5797"/>
    <cellStyle name="Normal 21 2 2 4 2" xfId="9538"/>
    <cellStyle name="Normal 21 2 2 4 2 2" xfId="16040"/>
    <cellStyle name="Normal 21 2 2 4 3" xfId="7819"/>
    <cellStyle name="Normal 21 2 2 4 3 2" xfId="14459"/>
    <cellStyle name="Normal 21 2 2 4 4" xfId="12690"/>
    <cellStyle name="Normal 21 2 2 5" xfId="9949"/>
    <cellStyle name="Normal 21 2 2 5 2" xfId="16430"/>
    <cellStyle name="Normal 21 2 2 6" xfId="8296"/>
    <cellStyle name="Normal 21 2 2 6 2" xfId="14853"/>
    <cellStyle name="Normal 21 2 2 7" xfId="6577"/>
    <cellStyle name="Normal 21 2 2 7 2" xfId="13267"/>
    <cellStyle name="Normal 21 2 2 8" xfId="11477"/>
    <cellStyle name="Normal 21 2 3" xfId="4804"/>
    <cellStyle name="Normal 21 2 3 2" xfId="8547"/>
    <cellStyle name="Normal 21 2 3 2 2" xfId="15099"/>
    <cellStyle name="Normal 21 2 3 3" xfId="6828"/>
    <cellStyle name="Normal 21 2 3 3 2" xfId="13518"/>
    <cellStyle name="Normal 21 2 3 4" xfId="11733"/>
    <cellStyle name="Normal 21 2 4" xfId="5162"/>
    <cellStyle name="Normal 21 2 4 2" xfId="8905"/>
    <cellStyle name="Normal 21 2 4 2 2" xfId="15449"/>
    <cellStyle name="Normal 21 2 4 3" xfId="7186"/>
    <cellStyle name="Normal 21 2 4 3 2" xfId="13868"/>
    <cellStyle name="Normal 21 2 4 4" xfId="12083"/>
    <cellStyle name="Normal 21 2 5" xfId="5595"/>
    <cellStyle name="Normal 21 2 5 2" xfId="9336"/>
    <cellStyle name="Normal 21 2 5 2 2" xfId="15843"/>
    <cellStyle name="Normal 21 2 5 3" xfId="7617"/>
    <cellStyle name="Normal 21 2 5 3 2" xfId="14262"/>
    <cellStyle name="Normal 21 2 5 4" xfId="12488"/>
    <cellStyle name="Normal 21 2 6" xfId="9794"/>
    <cellStyle name="Normal 21 2 6 2" xfId="16285"/>
    <cellStyle name="Normal 21 2 7" xfId="8056"/>
    <cellStyle name="Normal 21 2 7 2" xfId="14656"/>
    <cellStyle name="Normal 21 2 8" xfId="6329"/>
    <cellStyle name="Normal 21 2 8 2" xfId="13052"/>
    <cellStyle name="Normal 21 2 9" xfId="11271"/>
    <cellStyle name="Normal 21 3" xfId="4531"/>
    <cellStyle name="Normal 21 3 2" xfId="4954"/>
    <cellStyle name="Normal 21 3 2 2" xfId="8697"/>
    <cellStyle name="Normal 21 3 2 2 2" xfId="15245"/>
    <cellStyle name="Normal 21 3 2 3" xfId="6978"/>
    <cellStyle name="Normal 21 3 2 3 2" xfId="13664"/>
    <cellStyle name="Normal 21 3 2 4" xfId="11879"/>
    <cellStyle name="Normal 21 3 3" xfId="5358"/>
    <cellStyle name="Normal 21 3 3 2" xfId="9101"/>
    <cellStyle name="Normal 21 3 3 2 2" xfId="15645"/>
    <cellStyle name="Normal 21 3 3 3" xfId="7382"/>
    <cellStyle name="Normal 21 3 3 3 2" xfId="14064"/>
    <cellStyle name="Normal 21 3 3 4" xfId="12279"/>
    <cellStyle name="Normal 21 3 4" xfId="5796"/>
    <cellStyle name="Normal 21 3 4 2" xfId="9537"/>
    <cellStyle name="Normal 21 3 4 2 2" xfId="16039"/>
    <cellStyle name="Normal 21 3 4 3" xfId="7818"/>
    <cellStyle name="Normal 21 3 4 3 2" xfId="14458"/>
    <cellStyle name="Normal 21 3 4 4" xfId="12689"/>
    <cellStyle name="Normal 21 3 5" xfId="9950"/>
    <cellStyle name="Normal 21 3 5 2" xfId="16431"/>
    <cellStyle name="Normal 21 3 6" xfId="8295"/>
    <cellStyle name="Normal 21 3 6 2" xfId="14852"/>
    <cellStyle name="Normal 21 3 7" xfId="6576"/>
    <cellStyle name="Normal 21 3 7 2" xfId="13266"/>
    <cellStyle name="Normal 21 3 8" xfId="11476"/>
    <cellStyle name="Normal 21 4" xfId="4722"/>
    <cellStyle name="Normal 21 4 2" xfId="8466"/>
    <cellStyle name="Normal 21 4 2 2" xfId="15018"/>
    <cellStyle name="Normal 21 4 3" xfId="6747"/>
    <cellStyle name="Normal 21 4 3 2" xfId="13437"/>
    <cellStyle name="Normal 21 4 4" xfId="11651"/>
    <cellStyle name="Normal 21 5" xfId="5161"/>
    <cellStyle name="Normal 21 5 2" xfId="8904"/>
    <cellStyle name="Normal 21 5 2 2" xfId="15448"/>
    <cellStyle name="Normal 21 5 3" xfId="7185"/>
    <cellStyle name="Normal 21 5 3 2" xfId="13867"/>
    <cellStyle name="Normal 21 5 4" xfId="12082"/>
    <cellStyle name="Normal 21 6" xfId="5594"/>
    <cellStyle name="Normal 21 6 2" xfId="9335"/>
    <cellStyle name="Normal 21 6 2 2" xfId="15842"/>
    <cellStyle name="Normal 21 6 3" xfId="7616"/>
    <cellStyle name="Normal 21 6 3 2" xfId="14261"/>
    <cellStyle name="Normal 21 6 4" xfId="12487"/>
    <cellStyle name="Normal 21 7" xfId="9710"/>
    <cellStyle name="Normal 21 7 2" xfId="16203"/>
    <cellStyle name="Normal 21 8" xfId="8055"/>
    <cellStyle name="Normal 21 8 2" xfId="14655"/>
    <cellStyle name="Normal 21 9" xfId="6328"/>
    <cellStyle name="Normal 21 9 2" xfId="13051"/>
    <cellStyle name="Normal 22" xfId="4123"/>
    <cellStyle name="Normal 22 10" xfId="11272"/>
    <cellStyle name="Normal 22 2" xfId="4124"/>
    <cellStyle name="Normal 22 2 2" xfId="4534"/>
    <cellStyle name="Normal 22 2 2 2" xfId="4955"/>
    <cellStyle name="Normal 22 2 2 2 2" xfId="8698"/>
    <cellStyle name="Normal 22 2 2 2 2 2" xfId="15246"/>
    <cellStyle name="Normal 22 2 2 2 3" xfId="6979"/>
    <cellStyle name="Normal 22 2 2 2 3 2" xfId="13665"/>
    <cellStyle name="Normal 22 2 2 2 4" xfId="11880"/>
    <cellStyle name="Normal 22 2 2 3" xfId="5361"/>
    <cellStyle name="Normal 22 2 2 3 2" xfId="9104"/>
    <cellStyle name="Normal 22 2 2 3 2 2" xfId="15648"/>
    <cellStyle name="Normal 22 2 2 3 3" xfId="7385"/>
    <cellStyle name="Normal 22 2 2 3 3 2" xfId="14067"/>
    <cellStyle name="Normal 22 2 2 3 4" xfId="12282"/>
    <cellStyle name="Normal 22 2 2 4" xfId="5799"/>
    <cellStyle name="Normal 22 2 2 4 2" xfId="9540"/>
    <cellStyle name="Normal 22 2 2 4 2 2" xfId="16042"/>
    <cellStyle name="Normal 22 2 2 4 3" xfId="7821"/>
    <cellStyle name="Normal 22 2 2 4 3 2" xfId="14461"/>
    <cellStyle name="Normal 22 2 2 4 4" xfId="12692"/>
    <cellStyle name="Normal 22 2 2 5" xfId="9951"/>
    <cellStyle name="Normal 22 2 2 5 2" xfId="16432"/>
    <cellStyle name="Normal 22 2 2 6" xfId="8298"/>
    <cellStyle name="Normal 22 2 2 6 2" xfId="14855"/>
    <cellStyle name="Normal 22 2 2 7" xfId="6579"/>
    <cellStyle name="Normal 22 2 2 7 2" xfId="13269"/>
    <cellStyle name="Normal 22 2 2 8" xfId="11479"/>
    <cellStyle name="Normal 22 2 3" xfId="4805"/>
    <cellStyle name="Normal 22 2 3 2" xfId="8548"/>
    <cellStyle name="Normal 22 2 3 2 2" xfId="15100"/>
    <cellStyle name="Normal 22 2 3 3" xfId="6829"/>
    <cellStyle name="Normal 22 2 3 3 2" xfId="13519"/>
    <cellStyle name="Normal 22 2 3 4" xfId="11734"/>
    <cellStyle name="Normal 22 2 4" xfId="5164"/>
    <cellStyle name="Normal 22 2 4 2" xfId="8907"/>
    <cellStyle name="Normal 22 2 4 2 2" xfId="15451"/>
    <cellStyle name="Normal 22 2 4 3" xfId="7188"/>
    <cellStyle name="Normal 22 2 4 3 2" xfId="13870"/>
    <cellStyle name="Normal 22 2 4 4" xfId="12085"/>
    <cellStyle name="Normal 22 2 5" xfId="5597"/>
    <cellStyle name="Normal 22 2 5 2" xfId="9338"/>
    <cellStyle name="Normal 22 2 5 2 2" xfId="15845"/>
    <cellStyle name="Normal 22 2 5 3" xfId="7619"/>
    <cellStyle name="Normal 22 2 5 3 2" xfId="14264"/>
    <cellStyle name="Normal 22 2 5 4" xfId="12490"/>
    <cellStyle name="Normal 22 2 6" xfId="9795"/>
    <cellStyle name="Normal 22 2 6 2" xfId="16286"/>
    <cellStyle name="Normal 22 2 7" xfId="8058"/>
    <cellStyle name="Normal 22 2 7 2" xfId="14658"/>
    <cellStyle name="Normal 22 2 8" xfId="6331"/>
    <cellStyle name="Normal 22 2 8 2" xfId="13054"/>
    <cellStyle name="Normal 22 2 9" xfId="11273"/>
    <cellStyle name="Normal 22 3" xfId="4533"/>
    <cellStyle name="Normal 22 3 2" xfId="4956"/>
    <cellStyle name="Normal 22 3 2 2" xfId="8699"/>
    <cellStyle name="Normal 22 3 2 2 2" xfId="15247"/>
    <cellStyle name="Normal 22 3 2 3" xfId="6980"/>
    <cellStyle name="Normal 22 3 2 3 2" xfId="13666"/>
    <cellStyle name="Normal 22 3 2 4" xfId="11881"/>
    <cellStyle name="Normal 22 3 3" xfId="5360"/>
    <cellStyle name="Normal 22 3 3 2" xfId="9103"/>
    <cellStyle name="Normal 22 3 3 2 2" xfId="15647"/>
    <cellStyle name="Normal 22 3 3 3" xfId="7384"/>
    <cellStyle name="Normal 22 3 3 3 2" xfId="14066"/>
    <cellStyle name="Normal 22 3 3 4" xfId="12281"/>
    <cellStyle name="Normal 22 3 4" xfId="5798"/>
    <cellStyle name="Normal 22 3 4 2" xfId="9539"/>
    <cellStyle name="Normal 22 3 4 2 2" xfId="16041"/>
    <cellStyle name="Normal 22 3 4 3" xfId="7820"/>
    <cellStyle name="Normal 22 3 4 3 2" xfId="14460"/>
    <cellStyle name="Normal 22 3 4 4" xfId="12691"/>
    <cellStyle name="Normal 22 3 5" xfId="9952"/>
    <cellStyle name="Normal 22 3 5 2" xfId="16433"/>
    <cellStyle name="Normal 22 3 6" xfId="8297"/>
    <cellStyle name="Normal 22 3 6 2" xfId="14854"/>
    <cellStyle name="Normal 22 3 7" xfId="6578"/>
    <cellStyle name="Normal 22 3 7 2" xfId="13268"/>
    <cellStyle name="Normal 22 3 8" xfId="11478"/>
    <cellStyle name="Normal 22 4" xfId="4723"/>
    <cellStyle name="Normal 22 4 2" xfId="8467"/>
    <cellStyle name="Normal 22 4 2 2" xfId="15019"/>
    <cellStyle name="Normal 22 4 3" xfId="6748"/>
    <cellStyle name="Normal 22 4 3 2" xfId="13438"/>
    <cellStyle name="Normal 22 4 4" xfId="11652"/>
    <cellStyle name="Normal 22 5" xfId="5163"/>
    <cellStyle name="Normal 22 5 2" xfId="8906"/>
    <cellStyle name="Normal 22 5 2 2" xfId="15450"/>
    <cellStyle name="Normal 22 5 3" xfId="7187"/>
    <cellStyle name="Normal 22 5 3 2" xfId="13869"/>
    <cellStyle name="Normal 22 5 4" xfId="12084"/>
    <cellStyle name="Normal 22 6" xfId="5596"/>
    <cellStyle name="Normal 22 6 2" xfId="9337"/>
    <cellStyle name="Normal 22 6 2 2" xfId="15844"/>
    <cellStyle name="Normal 22 6 3" xfId="7618"/>
    <cellStyle name="Normal 22 6 3 2" xfId="14263"/>
    <cellStyle name="Normal 22 6 4" xfId="12489"/>
    <cellStyle name="Normal 22 7" xfId="9711"/>
    <cellStyle name="Normal 22 7 2" xfId="16204"/>
    <cellStyle name="Normal 22 8" xfId="8057"/>
    <cellStyle name="Normal 22 8 2" xfId="14657"/>
    <cellStyle name="Normal 22 9" xfId="6330"/>
    <cellStyle name="Normal 22 9 2" xfId="13053"/>
    <cellStyle name="Normal 23" xfId="4125"/>
    <cellStyle name="Normal 23 10" xfId="11274"/>
    <cellStyle name="Normal 23 2" xfId="4126"/>
    <cellStyle name="Normal 23 2 2" xfId="4536"/>
    <cellStyle name="Normal 23 2 2 2" xfId="4957"/>
    <cellStyle name="Normal 23 2 2 2 2" xfId="8700"/>
    <cellStyle name="Normal 23 2 2 2 2 2" xfId="15248"/>
    <cellStyle name="Normal 23 2 2 2 3" xfId="6981"/>
    <cellStyle name="Normal 23 2 2 2 3 2" xfId="13667"/>
    <cellStyle name="Normal 23 2 2 2 4" xfId="11882"/>
    <cellStyle name="Normal 23 2 2 3" xfId="5363"/>
    <cellStyle name="Normal 23 2 2 3 2" xfId="9106"/>
    <cellStyle name="Normal 23 2 2 3 2 2" xfId="15650"/>
    <cellStyle name="Normal 23 2 2 3 3" xfId="7387"/>
    <cellStyle name="Normal 23 2 2 3 3 2" xfId="14069"/>
    <cellStyle name="Normal 23 2 2 3 4" xfId="12284"/>
    <cellStyle name="Normal 23 2 2 4" xfId="5801"/>
    <cellStyle name="Normal 23 2 2 4 2" xfId="9542"/>
    <cellStyle name="Normal 23 2 2 4 2 2" xfId="16044"/>
    <cellStyle name="Normal 23 2 2 4 3" xfId="7823"/>
    <cellStyle name="Normal 23 2 2 4 3 2" xfId="14463"/>
    <cellStyle name="Normal 23 2 2 4 4" xfId="12694"/>
    <cellStyle name="Normal 23 2 2 5" xfId="9953"/>
    <cellStyle name="Normal 23 2 2 5 2" xfId="16434"/>
    <cellStyle name="Normal 23 2 2 6" xfId="8300"/>
    <cellStyle name="Normal 23 2 2 6 2" xfId="14857"/>
    <cellStyle name="Normal 23 2 2 7" xfId="6581"/>
    <cellStyle name="Normal 23 2 2 7 2" xfId="13271"/>
    <cellStyle name="Normal 23 2 2 8" xfId="11481"/>
    <cellStyle name="Normal 23 2 3" xfId="4808"/>
    <cellStyle name="Normal 23 2 3 2" xfId="8551"/>
    <cellStyle name="Normal 23 2 3 2 2" xfId="15103"/>
    <cellStyle name="Normal 23 2 3 3" xfId="6832"/>
    <cellStyle name="Normal 23 2 3 3 2" xfId="13522"/>
    <cellStyle name="Normal 23 2 3 4" xfId="11737"/>
    <cellStyle name="Normal 23 2 4" xfId="5166"/>
    <cellStyle name="Normal 23 2 4 2" xfId="8909"/>
    <cellStyle name="Normal 23 2 4 2 2" xfId="15453"/>
    <cellStyle name="Normal 23 2 4 3" xfId="7190"/>
    <cellStyle name="Normal 23 2 4 3 2" xfId="13872"/>
    <cellStyle name="Normal 23 2 4 4" xfId="12087"/>
    <cellStyle name="Normal 23 2 5" xfId="5599"/>
    <cellStyle name="Normal 23 2 5 2" xfId="9340"/>
    <cellStyle name="Normal 23 2 5 2 2" xfId="15847"/>
    <cellStyle name="Normal 23 2 5 3" xfId="7621"/>
    <cellStyle name="Normal 23 2 5 3 2" xfId="14266"/>
    <cellStyle name="Normal 23 2 5 4" xfId="12492"/>
    <cellStyle name="Normal 23 2 6" xfId="9798"/>
    <cellStyle name="Normal 23 2 6 2" xfId="16289"/>
    <cellStyle name="Normal 23 2 7" xfId="8060"/>
    <cellStyle name="Normal 23 2 7 2" xfId="14660"/>
    <cellStyle name="Normal 23 2 8" xfId="6333"/>
    <cellStyle name="Normal 23 2 8 2" xfId="13056"/>
    <cellStyle name="Normal 23 2 9" xfId="11275"/>
    <cellStyle name="Normal 23 3" xfId="4535"/>
    <cellStyle name="Normal 23 3 2" xfId="4958"/>
    <cellStyle name="Normal 23 3 2 2" xfId="8701"/>
    <cellStyle name="Normal 23 3 2 2 2" xfId="15249"/>
    <cellStyle name="Normal 23 3 2 3" xfId="6982"/>
    <cellStyle name="Normal 23 3 2 3 2" xfId="13668"/>
    <cellStyle name="Normal 23 3 2 4" xfId="11883"/>
    <cellStyle name="Normal 23 3 3" xfId="5362"/>
    <cellStyle name="Normal 23 3 3 2" xfId="9105"/>
    <cellStyle name="Normal 23 3 3 2 2" xfId="15649"/>
    <cellStyle name="Normal 23 3 3 3" xfId="7386"/>
    <cellStyle name="Normal 23 3 3 3 2" xfId="14068"/>
    <cellStyle name="Normal 23 3 3 4" xfId="12283"/>
    <cellStyle name="Normal 23 3 4" xfId="5800"/>
    <cellStyle name="Normal 23 3 4 2" xfId="9541"/>
    <cellStyle name="Normal 23 3 4 2 2" xfId="16043"/>
    <cellStyle name="Normal 23 3 4 3" xfId="7822"/>
    <cellStyle name="Normal 23 3 4 3 2" xfId="14462"/>
    <cellStyle name="Normal 23 3 4 4" xfId="12693"/>
    <cellStyle name="Normal 23 3 5" xfId="9954"/>
    <cellStyle name="Normal 23 3 5 2" xfId="16435"/>
    <cellStyle name="Normal 23 3 6" xfId="8299"/>
    <cellStyle name="Normal 23 3 6 2" xfId="14856"/>
    <cellStyle name="Normal 23 3 7" xfId="6580"/>
    <cellStyle name="Normal 23 3 7 2" xfId="13270"/>
    <cellStyle name="Normal 23 3 8" xfId="11480"/>
    <cellStyle name="Normal 23 4" xfId="4726"/>
    <cellStyle name="Normal 23 4 2" xfId="8470"/>
    <cellStyle name="Normal 23 4 2 2" xfId="15022"/>
    <cellStyle name="Normal 23 4 3" xfId="6751"/>
    <cellStyle name="Normal 23 4 3 2" xfId="13441"/>
    <cellStyle name="Normal 23 4 4" xfId="11655"/>
    <cellStyle name="Normal 23 5" xfId="5165"/>
    <cellStyle name="Normal 23 5 2" xfId="8908"/>
    <cellStyle name="Normal 23 5 2 2" xfId="15452"/>
    <cellStyle name="Normal 23 5 3" xfId="7189"/>
    <cellStyle name="Normal 23 5 3 2" xfId="13871"/>
    <cellStyle name="Normal 23 5 4" xfId="12086"/>
    <cellStyle name="Normal 23 6" xfId="5598"/>
    <cellStyle name="Normal 23 6 2" xfId="9339"/>
    <cellStyle name="Normal 23 6 2 2" xfId="15846"/>
    <cellStyle name="Normal 23 6 3" xfId="7620"/>
    <cellStyle name="Normal 23 6 3 2" xfId="14265"/>
    <cellStyle name="Normal 23 6 4" xfId="12491"/>
    <cellStyle name="Normal 23 7" xfId="9714"/>
    <cellStyle name="Normal 23 7 2" xfId="16207"/>
    <cellStyle name="Normal 23 8" xfId="8059"/>
    <cellStyle name="Normal 23 8 2" xfId="14659"/>
    <cellStyle name="Normal 23 9" xfId="6332"/>
    <cellStyle name="Normal 23 9 2" xfId="13055"/>
    <cellStyle name="Normal 24" xfId="4127"/>
    <cellStyle name="Normal 24 10" xfId="11276"/>
    <cellStyle name="Normal 24 2" xfId="4128"/>
    <cellStyle name="Normal 24 2 2" xfId="4538"/>
    <cellStyle name="Normal 24 2 2 2" xfId="4959"/>
    <cellStyle name="Normal 24 2 2 2 2" xfId="8702"/>
    <cellStyle name="Normal 24 2 2 2 2 2" xfId="15250"/>
    <cellStyle name="Normal 24 2 2 2 3" xfId="6983"/>
    <cellStyle name="Normal 24 2 2 2 3 2" xfId="13669"/>
    <cellStyle name="Normal 24 2 2 2 4" xfId="11884"/>
    <cellStyle name="Normal 24 2 2 3" xfId="5365"/>
    <cellStyle name="Normal 24 2 2 3 2" xfId="9108"/>
    <cellStyle name="Normal 24 2 2 3 2 2" xfId="15652"/>
    <cellStyle name="Normal 24 2 2 3 3" xfId="7389"/>
    <cellStyle name="Normal 24 2 2 3 3 2" xfId="14071"/>
    <cellStyle name="Normal 24 2 2 3 4" xfId="12286"/>
    <cellStyle name="Normal 24 2 2 4" xfId="5803"/>
    <cellStyle name="Normal 24 2 2 4 2" xfId="9544"/>
    <cellStyle name="Normal 24 2 2 4 2 2" xfId="16046"/>
    <cellStyle name="Normal 24 2 2 4 3" xfId="7825"/>
    <cellStyle name="Normal 24 2 2 4 3 2" xfId="14465"/>
    <cellStyle name="Normal 24 2 2 4 4" xfId="12696"/>
    <cellStyle name="Normal 24 2 2 5" xfId="9955"/>
    <cellStyle name="Normal 24 2 2 5 2" xfId="16436"/>
    <cellStyle name="Normal 24 2 2 6" xfId="8302"/>
    <cellStyle name="Normal 24 2 2 6 2" xfId="14859"/>
    <cellStyle name="Normal 24 2 2 7" xfId="6583"/>
    <cellStyle name="Normal 24 2 2 7 2" xfId="13273"/>
    <cellStyle name="Normal 24 2 2 8" xfId="11483"/>
    <cellStyle name="Normal 24 2 3" xfId="4809"/>
    <cellStyle name="Normal 24 2 3 2" xfId="8552"/>
    <cellStyle name="Normal 24 2 3 2 2" xfId="15104"/>
    <cellStyle name="Normal 24 2 3 3" xfId="6833"/>
    <cellStyle name="Normal 24 2 3 3 2" xfId="13523"/>
    <cellStyle name="Normal 24 2 3 4" xfId="11738"/>
    <cellStyle name="Normal 24 2 4" xfId="5168"/>
    <cellStyle name="Normal 24 2 4 2" xfId="8911"/>
    <cellStyle name="Normal 24 2 4 2 2" xfId="15455"/>
    <cellStyle name="Normal 24 2 4 3" xfId="7192"/>
    <cellStyle name="Normal 24 2 4 3 2" xfId="13874"/>
    <cellStyle name="Normal 24 2 4 4" xfId="12089"/>
    <cellStyle name="Normal 24 2 5" xfId="5601"/>
    <cellStyle name="Normal 24 2 5 2" xfId="9342"/>
    <cellStyle name="Normal 24 2 5 2 2" xfId="15849"/>
    <cellStyle name="Normal 24 2 5 3" xfId="7623"/>
    <cellStyle name="Normal 24 2 5 3 2" xfId="14268"/>
    <cellStyle name="Normal 24 2 5 4" xfId="12494"/>
    <cellStyle name="Normal 24 2 6" xfId="9799"/>
    <cellStyle name="Normal 24 2 6 2" xfId="16290"/>
    <cellStyle name="Normal 24 2 7" xfId="8062"/>
    <cellStyle name="Normal 24 2 7 2" xfId="14662"/>
    <cellStyle name="Normal 24 2 8" xfId="6335"/>
    <cellStyle name="Normal 24 2 8 2" xfId="13058"/>
    <cellStyle name="Normal 24 2 9" xfId="11277"/>
    <cellStyle name="Normal 24 3" xfId="4537"/>
    <cellStyle name="Normal 24 3 2" xfId="4960"/>
    <cellStyle name="Normal 24 3 2 2" xfId="8703"/>
    <cellStyle name="Normal 24 3 2 2 2" xfId="15251"/>
    <cellStyle name="Normal 24 3 2 3" xfId="6984"/>
    <cellStyle name="Normal 24 3 2 3 2" xfId="13670"/>
    <cellStyle name="Normal 24 3 2 4" xfId="11885"/>
    <cellStyle name="Normal 24 3 3" xfId="5364"/>
    <cellStyle name="Normal 24 3 3 2" xfId="9107"/>
    <cellStyle name="Normal 24 3 3 2 2" xfId="15651"/>
    <cellStyle name="Normal 24 3 3 3" xfId="7388"/>
    <cellStyle name="Normal 24 3 3 3 2" xfId="14070"/>
    <cellStyle name="Normal 24 3 3 4" xfId="12285"/>
    <cellStyle name="Normal 24 3 4" xfId="5802"/>
    <cellStyle name="Normal 24 3 4 2" xfId="9543"/>
    <cellStyle name="Normal 24 3 4 2 2" xfId="16045"/>
    <cellStyle name="Normal 24 3 4 3" xfId="7824"/>
    <cellStyle name="Normal 24 3 4 3 2" xfId="14464"/>
    <cellStyle name="Normal 24 3 4 4" xfId="12695"/>
    <cellStyle name="Normal 24 3 5" xfId="9956"/>
    <cellStyle name="Normal 24 3 5 2" xfId="16437"/>
    <cellStyle name="Normal 24 3 6" xfId="8301"/>
    <cellStyle name="Normal 24 3 6 2" xfId="14858"/>
    <cellStyle name="Normal 24 3 7" xfId="6582"/>
    <cellStyle name="Normal 24 3 7 2" xfId="13272"/>
    <cellStyle name="Normal 24 3 8" xfId="11482"/>
    <cellStyle name="Normal 24 4" xfId="4727"/>
    <cellStyle name="Normal 24 4 2" xfId="8471"/>
    <cellStyle name="Normal 24 4 2 2" xfId="15023"/>
    <cellStyle name="Normal 24 4 3" xfId="6752"/>
    <cellStyle name="Normal 24 4 3 2" xfId="13442"/>
    <cellStyle name="Normal 24 4 4" xfId="11656"/>
    <cellStyle name="Normal 24 5" xfId="5167"/>
    <cellStyle name="Normal 24 5 2" xfId="8910"/>
    <cellStyle name="Normal 24 5 2 2" xfId="15454"/>
    <cellStyle name="Normal 24 5 3" xfId="7191"/>
    <cellStyle name="Normal 24 5 3 2" xfId="13873"/>
    <cellStyle name="Normal 24 5 4" xfId="12088"/>
    <cellStyle name="Normal 24 6" xfId="5600"/>
    <cellStyle name="Normal 24 6 2" xfId="9341"/>
    <cellStyle name="Normal 24 6 2 2" xfId="15848"/>
    <cellStyle name="Normal 24 6 3" xfId="7622"/>
    <cellStyle name="Normal 24 6 3 2" xfId="14267"/>
    <cellStyle name="Normal 24 6 4" xfId="12493"/>
    <cellStyle name="Normal 24 7" xfId="9715"/>
    <cellStyle name="Normal 24 7 2" xfId="16208"/>
    <cellStyle name="Normal 24 8" xfId="8061"/>
    <cellStyle name="Normal 24 8 2" xfId="14661"/>
    <cellStyle name="Normal 24 9" xfId="6334"/>
    <cellStyle name="Normal 24 9 2" xfId="13057"/>
    <cellStyle name="Normal 25" xfId="4129"/>
    <cellStyle name="Normal 25 10" xfId="11278"/>
    <cellStyle name="Normal 25 2" xfId="4130"/>
    <cellStyle name="Normal 25 3" xfId="4539"/>
    <cellStyle name="Normal 25 3 2" xfId="4961"/>
    <cellStyle name="Normal 25 3 2 2" xfId="8704"/>
    <cellStyle name="Normal 25 3 2 2 2" xfId="15252"/>
    <cellStyle name="Normal 25 3 2 3" xfId="6985"/>
    <cellStyle name="Normal 25 3 2 3 2" xfId="13671"/>
    <cellStyle name="Normal 25 3 2 4" xfId="11886"/>
    <cellStyle name="Normal 25 3 3" xfId="5366"/>
    <cellStyle name="Normal 25 3 3 2" xfId="9109"/>
    <cellStyle name="Normal 25 3 3 2 2" xfId="15653"/>
    <cellStyle name="Normal 25 3 3 3" xfId="7390"/>
    <cellStyle name="Normal 25 3 3 3 2" xfId="14072"/>
    <cellStyle name="Normal 25 3 3 4" xfId="12287"/>
    <cellStyle name="Normal 25 3 4" xfId="5804"/>
    <cellStyle name="Normal 25 3 4 2" xfId="9545"/>
    <cellStyle name="Normal 25 3 4 2 2" xfId="16047"/>
    <cellStyle name="Normal 25 3 4 3" xfId="7826"/>
    <cellStyle name="Normal 25 3 4 3 2" xfId="14466"/>
    <cellStyle name="Normal 25 3 4 4" xfId="12697"/>
    <cellStyle name="Normal 25 3 5" xfId="9957"/>
    <cellStyle name="Normal 25 3 5 2" xfId="16438"/>
    <cellStyle name="Normal 25 3 6" xfId="8303"/>
    <cellStyle name="Normal 25 3 6 2" xfId="14860"/>
    <cellStyle name="Normal 25 3 7" xfId="6584"/>
    <cellStyle name="Normal 25 3 7 2" xfId="13274"/>
    <cellStyle name="Normal 25 3 8" xfId="11484"/>
    <cellStyle name="Normal 25 4" xfId="4734"/>
    <cellStyle name="Normal 25 4 2" xfId="8477"/>
    <cellStyle name="Normal 25 4 2 2" xfId="15029"/>
    <cellStyle name="Normal 25 4 3" xfId="6758"/>
    <cellStyle name="Normal 25 4 3 2" xfId="13448"/>
    <cellStyle name="Normal 25 4 4" xfId="11663"/>
    <cellStyle name="Normal 25 5" xfId="5169"/>
    <cellStyle name="Normal 25 5 2" xfId="8912"/>
    <cellStyle name="Normal 25 5 2 2" xfId="15456"/>
    <cellStyle name="Normal 25 5 3" xfId="7193"/>
    <cellStyle name="Normal 25 5 3 2" xfId="13875"/>
    <cellStyle name="Normal 25 5 4" xfId="12090"/>
    <cellStyle name="Normal 25 6" xfId="5602"/>
    <cellStyle name="Normal 25 6 2" xfId="9343"/>
    <cellStyle name="Normal 25 6 2 2" xfId="15850"/>
    <cellStyle name="Normal 25 6 3" xfId="7624"/>
    <cellStyle name="Normal 25 6 3 2" xfId="14269"/>
    <cellStyle name="Normal 25 6 4" xfId="12495"/>
    <cellStyle name="Normal 25 7" xfId="9722"/>
    <cellStyle name="Normal 25 7 2" xfId="16215"/>
    <cellStyle name="Normal 25 8" xfId="8063"/>
    <cellStyle name="Normal 25 8 2" xfId="14663"/>
    <cellStyle name="Normal 25 9" xfId="6336"/>
    <cellStyle name="Normal 25 9 2" xfId="13059"/>
    <cellStyle name="Normal 26" xfId="4131"/>
    <cellStyle name="Normal 26 2" xfId="4540"/>
    <cellStyle name="Normal 26 2 2" xfId="4962"/>
    <cellStyle name="Normal 26 2 2 2" xfId="8705"/>
    <cellStyle name="Normal 26 2 2 2 2" xfId="15253"/>
    <cellStyle name="Normal 26 2 2 3" xfId="6986"/>
    <cellStyle name="Normal 26 2 2 3 2" xfId="13672"/>
    <cellStyle name="Normal 26 2 2 4" xfId="11887"/>
    <cellStyle name="Normal 26 2 3" xfId="5367"/>
    <cellStyle name="Normal 26 2 3 2" xfId="9110"/>
    <cellStyle name="Normal 26 2 3 2 2" xfId="15654"/>
    <cellStyle name="Normal 26 2 3 3" xfId="7391"/>
    <cellStyle name="Normal 26 2 3 3 2" xfId="14073"/>
    <cellStyle name="Normal 26 2 3 4" xfId="12288"/>
    <cellStyle name="Normal 26 2 4" xfId="5805"/>
    <cellStyle name="Normal 26 2 4 2" xfId="9546"/>
    <cellStyle name="Normal 26 2 4 2 2" xfId="16048"/>
    <cellStyle name="Normal 26 2 4 3" xfId="7827"/>
    <cellStyle name="Normal 26 2 4 3 2" xfId="14467"/>
    <cellStyle name="Normal 26 2 4 4" xfId="12698"/>
    <cellStyle name="Normal 26 2 5" xfId="9958"/>
    <cellStyle name="Normal 26 2 5 2" xfId="16439"/>
    <cellStyle name="Normal 26 2 6" xfId="8304"/>
    <cellStyle name="Normal 26 2 6 2" xfId="14861"/>
    <cellStyle name="Normal 26 2 7" xfId="6585"/>
    <cellStyle name="Normal 26 2 7 2" xfId="13275"/>
    <cellStyle name="Normal 26 2 8" xfId="11485"/>
    <cellStyle name="Normal 26 3" xfId="4737"/>
    <cellStyle name="Normal 26 3 2" xfId="8480"/>
    <cellStyle name="Normal 26 3 2 2" xfId="15032"/>
    <cellStyle name="Normal 26 3 3" xfId="6761"/>
    <cellStyle name="Normal 26 3 3 2" xfId="13451"/>
    <cellStyle name="Normal 26 3 4" xfId="11666"/>
    <cellStyle name="Normal 26 4" xfId="5170"/>
    <cellStyle name="Normal 26 4 2" xfId="8913"/>
    <cellStyle name="Normal 26 4 2 2" xfId="15457"/>
    <cellStyle name="Normal 26 4 3" xfId="7194"/>
    <cellStyle name="Normal 26 4 3 2" xfId="13876"/>
    <cellStyle name="Normal 26 4 4" xfId="12091"/>
    <cellStyle name="Normal 26 5" xfId="5603"/>
    <cellStyle name="Normal 26 5 2" xfId="9344"/>
    <cellStyle name="Normal 26 5 2 2" xfId="15851"/>
    <cellStyle name="Normal 26 5 3" xfId="7625"/>
    <cellStyle name="Normal 26 5 3 2" xfId="14270"/>
    <cellStyle name="Normal 26 5 4" xfId="12496"/>
    <cellStyle name="Normal 26 6" xfId="9725"/>
    <cellStyle name="Normal 26 6 2" xfId="16218"/>
    <cellStyle name="Normal 26 7" xfId="8064"/>
    <cellStyle name="Normal 26 7 2" xfId="14664"/>
    <cellStyle name="Normal 26 8" xfId="6337"/>
    <cellStyle name="Normal 26 8 2" xfId="13060"/>
    <cellStyle name="Normal 26 9" xfId="11279"/>
    <cellStyle name="Normal 27" xfId="4132"/>
    <cellStyle name="Normal 27 2" xfId="4541"/>
    <cellStyle name="Normal 27 2 2" xfId="4963"/>
    <cellStyle name="Normal 27 2 2 2" xfId="8706"/>
    <cellStyle name="Normal 27 2 2 2 2" xfId="15254"/>
    <cellStyle name="Normal 27 2 2 3" xfId="6987"/>
    <cellStyle name="Normal 27 2 2 3 2" xfId="13673"/>
    <cellStyle name="Normal 27 2 2 4" xfId="11888"/>
    <cellStyle name="Normal 27 2 3" xfId="5368"/>
    <cellStyle name="Normal 27 2 3 2" xfId="9111"/>
    <cellStyle name="Normal 27 2 3 2 2" xfId="15655"/>
    <cellStyle name="Normal 27 2 3 3" xfId="7392"/>
    <cellStyle name="Normal 27 2 3 3 2" xfId="14074"/>
    <cellStyle name="Normal 27 2 3 4" xfId="12289"/>
    <cellStyle name="Normal 27 2 4" xfId="5806"/>
    <cellStyle name="Normal 27 2 4 2" xfId="9547"/>
    <cellStyle name="Normal 27 2 4 2 2" xfId="16049"/>
    <cellStyle name="Normal 27 2 4 3" xfId="7828"/>
    <cellStyle name="Normal 27 2 4 3 2" xfId="14468"/>
    <cellStyle name="Normal 27 2 4 4" xfId="12699"/>
    <cellStyle name="Normal 27 2 5" xfId="9959"/>
    <cellStyle name="Normal 27 2 5 2" xfId="16440"/>
    <cellStyle name="Normal 27 2 6" xfId="8305"/>
    <cellStyle name="Normal 27 2 6 2" xfId="14862"/>
    <cellStyle name="Normal 27 2 7" xfId="6586"/>
    <cellStyle name="Normal 27 2 7 2" xfId="13276"/>
    <cellStyle name="Normal 27 2 8" xfId="11486"/>
    <cellStyle name="Normal 27 3" xfId="4739"/>
    <cellStyle name="Normal 27 3 2" xfId="8482"/>
    <cellStyle name="Normal 27 3 2 2" xfId="15034"/>
    <cellStyle name="Normal 27 3 3" xfId="6763"/>
    <cellStyle name="Normal 27 3 3 2" xfId="13453"/>
    <cellStyle name="Normal 27 3 4" xfId="11668"/>
    <cellStyle name="Normal 27 4" xfId="5171"/>
    <cellStyle name="Normal 27 4 2" xfId="8914"/>
    <cellStyle name="Normal 27 4 2 2" xfId="15458"/>
    <cellStyle name="Normal 27 4 3" xfId="7195"/>
    <cellStyle name="Normal 27 4 3 2" xfId="13877"/>
    <cellStyle name="Normal 27 4 4" xfId="12092"/>
    <cellStyle name="Normal 27 5" xfId="5604"/>
    <cellStyle name="Normal 27 5 2" xfId="9345"/>
    <cellStyle name="Normal 27 5 2 2" xfId="15852"/>
    <cellStyle name="Normal 27 5 3" xfId="7626"/>
    <cellStyle name="Normal 27 5 3 2" xfId="14271"/>
    <cellStyle name="Normal 27 5 4" xfId="12497"/>
    <cellStyle name="Normal 27 6" xfId="9727"/>
    <cellStyle name="Normal 27 6 2" xfId="16220"/>
    <cellStyle name="Normal 27 7" xfId="8065"/>
    <cellStyle name="Normal 27 7 2" xfId="14665"/>
    <cellStyle name="Normal 27 8" xfId="6338"/>
    <cellStyle name="Normal 27 8 2" xfId="13061"/>
    <cellStyle name="Normal 27 9" xfId="11280"/>
    <cellStyle name="Normal 28" xfId="4133"/>
    <cellStyle name="Normal 28 2" xfId="4542"/>
    <cellStyle name="Normal 28 2 2" xfId="4964"/>
    <cellStyle name="Normal 28 2 2 2" xfId="8707"/>
    <cellStyle name="Normal 28 2 2 2 2" xfId="15255"/>
    <cellStyle name="Normal 28 2 2 3" xfId="6988"/>
    <cellStyle name="Normal 28 2 2 3 2" xfId="13674"/>
    <cellStyle name="Normal 28 2 2 4" xfId="11889"/>
    <cellStyle name="Normal 28 2 3" xfId="5369"/>
    <cellStyle name="Normal 28 2 3 2" xfId="9112"/>
    <cellStyle name="Normal 28 2 3 2 2" xfId="15656"/>
    <cellStyle name="Normal 28 2 3 3" xfId="7393"/>
    <cellStyle name="Normal 28 2 3 3 2" xfId="14075"/>
    <cellStyle name="Normal 28 2 3 4" xfId="12290"/>
    <cellStyle name="Normal 28 2 4" xfId="5807"/>
    <cellStyle name="Normal 28 2 4 2" xfId="9548"/>
    <cellStyle name="Normal 28 2 4 2 2" xfId="16050"/>
    <cellStyle name="Normal 28 2 4 3" xfId="7829"/>
    <cellStyle name="Normal 28 2 4 3 2" xfId="14469"/>
    <cellStyle name="Normal 28 2 4 4" xfId="12700"/>
    <cellStyle name="Normal 28 2 5" xfId="9960"/>
    <cellStyle name="Normal 28 2 5 2" xfId="16441"/>
    <cellStyle name="Normal 28 2 6" xfId="8306"/>
    <cellStyle name="Normal 28 2 6 2" xfId="14863"/>
    <cellStyle name="Normal 28 2 7" xfId="6587"/>
    <cellStyle name="Normal 28 2 7 2" xfId="13277"/>
    <cellStyle name="Normal 28 2 8" xfId="11487"/>
    <cellStyle name="Normal 28 3" xfId="4741"/>
    <cellStyle name="Normal 28 3 2" xfId="8484"/>
    <cellStyle name="Normal 28 3 2 2" xfId="15036"/>
    <cellStyle name="Normal 28 3 3" xfId="6765"/>
    <cellStyle name="Normal 28 3 3 2" xfId="13455"/>
    <cellStyle name="Normal 28 3 4" xfId="11670"/>
    <cellStyle name="Normal 28 4" xfId="5172"/>
    <cellStyle name="Normal 28 4 2" xfId="8915"/>
    <cellStyle name="Normal 28 4 2 2" xfId="15459"/>
    <cellStyle name="Normal 28 4 3" xfId="7196"/>
    <cellStyle name="Normal 28 4 3 2" xfId="13878"/>
    <cellStyle name="Normal 28 4 4" xfId="12093"/>
    <cellStyle name="Normal 28 5" xfId="5605"/>
    <cellStyle name="Normal 28 5 2" xfId="9346"/>
    <cellStyle name="Normal 28 5 2 2" xfId="15853"/>
    <cellStyle name="Normal 28 5 3" xfId="7627"/>
    <cellStyle name="Normal 28 5 3 2" xfId="14272"/>
    <cellStyle name="Normal 28 5 4" xfId="12498"/>
    <cellStyle name="Normal 28 6" xfId="9729"/>
    <cellStyle name="Normal 28 6 2" xfId="16222"/>
    <cellStyle name="Normal 28 7" xfId="8066"/>
    <cellStyle name="Normal 28 7 2" xfId="14666"/>
    <cellStyle name="Normal 28 8" xfId="6339"/>
    <cellStyle name="Normal 28 8 2" xfId="13062"/>
    <cellStyle name="Normal 28 9" xfId="11281"/>
    <cellStyle name="Normal 29" xfId="4134"/>
    <cellStyle name="Normal 29 2" xfId="4543"/>
    <cellStyle name="Normal 29 2 2" xfId="4965"/>
    <cellStyle name="Normal 29 2 2 2" xfId="8708"/>
    <cellStyle name="Normal 29 2 2 2 2" xfId="15256"/>
    <cellStyle name="Normal 29 2 2 3" xfId="6989"/>
    <cellStyle name="Normal 29 2 2 3 2" xfId="13675"/>
    <cellStyle name="Normal 29 2 2 4" xfId="11890"/>
    <cellStyle name="Normal 29 2 3" xfId="5370"/>
    <cellStyle name="Normal 29 2 3 2" xfId="9113"/>
    <cellStyle name="Normal 29 2 3 2 2" xfId="15657"/>
    <cellStyle name="Normal 29 2 3 3" xfId="7394"/>
    <cellStyle name="Normal 29 2 3 3 2" xfId="14076"/>
    <cellStyle name="Normal 29 2 3 4" xfId="12291"/>
    <cellStyle name="Normal 29 2 4" xfId="5808"/>
    <cellStyle name="Normal 29 2 4 2" xfId="9549"/>
    <cellStyle name="Normal 29 2 4 2 2" xfId="16051"/>
    <cellStyle name="Normal 29 2 4 3" xfId="7830"/>
    <cellStyle name="Normal 29 2 4 3 2" xfId="14470"/>
    <cellStyle name="Normal 29 2 4 4" xfId="12701"/>
    <cellStyle name="Normal 29 2 5" xfId="9961"/>
    <cellStyle name="Normal 29 2 5 2" xfId="16442"/>
    <cellStyle name="Normal 29 2 6" xfId="8307"/>
    <cellStyle name="Normal 29 2 6 2" xfId="14864"/>
    <cellStyle name="Normal 29 2 7" xfId="6588"/>
    <cellStyle name="Normal 29 2 7 2" xfId="13278"/>
    <cellStyle name="Normal 29 2 8" xfId="11488"/>
    <cellStyle name="Normal 29 3" xfId="4743"/>
    <cellStyle name="Normal 29 3 2" xfId="8486"/>
    <cellStyle name="Normal 29 3 2 2" xfId="15038"/>
    <cellStyle name="Normal 29 3 3" xfId="6767"/>
    <cellStyle name="Normal 29 3 3 2" xfId="13457"/>
    <cellStyle name="Normal 29 3 4" xfId="11672"/>
    <cellStyle name="Normal 29 4" xfId="5173"/>
    <cellStyle name="Normal 29 4 2" xfId="8916"/>
    <cellStyle name="Normal 29 4 2 2" xfId="15460"/>
    <cellStyle name="Normal 29 4 3" xfId="7197"/>
    <cellStyle name="Normal 29 4 3 2" xfId="13879"/>
    <cellStyle name="Normal 29 4 4" xfId="12094"/>
    <cellStyle name="Normal 29 5" xfId="5606"/>
    <cellStyle name="Normal 29 5 2" xfId="9347"/>
    <cellStyle name="Normal 29 5 2 2" xfId="15854"/>
    <cellStyle name="Normal 29 5 3" xfId="7628"/>
    <cellStyle name="Normal 29 5 3 2" xfId="14273"/>
    <cellStyle name="Normal 29 5 4" xfId="12499"/>
    <cellStyle name="Normal 29 6" xfId="9731"/>
    <cellStyle name="Normal 29 6 2" xfId="16224"/>
    <cellStyle name="Normal 29 7" xfId="8067"/>
    <cellStyle name="Normal 29 7 2" xfId="14667"/>
    <cellStyle name="Normal 29 8" xfId="6340"/>
    <cellStyle name="Normal 29 8 2" xfId="13063"/>
    <cellStyle name="Normal 29 9" xfId="11282"/>
    <cellStyle name="Normal 3" xfId="3"/>
    <cellStyle name="Normal 3 2" xfId="23"/>
    <cellStyle name="Normal 3 3" xfId="4135"/>
    <cellStyle name="Normal 3 3 2 5 15 2 4" xfId="4136"/>
    <cellStyle name="Normal 3 5" xfId="4137"/>
    <cellStyle name="Normal 30" xfId="4138"/>
    <cellStyle name="Normal 30 2" xfId="4544"/>
    <cellStyle name="Normal 30 2 2" xfId="4966"/>
    <cellStyle name="Normal 30 2 2 2" xfId="8709"/>
    <cellStyle name="Normal 30 2 2 2 2" xfId="15257"/>
    <cellStyle name="Normal 30 2 2 3" xfId="6990"/>
    <cellStyle name="Normal 30 2 2 3 2" xfId="13676"/>
    <cellStyle name="Normal 30 2 2 4" xfId="11891"/>
    <cellStyle name="Normal 30 2 3" xfId="5371"/>
    <cellStyle name="Normal 30 2 3 2" xfId="9114"/>
    <cellStyle name="Normal 30 2 3 2 2" xfId="15658"/>
    <cellStyle name="Normal 30 2 3 3" xfId="7395"/>
    <cellStyle name="Normal 30 2 3 3 2" xfId="14077"/>
    <cellStyle name="Normal 30 2 3 4" xfId="12292"/>
    <cellStyle name="Normal 30 2 4" xfId="5809"/>
    <cellStyle name="Normal 30 2 4 2" xfId="9550"/>
    <cellStyle name="Normal 30 2 4 2 2" xfId="16052"/>
    <cellStyle name="Normal 30 2 4 3" xfId="7831"/>
    <cellStyle name="Normal 30 2 4 3 2" xfId="14471"/>
    <cellStyle name="Normal 30 2 4 4" xfId="12702"/>
    <cellStyle name="Normal 30 2 5" xfId="9962"/>
    <cellStyle name="Normal 30 2 5 2" xfId="16443"/>
    <cellStyle name="Normal 30 2 6" xfId="8308"/>
    <cellStyle name="Normal 30 2 6 2" xfId="14865"/>
    <cellStyle name="Normal 30 2 7" xfId="6589"/>
    <cellStyle name="Normal 30 2 7 2" xfId="13279"/>
    <cellStyle name="Normal 30 2 8" xfId="11489"/>
    <cellStyle name="Normal 30 3" xfId="4745"/>
    <cellStyle name="Normal 30 3 2" xfId="8488"/>
    <cellStyle name="Normal 30 3 2 2" xfId="15040"/>
    <cellStyle name="Normal 30 3 3" xfId="6769"/>
    <cellStyle name="Normal 30 3 3 2" xfId="13459"/>
    <cellStyle name="Normal 30 3 4" xfId="11674"/>
    <cellStyle name="Normal 30 4" xfId="5174"/>
    <cellStyle name="Normal 30 4 2" xfId="8917"/>
    <cellStyle name="Normal 30 4 2 2" xfId="15461"/>
    <cellStyle name="Normal 30 4 3" xfId="7198"/>
    <cellStyle name="Normal 30 4 3 2" xfId="13880"/>
    <cellStyle name="Normal 30 4 4" xfId="12095"/>
    <cellStyle name="Normal 30 5" xfId="5607"/>
    <cellStyle name="Normal 30 5 2" xfId="9348"/>
    <cellStyle name="Normal 30 5 2 2" xfId="15855"/>
    <cellStyle name="Normal 30 5 3" xfId="7629"/>
    <cellStyle name="Normal 30 5 3 2" xfId="14274"/>
    <cellStyle name="Normal 30 5 4" xfId="12500"/>
    <cellStyle name="Normal 30 6" xfId="9733"/>
    <cellStyle name="Normal 30 6 2" xfId="16226"/>
    <cellStyle name="Normal 30 7" xfId="8068"/>
    <cellStyle name="Normal 30 7 2" xfId="14668"/>
    <cellStyle name="Normal 30 8" xfId="6341"/>
    <cellStyle name="Normal 30 8 2" xfId="13064"/>
    <cellStyle name="Normal 30 9" xfId="11283"/>
    <cellStyle name="Normal 31" xfId="4139"/>
    <cellStyle name="Normal 31 2" xfId="4545"/>
    <cellStyle name="Normal 31 2 2" xfId="4967"/>
    <cellStyle name="Normal 31 2 2 2" xfId="8710"/>
    <cellStyle name="Normal 31 2 2 2 2" xfId="15258"/>
    <cellStyle name="Normal 31 2 2 3" xfId="6991"/>
    <cellStyle name="Normal 31 2 2 3 2" xfId="13677"/>
    <cellStyle name="Normal 31 2 2 4" xfId="11892"/>
    <cellStyle name="Normal 31 2 3" xfId="5372"/>
    <cellStyle name="Normal 31 2 3 2" xfId="9115"/>
    <cellStyle name="Normal 31 2 3 2 2" xfId="15659"/>
    <cellStyle name="Normal 31 2 3 3" xfId="7396"/>
    <cellStyle name="Normal 31 2 3 3 2" xfId="14078"/>
    <cellStyle name="Normal 31 2 3 4" xfId="12293"/>
    <cellStyle name="Normal 31 2 4" xfId="5810"/>
    <cellStyle name="Normal 31 2 4 2" xfId="9551"/>
    <cellStyle name="Normal 31 2 4 2 2" xfId="16053"/>
    <cellStyle name="Normal 31 2 4 3" xfId="7832"/>
    <cellStyle name="Normal 31 2 4 3 2" xfId="14472"/>
    <cellStyle name="Normal 31 2 4 4" xfId="12703"/>
    <cellStyle name="Normal 31 2 5" xfId="9963"/>
    <cellStyle name="Normal 31 2 5 2" xfId="16444"/>
    <cellStyle name="Normal 31 2 6" xfId="8309"/>
    <cellStyle name="Normal 31 2 6 2" xfId="14866"/>
    <cellStyle name="Normal 31 2 7" xfId="6590"/>
    <cellStyle name="Normal 31 2 7 2" xfId="13280"/>
    <cellStyle name="Normal 31 2 8" xfId="11490"/>
    <cellStyle name="Normal 31 3" xfId="4747"/>
    <cellStyle name="Normal 31 3 2" xfId="8490"/>
    <cellStyle name="Normal 31 3 2 2" xfId="15042"/>
    <cellStyle name="Normal 31 3 3" xfId="6771"/>
    <cellStyle name="Normal 31 3 3 2" xfId="13461"/>
    <cellStyle name="Normal 31 3 4" xfId="11676"/>
    <cellStyle name="Normal 31 4" xfId="5175"/>
    <cellStyle name="Normal 31 4 2" xfId="8918"/>
    <cellStyle name="Normal 31 4 2 2" xfId="15462"/>
    <cellStyle name="Normal 31 4 3" xfId="7199"/>
    <cellStyle name="Normal 31 4 3 2" xfId="13881"/>
    <cellStyle name="Normal 31 4 4" xfId="12096"/>
    <cellStyle name="Normal 31 5" xfId="5608"/>
    <cellStyle name="Normal 31 5 2" xfId="9349"/>
    <cellStyle name="Normal 31 5 2 2" xfId="15856"/>
    <cellStyle name="Normal 31 5 3" xfId="7630"/>
    <cellStyle name="Normal 31 5 3 2" xfId="14275"/>
    <cellStyle name="Normal 31 5 4" xfId="12501"/>
    <cellStyle name="Normal 31 6" xfId="9735"/>
    <cellStyle name="Normal 31 6 2" xfId="16228"/>
    <cellStyle name="Normal 31 7" xfId="8069"/>
    <cellStyle name="Normal 31 7 2" xfId="14669"/>
    <cellStyle name="Normal 31 8" xfId="6342"/>
    <cellStyle name="Normal 31 8 2" xfId="13065"/>
    <cellStyle name="Normal 31 9" xfId="11284"/>
    <cellStyle name="Normal 32" xfId="4140"/>
    <cellStyle name="Normal 32 2" xfId="4546"/>
    <cellStyle name="Normal 32 2 2" xfId="4968"/>
    <cellStyle name="Normal 32 2 2 2" xfId="8711"/>
    <cellStyle name="Normal 32 2 2 2 2" xfId="15259"/>
    <cellStyle name="Normal 32 2 2 3" xfId="6992"/>
    <cellStyle name="Normal 32 2 2 3 2" xfId="13678"/>
    <cellStyle name="Normal 32 2 2 4" xfId="11893"/>
    <cellStyle name="Normal 32 2 3" xfId="5373"/>
    <cellStyle name="Normal 32 2 3 2" xfId="9116"/>
    <cellStyle name="Normal 32 2 3 2 2" xfId="15660"/>
    <cellStyle name="Normal 32 2 3 3" xfId="7397"/>
    <cellStyle name="Normal 32 2 3 3 2" xfId="14079"/>
    <cellStyle name="Normal 32 2 3 4" xfId="12294"/>
    <cellStyle name="Normal 32 2 4" xfId="5811"/>
    <cellStyle name="Normal 32 2 4 2" xfId="9552"/>
    <cellStyle name="Normal 32 2 4 2 2" xfId="16054"/>
    <cellStyle name="Normal 32 2 4 3" xfId="7833"/>
    <cellStyle name="Normal 32 2 4 3 2" xfId="14473"/>
    <cellStyle name="Normal 32 2 4 4" xfId="12704"/>
    <cellStyle name="Normal 32 2 5" xfId="9964"/>
    <cellStyle name="Normal 32 2 5 2" xfId="16445"/>
    <cellStyle name="Normal 32 2 6" xfId="8310"/>
    <cellStyle name="Normal 32 2 6 2" xfId="14867"/>
    <cellStyle name="Normal 32 2 7" xfId="6591"/>
    <cellStyle name="Normal 32 2 7 2" xfId="13281"/>
    <cellStyle name="Normal 32 2 8" xfId="11491"/>
    <cellStyle name="Normal 32 3" xfId="4749"/>
    <cellStyle name="Normal 32 3 2" xfId="8492"/>
    <cellStyle name="Normal 32 3 2 2" xfId="15044"/>
    <cellStyle name="Normal 32 3 3" xfId="6773"/>
    <cellStyle name="Normal 32 3 3 2" xfId="13463"/>
    <cellStyle name="Normal 32 3 4" xfId="11678"/>
    <cellStyle name="Normal 32 4" xfId="5176"/>
    <cellStyle name="Normal 32 4 2" xfId="8919"/>
    <cellStyle name="Normal 32 4 2 2" xfId="15463"/>
    <cellStyle name="Normal 32 4 3" xfId="7200"/>
    <cellStyle name="Normal 32 4 3 2" xfId="13882"/>
    <cellStyle name="Normal 32 4 4" xfId="12097"/>
    <cellStyle name="Normal 32 5" xfId="5609"/>
    <cellStyle name="Normal 32 5 2" xfId="9350"/>
    <cellStyle name="Normal 32 5 2 2" xfId="15857"/>
    <cellStyle name="Normal 32 5 3" xfId="7631"/>
    <cellStyle name="Normal 32 5 3 2" xfId="14276"/>
    <cellStyle name="Normal 32 5 4" xfId="12502"/>
    <cellStyle name="Normal 32 6" xfId="9737"/>
    <cellStyle name="Normal 32 6 2" xfId="16230"/>
    <cellStyle name="Normal 32 7" xfId="8070"/>
    <cellStyle name="Normal 32 7 2" xfId="14670"/>
    <cellStyle name="Normal 32 8" xfId="6343"/>
    <cellStyle name="Normal 32 8 2" xfId="13066"/>
    <cellStyle name="Normal 32 9" xfId="11285"/>
    <cellStyle name="Normal 33" xfId="4141"/>
    <cellStyle name="Normal 33 2" xfId="4547"/>
    <cellStyle name="Normal 33 2 2" xfId="4969"/>
    <cellStyle name="Normal 33 2 2 2" xfId="8712"/>
    <cellStyle name="Normal 33 2 2 2 2" xfId="15260"/>
    <cellStyle name="Normal 33 2 2 3" xfId="6993"/>
    <cellStyle name="Normal 33 2 2 3 2" xfId="13679"/>
    <cellStyle name="Normal 33 2 2 4" xfId="11894"/>
    <cellStyle name="Normal 33 2 3" xfId="5374"/>
    <cellStyle name="Normal 33 2 3 2" xfId="9117"/>
    <cellStyle name="Normal 33 2 3 2 2" xfId="15661"/>
    <cellStyle name="Normal 33 2 3 3" xfId="7398"/>
    <cellStyle name="Normal 33 2 3 3 2" xfId="14080"/>
    <cellStyle name="Normal 33 2 3 4" xfId="12295"/>
    <cellStyle name="Normal 33 2 4" xfId="5812"/>
    <cellStyle name="Normal 33 2 4 2" xfId="9553"/>
    <cellStyle name="Normal 33 2 4 2 2" xfId="16055"/>
    <cellStyle name="Normal 33 2 4 3" xfId="7834"/>
    <cellStyle name="Normal 33 2 4 3 2" xfId="14474"/>
    <cellStyle name="Normal 33 2 4 4" xfId="12705"/>
    <cellStyle name="Normal 33 2 5" xfId="9965"/>
    <cellStyle name="Normal 33 2 5 2" xfId="16446"/>
    <cellStyle name="Normal 33 2 6" xfId="8311"/>
    <cellStyle name="Normal 33 2 6 2" xfId="14868"/>
    <cellStyle name="Normal 33 2 7" xfId="6592"/>
    <cellStyle name="Normal 33 2 7 2" xfId="13282"/>
    <cellStyle name="Normal 33 2 8" xfId="11492"/>
    <cellStyle name="Normal 33 3" xfId="4750"/>
    <cellStyle name="Normal 33 3 2" xfId="8493"/>
    <cellStyle name="Normal 33 3 2 2" xfId="15045"/>
    <cellStyle name="Normal 33 3 3" xfId="6774"/>
    <cellStyle name="Normal 33 3 3 2" xfId="13464"/>
    <cellStyle name="Normal 33 3 4" xfId="11679"/>
    <cellStyle name="Normal 33 4" xfId="5177"/>
    <cellStyle name="Normal 33 4 2" xfId="8920"/>
    <cellStyle name="Normal 33 4 2 2" xfId="15464"/>
    <cellStyle name="Normal 33 4 3" xfId="7201"/>
    <cellStyle name="Normal 33 4 3 2" xfId="13883"/>
    <cellStyle name="Normal 33 4 4" xfId="12098"/>
    <cellStyle name="Normal 33 5" xfId="5610"/>
    <cellStyle name="Normal 33 5 2" xfId="9351"/>
    <cellStyle name="Normal 33 5 2 2" xfId="15858"/>
    <cellStyle name="Normal 33 5 3" xfId="7632"/>
    <cellStyle name="Normal 33 5 3 2" xfId="14277"/>
    <cellStyle name="Normal 33 5 4" xfId="12503"/>
    <cellStyle name="Normal 33 6" xfId="9738"/>
    <cellStyle name="Normal 33 6 2" xfId="16231"/>
    <cellStyle name="Normal 33 7" xfId="8071"/>
    <cellStyle name="Normal 33 7 2" xfId="14671"/>
    <cellStyle name="Normal 33 8" xfId="6344"/>
    <cellStyle name="Normal 33 8 2" xfId="13067"/>
    <cellStyle name="Normal 33 9" xfId="11286"/>
    <cellStyle name="Normal 34" xfId="4142"/>
    <cellStyle name="Normal 34 2" xfId="4548"/>
    <cellStyle name="Normal 34 2 2" xfId="4970"/>
    <cellStyle name="Normal 34 2 2 2" xfId="8713"/>
    <cellStyle name="Normal 34 2 2 2 2" xfId="15261"/>
    <cellStyle name="Normal 34 2 2 3" xfId="6994"/>
    <cellStyle name="Normal 34 2 2 3 2" xfId="13680"/>
    <cellStyle name="Normal 34 2 2 4" xfId="11895"/>
    <cellStyle name="Normal 34 2 3" xfId="5375"/>
    <cellStyle name="Normal 34 2 3 2" xfId="9118"/>
    <cellStyle name="Normal 34 2 3 2 2" xfId="15662"/>
    <cellStyle name="Normal 34 2 3 3" xfId="7399"/>
    <cellStyle name="Normal 34 2 3 3 2" xfId="14081"/>
    <cellStyle name="Normal 34 2 3 4" xfId="12296"/>
    <cellStyle name="Normal 34 2 4" xfId="5813"/>
    <cellStyle name="Normal 34 2 4 2" xfId="9554"/>
    <cellStyle name="Normal 34 2 4 2 2" xfId="16056"/>
    <cellStyle name="Normal 34 2 4 3" xfId="7835"/>
    <cellStyle name="Normal 34 2 4 3 2" xfId="14475"/>
    <cellStyle name="Normal 34 2 4 4" xfId="12706"/>
    <cellStyle name="Normal 34 2 5" xfId="9966"/>
    <cellStyle name="Normal 34 2 5 2" xfId="16447"/>
    <cellStyle name="Normal 34 2 6" xfId="8312"/>
    <cellStyle name="Normal 34 2 6 2" xfId="14869"/>
    <cellStyle name="Normal 34 2 7" xfId="6593"/>
    <cellStyle name="Normal 34 2 7 2" xfId="13283"/>
    <cellStyle name="Normal 34 2 8" xfId="11493"/>
    <cellStyle name="Normal 34 3" xfId="4762"/>
    <cellStyle name="Normal 34 3 2" xfId="8505"/>
    <cellStyle name="Normal 34 3 2 2" xfId="15057"/>
    <cellStyle name="Normal 34 3 3" xfId="6786"/>
    <cellStyle name="Normal 34 3 3 2" xfId="13476"/>
    <cellStyle name="Normal 34 3 4" xfId="11691"/>
    <cellStyle name="Normal 34 4" xfId="5178"/>
    <cellStyle name="Normal 34 4 2" xfId="8921"/>
    <cellStyle name="Normal 34 4 2 2" xfId="15465"/>
    <cellStyle name="Normal 34 4 3" xfId="7202"/>
    <cellStyle name="Normal 34 4 3 2" xfId="13884"/>
    <cellStyle name="Normal 34 4 4" xfId="12099"/>
    <cellStyle name="Normal 34 5" xfId="5611"/>
    <cellStyle name="Normal 34 5 2" xfId="9352"/>
    <cellStyle name="Normal 34 5 2 2" xfId="15859"/>
    <cellStyle name="Normal 34 5 3" xfId="7633"/>
    <cellStyle name="Normal 34 5 3 2" xfId="14278"/>
    <cellStyle name="Normal 34 5 4" xfId="12504"/>
    <cellStyle name="Normal 34 6" xfId="9752"/>
    <cellStyle name="Normal 34 6 2" xfId="16243"/>
    <cellStyle name="Normal 34 7" xfId="8072"/>
    <cellStyle name="Normal 34 7 2" xfId="14672"/>
    <cellStyle name="Normal 34 8" xfId="6345"/>
    <cellStyle name="Normal 34 8 2" xfId="13068"/>
    <cellStyle name="Normal 34 9" xfId="11287"/>
    <cellStyle name="Normal 35" xfId="4143"/>
    <cellStyle name="Normal 36" xfId="4144"/>
    <cellStyle name="Normal 37" xfId="4145"/>
    <cellStyle name="Normal 37 2" xfId="4549"/>
    <cellStyle name="Normal 37 2 2" xfId="4971"/>
    <cellStyle name="Normal 37 2 2 2" xfId="8714"/>
    <cellStyle name="Normal 37 2 2 2 2" xfId="15262"/>
    <cellStyle name="Normal 37 2 2 3" xfId="6995"/>
    <cellStyle name="Normal 37 2 2 3 2" xfId="13681"/>
    <cellStyle name="Normal 37 2 2 4" xfId="11896"/>
    <cellStyle name="Normal 37 2 3" xfId="5376"/>
    <cellStyle name="Normal 37 2 3 2" xfId="9119"/>
    <cellStyle name="Normal 37 2 3 2 2" xfId="15663"/>
    <cellStyle name="Normal 37 2 3 3" xfId="7400"/>
    <cellStyle name="Normal 37 2 3 3 2" xfId="14082"/>
    <cellStyle name="Normal 37 2 3 4" xfId="12297"/>
    <cellStyle name="Normal 37 2 4" xfId="5814"/>
    <cellStyle name="Normal 37 2 4 2" xfId="9555"/>
    <cellStyle name="Normal 37 2 4 2 2" xfId="16057"/>
    <cellStyle name="Normal 37 2 4 3" xfId="7836"/>
    <cellStyle name="Normal 37 2 4 3 2" xfId="14476"/>
    <cellStyle name="Normal 37 2 4 4" xfId="12707"/>
    <cellStyle name="Normal 37 2 5" xfId="9967"/>
    <cellStyle name="Normal 37 2 5 2" xfId="16448"/>
    <cellStyle name="Normal 37 2 6" xfId="8313"/>
    <cellStyle name="Normal 37 2 6 2" xfId="14870"/>
    <cellStyle name="Normal 37 2 7" xfId="6594"/>
    <cellStyle name="Normal 37 2 7 2" xfId="13284"/>
    <cellStyle name="Normal 37 2 8" xfId="11494"/>
    <cellStyle name="Normal 37 3" xfId="4754"/>
    <cellStyle name="Normal 37 3 2" xfId="8497"/>
    <cellStyle name="Normal 37 3 2 2" xfId="15049"/>
    <cellStyle name="Normal 37 3 3" xfId="6778"/>
    <cellStyle name="Normal 37 3 3 2" xfId="13468"/>
    <cellStyle name="Normal 37 3 4" xfId="11683"/>
    <cellStyle name="Normal 37 4" xfId="5179"/>
    <cellStyle name="Normal 37 4 2" xfId="8922"/>
    <cellStyle name="Normal 37 4 2 2" xfId="15466"/>
    <cellStyle name="Normal 37 4 3" xfId="7203"/>
    <cellStyle name="Normal 37 4 3 2" xfId="13885"/>
    <cellStyle name="Normal 37 4 4" xfId="12100"/>
    <cellStyle name="Normal 37 5" xfId="5612"/>
    <cellStyle name="Normal 37 5 2" xfId="9353"/>
    <cellStyle name="Normal 37 5 2 2" xfId="15860"/>
    <cellStyle name="Normal 37 5 3" xfId="7634"/>
    <cellStyle name="Normal 37 5 3 2" xfId="14279"/>
    <cellStyle name="Normal 37 5 4" xfId="12505"/>
    <cellStyle name="Normal 37 6" xfId="9742"/>
    <cellStyle name="Normal 37 6 2" xfId="16235"/>
    <cellStyle name="Normal 37 7" xfId="8073"/>
    <cellStyle name="Normal 37 7 2" xfId="14673"/>
    <cellStyle name="Normal 37 8" xfId="6346"/>
    <cellStyle name="Normal 37 8 2" xfId="13069"/>
    <cellStyle name="Normal 37 9" xfId="11288"/>
    <cellStyle name="Normal 38" xfId="4146"/>
    <cellStyle name="Normal 38 2" xfId="4550"/>
    <cellStyle name="Normal 38 2 2" xfId="4972"/>
    <cellStyle name="Normal 38 2 2 2" xfId="8715"/>
    <cellStyle name="Normal 38 2 2 2 2" xfId="15263"/>
    <cellStyle name="Normal 38 2 2 3" xfId="6996"/>
    <cellStyle name="Normal 38 2 2 3 2" xfId="13682"/>
    <cellStyle name="Normal 38 2 2 4" xfId="11897"/>
    <cellStyle name="Normal 38 2 3" xfId="5377"/>
    <cellStyle name="Normal 38 2 3 2" xfId="9120"/>
    <cellStyle name="Normal 38 2 3 2 2" xfId="15664"/>
    <cellStyle name="Normal 38 2 3 3" xfId="7401"/>
    <cellStyle name="Normal 38 2 3 3 2" xfId="14083"/>
    <cellStyle name="Normal 38 2 3 4" xfId="12298"/>
    <cellStyle name="Normal 38 2 4" xfId="5815"/>
    <cellStyle name="Normal 38 2 4 2" xfId="9556"/>
    <cellStyle name="Normal 38 2 4 2 2" xfId="16058"/>
    <cellStyle name="Normal 38 2 4 3" xfId="7837"/>
    <cellStyle name="Normal 38 2 4 3 2" xfId="14477"/>
    <cellStyle name="Normal 38 2 4 4" xfId="12708"/>
    <cellStyle name="Normal 38 2 5" xfId="9968"/>
    <cellStyle name="Normal 38 2 5 2" xfId="16449"/>
    <cellStyle name="Normal 38 2 6" xfId="8314"/>
    <cellStyle name="Normal 38 2 6 2" xfId="14871"/>
    <cellStyle name="Normal 38 2 7" xfId="6595"/>
    <cellStyle name="Normal 38 2 7 2" xfId="13285"/>
    <cellStyle name="Normal 38 2 8" xfId="11495"/>
    <cellStyle name="Normal 38 3" xfId="4821"/>
    <cellStyle name="Normal 38 3 2" xfId="8564"/>
    <cellStyle name="Normal 38 3 2 2" xfId="15112"/>
    <cellStyle name="Normal 38 3 3" xfId="6845"/>
    <cellStyle name="Normal 38 3 3 2" xfId="13531"/>
    <cellStyle name="Normal 38 3 4" xfId="11746"/>
    <cellStyle name="Normal 38 4" xfId="5180"/>
    <cellStyle name="Normal 38 4 2" xfId="8923"/>
    <cellStyle name="Normal 38 4 2 2" xfId="15467"/>
    <cellStyle name="Normal 38 4 3" xfId="7204"/>
    <cellStyle name="Normal 38 4 3 2" xfId="13886"/>
    <cellStyle name="Normal 38 4 4" xfId="12101"/>
    <cellStyle name="Normal 38 5" xfId="5613"/>
    <cellStyle name="Normal 38 5 2" xfId="9354"/>
    <cellStyle name="Normal 38 5 2 2" xfId="15861"/>
    <cellStyle name="Normal 38 5 3" xfId="7635"/>
    <cellStyle name="Normal 38 5 3 2" xfId="14280"/>
    <cellStyle name="Normal 38 5 4" xfId="12506"/>
    <cellStyle name="Normal 38 6" xfId="9812"/>
    <cellStyle name="Normal 38 6 2" xfId="16298"/>
    <cellStyle name="Normal 38 7" xfId="8074"/>
    <cellStyle name="Normal 38 7 2" xfId="14674"/>
    <cellStyle name="Normal 38 8" xfId="6347"/>
    <cellStyle name="Normal 38 8 2" xfId="13070"/>
    <cellStyle name="Normal 38 9" xfId="11289"/>
    <cellStyle name="Normal 39" xfId="4147"/>
    <cellStyle name="Normal 39 2" xfId="4551"/>
    <cellStyle name="Normal 39 2 2" xfId="4973"/>
    <cellStyle name="Normal 39 2 2 2" xfId="8716"/>
    <cellStyle name="Normal 39 2 2 2 2" xfId="15264"/>
    <cellStyle name="Normal 39 2 2 3" xfId="6997"/>
    <cellStyle name="Normal 39 2 2 3 2" xfId="13683"/>
    <cellStyle name="Normal 39 2 2 4" xfId="11898"/>
    <cellStyle name="Normal 39 2 3" xfId="5378"/>
    <cellStyle name="Normal 39 2 3 2" xfId="9121"/>
    <cellStyle name="Normal 39 2 3 2 2" xfId="15665"/>
    <cellStyle name="Normal 39 2 3 3" xfId="7402"/>
    <cellStyle name="Normal 39 2 3 3 2" xfId="14084"/>
    <cellStyle name="Normal 39 2 3 4" xfId="12299"/>
    <cellStyle name="Normal 39 2 4" xfId="5816"/>
    <cellStyle name="Normal 39 2 4 2" xfId="9557"/>
    <cellStyle name="Normal 39 2 4 2 2" xfId="16059"/>
    <cellStyle name="Normal 39 2 4 3" xfId="7838"/>
    <cellStyle name="Normal 39 2 4 3 2" xfId="14478"/>
    <cellStyle name="Normal 39 2 4 4" xfId="12709"/>
    <cellStyle name="Normal 39 2 5" xfId="9969"/>
    <cellStyle name="Normal 39 2 5 2" xfId="16450"/>
    <cellStyle name="Normal 39 2 6" xfId="8315"/>
    <cellStyle name="Normal 39 2 6 2" xfId="14872"/>
    <cellStyle name="Normal 39 2 7" xfId="6596"/>
    <cellStyle name="Normal 39 2 7 2" xfId="13286"/>
    <cellStyle name="Normal 39 2 8" xfId="11496"/>
    <cellStyle name="Normal 39 3" xfId="4819"/>
    <cellStyle name="Normal 39 3 2" xfId="8562"/>
    <cellStyle name="Normal 39 3 2 2" xfId="15110"/>
    <cellStyle name="Normal 39 3 3" xfId="6843"/>
    <cellStyle name="Normal 39 3 3 2" xfId="13529"/>
    <cellStyle name="Normal 39 3 4" xfId="11744"/>
    <cellStyle name="Normal 39 4" xfId="5181"/>
    <cellStyle name="Normal 39 4 2" xfId="8924"/>
    <cellStyle name="Normal 39 4 2 2" xfId="15468"/>
    <cellStyle name="Normal 39 4 3" xfId="7205"/>
    <cellStyle name="Normal 39 4 3 2" xfId="13887"/>
    <cellStyle name="Normal 39 4 4" xfId="12102"/>
    <cellStyle name="Normal 39 5" xfId="5614"/>
    <cellStyle name="Normal 39 5 2" xfId="9355"/>
    <cellStyle name="Normal 39 5 2 2" xfId="15862"/>
    <cellStyle name="Normal 39 5 3" xfId="7636"/>
    <cellStyle name="Normal 39 5 3 2" xfId="14281"/>
    <cellStyle name="Normal 39 5 4" xfId="12507"/>
    <cellStyle name="Normal 39 6" xfId="9810"/>
    <cellStyle name="Normal 39 6 2" xfId="16296"/>
    <cellStyle name="Normal 39 7" xfId="8075"/>
    <cellStyle name="Normal 39 7 2" xfId="14675"/>
    <cellStyle name="Normal 39 8" xfId="6348"/>
    <cellStyle name="Normal 39 8 2" xfId="13071"/>
    <cellStyle name="Normal 39 9" xfId="11290"/>
    <cellStyle name="Normal 4" xfId="8"/>
    <cellStyle name="Normal 4 10" xfId="5078"/>
    <cellStyle name="Normal 4 10 2" xfId="8821"/>
    <cellStyle name="Normal 4 10 2 2" xfId="15369"/>
    <cellStyle name="Normal 4 10 3" xfId="7102"/>
    <cellStyle name="Normal 4 10 3 2" xfId="13788"/>
    <cellStyle name="Normal 4 10 4" xfId="12003"/>
    <cellStyle name="Normal 4 11" xfId="5515"/>
    <cellStyle name="Normal 4 11 2" xfId="9256"/>
    <cellStyle name="Normal 4 11 2 2" xfId="15763"/>
    <cellStyle name="Normal 4 11 3" xfId="7537"/>
    <cellStyle name="Normal 4 11 3 2" xfId="14182"/>
    <cellStyle name="Normal 4 11 4" xfId="12408"/>
    <cellStyle name="Normal 4 12" xfId="9663"/>
    <cellStyle name="Normal 4 12 2" xfId="16165"/>
    <cellStyle name="Normal 4 13" xfId="7936"/>
    <cellStyle name="Normal 4 13 2" xfId="14576"/>
    <cellStyle name="Normal 4 14" xfId="5915"/>
    <cellStyle name="Normal 4 14 2" xfId="12808"/>
    <cellStyle name="Normal 4 15" xfId="10247"/>
    <cellStyle name="Normal 4 2" xfId="18"/>
    <cellStyle name="Normal 4 2 10" xfId="7940"/>
    <cellStyle name="Normal 4 2 10 2" xfId="14580"/>
    <cellStyle name="Normal 4 2 11" xfId="5919"/>
    <cellStyle name="Normal 4 2 11 2" xfId="12812"/>
    <cellStyle name="Normal 4 2 12" xfId="10254"/>
    <cellStyle name="Normal 4 2 2" xfId="40"/>
    <cellStyle name="Normal 4 2 2 10" xfId="5938"/>
    <cellStyle name="Normal 4 2 2 10 2" xfId="12831"/>
    <cellStyle name="Normal 4 2 2 11" xfId="10273"/>
    <cellStyle name="Normal 4 2 2 2" xfId="4148"/>
    <cellStyle name="Normal 4 2 2 2 2" xfId="4552"/>
    <cellStyle name="Normal 4 2 2 2 2 2" xfId="4974"/>
    <cellStyle name="Normal 4 2 2 2 2 2 2" xfId="8717"/>
    <cellStyle name="Normal 4 2 2 2 2 2 2 2" xfId="15265"/>
    <cellStyle name="Normal 4 2 2 2 2 2 3" xfId="6998"/>
    <cellStyle name="Normal 4 2 2 2 2 2 3 2" xfId="13684"/>
    <cellStyle name="Normal 4 2 2 2 2 2 4" xfId="11899"/>
    <cellStyle name="Normal 4 2 2 2 2 3" xfId="5379"/>
    <cellStyle name="Normal 4 2 2 2 2 3 2" xfId="9122"/>
    <cellStyle name="Normal 4 2 2 2 2 3 2 2" xfId="15666"/>
    <cellStyle name="Normal 4 2 2 2 2 3 3" xfId="7403"/>
    <cellStyle name="Normal 4 2 2 2 2 3 3 2" xfId="14085"/>
    <cellStyle name="Normal 4 2 2 2 2 3 4" xfId="12300"/>
    <cellStyle name="Normal 4 2 2 2 2 4" xfId="5817"/>
    <cellStyle name="Normal 4 2 2 2 2 4 2" xfId="9558"/>
    <cellStyle name="Normal 4 2 2 2 2 4 2 2" xfId="16060"/>
    <cellStyle name="Normal 4 2 2 2 2 4 3" xfId="7839"/>
    <cellStyle name="Normal 4 2 2 2 2 4 3 2" xfId="14479"/>
    <cellStyle name="Normal 4 2 2 2 2 4 4" xfId="12710"/>
    <cellStyle name="Normal 4 2 2 2 2 5" xfId="9970"/>
    <cellStyle name="Normal 4 2 2 2 2 5 2" xfId="16451"/>
    <cellStyle name="Normal 4 2 2 2 2 6" xfId="8316"/>
    <cellStyle name="Normal 4 2 2 2 2 6 2" xfId="14873"/>
    <cellStyle name="Normal 4 2 2 2 2 7" xfId="6597"/>
    <cellStyle name="Normal 4 2 2 2 2 7 2" xfId="13287"/>
    <cellStyle name="Normal 4 2 2 2 2 8" xfId="11497"/>
    <cellStyle name="Normal 4 2 2 2 3" xfId="4776"/>
    <cellStyle name="Normal 4 2 2 2 3 2" xfId="8519"/>
    <cellStyle name="Normal 4 2 2 2 3 2 2" xfId="15071"/>
    <cellStyle name="Normal 4 2 2 2 3 3" xfId="6800"/>
    <cellStyle name="Normal 4 2 2 2 3 3 2" xfId="13490"/>
    <cellStyle name="Normal 4 2 2 2 3 4" xfId="11705"/>
    <cellStyle name="Normal 4 2 2 2 4" xfId="5182"/>
    <cellStyle name="Normal 4 2 2 2 4 2" xfId="8925"/>
    <cellStyle name="Normal 4 2 2 2 4 2 2" xfId="15469"/>
    <cellStyle name="Normal 4 2 2 2 4 3" xfId="7206"/>
    <cellStyle name="Normal 4 2 2 2 4 3 2" xfId="13888"/>
    <cellStyle name="Normal 4 2 2 2 4 4" xfId="12103"/>
    <cellStyle name="Normal 4 2 2 2 5" xfId="5615"/>
    <cellStyle name="Normal 4 2 2 2 5 2" xfId="9356"/>
    <cellStyle name="Normal 4 2 2 2 5 2 2" xfId="15863"/>
    <cellStyle name="Normal 4 2 2 2 5 3" xfId="7637"/>
    <cellStyle name="Normal 4 2 2 2 5 3 2" xfId="14282"/>
    <cellStyle name="Normal 4 2 2 2 5 4" xfId="12508"/>
    <cellStyle name="Normal 4 2 2 2 6" xfId="9766"/>
    <cellStyle name="Normal 4 2 2 2 6 2" xfId="16257"/>
    <cellStyle name="Normal 4 2 2 2 7" xfId="8076"/>
    <cellStyle name="Normal 4 2 2 2 7 2" xfId="14676"/>
    <cellStyle name="Normal 4 2 2 2 8" xfId="6349"/>
    <cellStyle name="Normal 4 2 2 2 8 2" xfId="13072"/>
    <cellStyle name="Normal 4 2 2 2 9" xfId="11291"/>
    <cellStyle name="Normal 4 2 2 3" xfId="4149"/>
    <cellStyle name="Normal 4 2 2 3 2" xfId="4553"/>
    <cellStyle name="Normal 4 2 2 3 2 2" xfId="4975"/>
    <cellStyle name="Normal 4 2 2 3 2 2 2" xfId="8718"/>
    <cellStyle name="Normal 4 2 2 3 2 2 2 2" xfId="15266"/>
    <cellStyle name="Normal 4 2 2 3 2 2 3" xfId="6999"/>
    <cellStyle name="Normal 4 2 2 3 2 2 3 2" xfId="13685"/>
    <cellStyle name="Normal 4 2 2 3 2 2 4" xfId="11900"/>
    <cellStyle name="Normal 4 2 2 3 2 3" xfId="5380"/>
    <cellStyle name="Normal 4 2 2 3 2 3 2" xfId="9123"/>
    <cellStyle name="Normal 4 2 2 3 2 3 2 2" xfId="15667"/>
    <cellStyle name="Normal 4 2 2 3 2 3 3" xfId="7404"/>
    <cellStyle name="Normal 4 2 2 3 2 3 3 2" xfId="14086"/>
    <cellStyle name="Normal 4 2 2 3 2 3 4" xfId="12301"/>
    <cellStyle name="Normal 4 2 2 3 2 4" xfId="5818"/>
    <cellStyle name="Normal 4 2 2 3 2 4 2" xfId="9559"/>
    <cellStyle name="Normal 4 2 2 3 2 4 2 2" xfId="16061"/>
    <cellStyle name="Normal 4 2 2 3 2 4 3" xfId="7840"/>
    <cellStyle name="Normal 4 2 2 3 2 4 3 2" xfId="14480"/>
    <cellStyle name="Normal 4 2 2 3 2 4 4" xfId="12711"/>
    <cellStyle name="Normal 4 2 2 3 2 5" xfId="9971"/>
    <cellStyle name="Normal 4 2 2 3 2 5 2" xfId="16452"/>
    <cellStyle name="Normal 4 2 2 3 2 6" xfId="8317"/>
    <cellStyle name="Normal 4 2 2 3 2 6 2" xfId="14874"/>
    <cellStyle name="Normal 4 2 2 3 2 7" xfId="6598"/>
    <cellStyle name="Normal 4 2 2 3 2 7 2" xfId="13288"/>
    <cellStyle name="Normal 4 2 2 3 2 8" xfId="11498"/>
    <cellStyle name="Normal 4 2 2 3 3" xfId="4839"/>
    <cellStyle name="Normal 4 2 2 3 3 2" xfId="8582"/>
    <cellStyle name="Normal 4 2 2 3 3 2 2" xfId="15130"/>
    <cellStyle name="Normal 4 2 2 3 3 3" xfId="6863"/>
    <cellStyle name="Normal 4 2 2 3 3 3 2" xfId="13549"/>
    <cellStyle name="Normal 4 2 2 3 3 4" xfId="11764"/>
    <cellStyle name="Normal 4 2 2 3 4" xfId="5183"/>
    <cellStyle name="Normal 4 2 2 3 4 2" xfId="8926"/>
    <cellStyle name="Normal 4 2 2 3 4 2 2" xfId="15470"/>
    <cellStyle name="Normal 4 2 2 3 4 3" xfId="7207"/>
    <cellStyle name="Normal 4 2 2 3 4 3 2" xfId="13889"/>
    <cellStyle name="Normal 4 2 2 3 4 4" xfId="12104"/>
    <cellStyle name="Normal 4 2 2 3 5" xfId="5616"/>
    <cellStyle name="Normal 4 2 2 3 5 2" xfId="9357"/>
    <cellStyle name="Normal 4 2 2 3 5 2 2" xfId="15864"/>
    <cellStyle name="Normal 4 2 2 3 5 3" xfId="7638"/>
    <cellStyle name="Normal 4 2 2 3 5 3 2" xfId="14283"/>
    <cellStyle name="Normal 4 2 2 3 5 4" xfId="12509"/>
    <cellStyle name="Normal 4 2 2 3 6" xfId="9830"/>
    <cellStyle name="Normal 4 2 2 3 6 2" xfId="16316"/>
    <cellStyle name="Normal 4 2 2 3 7" xfId="8077"/>
    <cellStyle name="Normal 4 2 2 3 7 2" xfId="14677"/>
    <cellStyle name="Normal 4 2 2 3 8" xfId="6350"/>
    <cellStyle name="Normal 4 2 2 3 8 2" xfId="13073"/>
    <cellStyle name="Normal 4 2 2 3 9" xfId="11292"/>
    <cellStyle name="Normal 4 2 2 4" xfId="4474"/>
    <cellStyle name="Normal 4 2 2 4 2" xfId="4976"/>
    <cellStyle name="Normal 4 2 2 4 2 2" xfId="8719"/>
    <cellStyle name="Normal 4 2 2 4 2 2 2" xfId="15267"/>
    <cellStyle name="Normal 4 2 2 4 2 3" xfId="7000"/>
    <cellStyle name="Normal 4 2 2 4 2 3 2" xfId="13686"/>
    <cellStyle name="Normal 4 2 2 4 2 4" xfId="11901"/>
    <cellStyle name="Normal 4 2 2 4 3" xfId="5302"/>
    <cellStyle name="Normal 4 2 2 4 3 2" xfId="9045"/>
    <cellStyle name="Normal 4 2 2 4 3 2 2" xfId="15589"/>
    <cellStyle name="Normal 4 2 2 4 3 3" xfId="7326"/>
    <cellStyle name="Normal 4 2 2 4 3 3 2" xfId="14008"/>
    <cellStyle name="Normal 4 2 2 4 3 4" xfId="12223"/>
    <cellStyle name="Normal 4 2 2 4 4" xfId="5740"/>
    <cellStyle name="Normal 4 2 2 4 4 2" xfId="9481"/>
    <cellStyle name="Normal 4 2 2 4 4 2 2" xfId="15983"/>
    <cellStyle name="Normal 4 2 2 4 4 3" xfId="7762"/>
    <cellStyle name="Normal 4 2 2 4 4 3 2" xfId="14402"/>
    <cellStyle name="Normal 4 2 2 4 4 4" xfId="12633"/>
    <cellStyle name="Normal 4 2 2 4 5" xfId="9972"/>
    <cellStyle name="Normal 4 2 2 4 5 2" xfId="16453"/>
    <cellStyle name="Normal 4 2 2 4 6" xfId="8239"/>
    <cellStyle name="Normal 4 2 2 4 6 2" xfId="14796"/>
    <cellStyle name="Normal 4 2 2 4 7" xfId="6520"/>
    <cellStyle name="Normal 4 2 2 4 7 2" xfId="13210"/>
    <cellStyle name="Normal 4 2 2 4 8" xfId="11419"/>
    <cellStyle name="Normal 4 2 2 5" xfId="4685"/>
    <cellStyle name="Normal 4 2 2 5 2" xfId="8431"/>
    <cellStyle name="Normal 4 2 2 5 2 2" xfId="14983"/>
    <cellStyle name="Normal 4 2 2 5 3" xfId="6712"/>
    <cellStyle name="Normal 4 2 2 5 3 2" xfId="13402"/>
    <cellStyle name="Normal 4 2 2 5 4" xfId="11616"/>
    <cellStyle name="Normal 4 2 2 6" xfId="5101"/>
    <cellStyle name="Normal 4 2 2 6 2" xfId="8844"/>
    <cellStyle name="Normal 4 2 2 6 2 2" xfId="15392"/>
    <cellStyle name="Normal 4 2 2 6 3" xfId="7125"/>
    <cellStyle name="Normal 4 2 2 6 3 2" xfId="13811"/>
    <cellStyle name="Normal 4 2 2 6 4" xfId="12026"/>
    <cellStyle name="Normal 4 2 2 7" xfId="5538"/>
    <cellStyle name="Normal 4 2 2 7 2" xfId="9279"/>
    <cellStyle name="Normal 4 2 2 7 2 2" xfId="15786"/>
    <cellStyle name="Normal 4 2 2 7 3" xfId="7560"/>
    <cellStyle name="Normal 4 2 2 7 3 2" xfId="14205"/>
    <cellStyle name="Normal 4 2 2 7 4" xfId="12431"/>
    <cellStyle name="Normal 4 2 2 8" xfId="9665"/>
    <cellStyle name="Normal 4 2 2 8 2" xfId="16167"/>
    <cellStyle name="Normal 4 2 2 9" xfId="7959"/>
    <cellStyle name="Normal 4 2 2 9 2" xfId="14599"/>
    <cellStyle name="Normal 4 2 3" xfId="29"/>
    <cellStyle name="Normal 4 2 3 2" xfId="4464"/>
    <cellStyle name="Normal 4 2 3 2 2" xfId="4977"/>
    <cellStyle name="Normal 4 2 3 2 2 2" xfId="8720"/>
    <cellStyle name="Normal 4 2 3 2 2 2 2" xfId="15268"/>
    <cellStyle name="Normal 4 2 3 2 2 3" xfId="7001"/>
    <cellStyle name="Normal 4 2 3 2 2 3 2" xfId="13687"/>
    <cellStyle name="Normal 4 2 3 2 2 4" xfId="11902"/>
    <cellStyle name="Normal 4 2 3 2 3" xfId="5292"/>
    <cellStyle name="Normal 4 2 3 2 3 2" xfId="9035"/>
    <cellStyle name="Normal 4 2 3 2 3 2 2" xfId="15579"/>
    <cellStyle name="Normal 4 2 3 2 3 3" xfId="7316"/>
    <cellStyle name="Normal 4 2 3 2 3 3 2" xfId="13998"/>
    <cellStyle name="Normal 4 2 3 2 3 4" xfId="12213"/>
    <cellStyle name="Normal 4 2 3 2 4" xfId="5730"/>
    <cellStyle name="Normal 4 2 3 2 4 2" xfId="9471"/>
    <cellStyle name="Normal 4 2 3 2 4 2 2" xfId="15973"/>
    <cellStyle name="Normal 4 2 3 2 4 3" xfId="7752"/>
    <cellStyle name="Normal 4 2 3 2 4 3 2" xfId="14392"/>
    <cellStyle name="Normal 4 2 3 2 4 4" xfId="12623"/>
    <cellStyle name="Normal 4 2 3 2 5" xfId="9973"/>
    <cellStyle name="Normal 4 2 3 2 5 2" xfId="16454"/>
    <cellStyle name="Normal 4 2 3 2 6" xfId="8229"/>
    <cellStyle name="Normal 4 2 3 2 6 2" xfId="14786"/>
    <cellStyle name="Normal 4 2 3 2 7" xfId="6510"/>
    <cellStyle name="Normal 4 2 3 2 7 2" xfId="13200"/>
    <cellStyle name="Normal 4 2 3 2 8" xfId="11409"/>
    <cellStyle name="Normal 4 2 3 3" xfId="4775"/>
    <cellStyle name="Normal 4 2 3 3 2" xfId="8518"/>
    <cellStyle name="Normal 4 2 3 3 2 2" xfId="15070"/>
    <cellStyle name="Normal 4 2 3 3 3" xfId="6799"/>
    <cellStyle name="Normal 4 2 3 3 3 2" xfId="13489"/>
    <cellStyle name="Normal 4 2 3 3 4" xfId="11704"/>
    <cellStyle name="Normal 4 2 3 4" xfId="5091"/>
    <cellStyle name="Normal 4 2 3 4 2" xfId="8834"/>
    <cellStyle name="Normal 4 2 3 4 2 2" xfId="15382"/>
    <cellStyle name="Normal 4 2 3 4 3" xfId="7115"/>
    <cellStyle name="Normal 4 2 3 4 3 2" xfId="13801"/>
    <cellStyle name="Normal 4 2 3 4 4" xfId="12016"/>
    <cellStyle name="Normal 4 2 3 5" xfId="5528"/>
    <cellStyle name="Normal 4 2 3 5 2" xfId="9269"/>
    <cellStyle name="Normal 4 2 3 5 2 2" xfId="15776"/>
    <cellStyle name="Normal 4 2 3 5 3" xfId="7550"/>
    <cellStyle name="Normal 4 2 3 5 3 2" xfId="14195"/>
    <cellStyle name="Normal 4 2 3 5 4" xfId="12421"/>
    <cellStyle name="Normal 4 2 3 6" xfId="9765"/>
    <cellStyle name="Normal 4 2 3 6 2" xfId="16256"/>
    <cellStyle name="Normal 4 2 3 7" xfId="7949"/>
    <cellStyle name="Normal 4 2 3 7 2" xfId="14589"/>
    <cellStyle name="Normal 4 2 3 8" xfId="5928"/>
    <cellStyle name="Normal 4 2 3 8 2" xfId="12821"/>
    <cellStyle name="Normal 4 2 3 9" xfId="10263"/>
    <cellStyle name="Normal 4 2 4" xfId="4150"/>
    <cellStyle name="Normal 4 2 4 2" xfId="4554"/>
    <cellStyle name="Normal 4 2 4 2 2" xfId="4978"/>
    <cellStyle name="Normal 4 2 4 2 2 2" xfId="8721"/>
    <cellStyle name="Normal 4 2 4 2 2 2 2" xfId="15269"/>
    <cellStyle name="Normal 4 2 4 2 2 3" xfId="7002"/>
    <cellStyle name="Normal 4 2 4 2 2 3 2" xfId="13688"/>
    <cellStyle name="Normal 4 2 4 2 2 4" xfId="11903"/>
    <cellStyle name="Normal 4 2 4 2 3" xfId="5381"/>
    <cellStyle name="Normal 4 2 4 2 3 2" xfId="9124"/>
    <cellStyle name="Normal 4 2 4 2 3 2 2" xfId="15668"/>
    <cellStyle name="Normal 4 2 4 2 3 3" xfId="7405"/>
    <cellStyle name="Normal 4 2 4 2 3 3 2" xfId="14087"/>
    <cellStyle name="Normal 4 2 4 2 3 4" xfId="12302"/>
    <cellStyle name="Normal 4 2 4 2 4" xfId="5819"/>
    <cellStyle name="Normal 4 2 4 2 4 2" xfId="9560"/>
    <cellStyle name="Normal 4 2 4 2 4 2 2" xfId="16062"/>
    <cellStyle name="Normal 4 2 4 2 4 3" xfId="7841"/>
    <cellStyle name="Normal 4 2 4 2 4 3 2" xfId="14481"/>
    <cellStyle name="Normal 4 2 4 2 4 4" xfId="12712"/>
    <cellStyle name="Normal 4 2 4 2 5" xfId="9974"/>
    <cellStyle name="Normal 4 2 4 2 5 2" xfId="16455"/>
    <cellStyle name="Normal 4 2 4 2 6" xfId="8318"/>
    <cellStyle name="Normal 4 2 4 2 6 2" xfId="14875"/>
    <cellStyle name="Normal 4 2 4 2 7" xfId="6599"/>
    <cellStyle name="Normal 4 2 4 2 7 2" xfId="13289"/>
    <cellStyle name="Normal 4 2 4 2 8" xfId="11499"/>
    <cellStyle name="Normal 4 2 4 3" xfId="4829"/>
    <cellStyle name="Normal 4 2 4 3 2" xfId="8572"/>
    <cellStyle name="Normal 4 2 4 3 2 2" xfId="15120"/>
    <cellStyle name="Normal 4 2 4 3 3" xfId="6853"/>
    <cellStyle name="Normal 4 2 4 3 3 2" xfId="13539"/>
    <cellStyle name="Normal 4 2 4 3 4" xfId="11754"/>
    <cellStyle name="Normal 4 2 4 4" xfId="5184"/>
    <cellStyle name="Normal 4 2 4 4 2" xfId="8927"/>
    <cellStyle name="Normal 4 2 4 4 2 2" xfId="15471"/>
    <cellStyle name="Normal 4 2 4 4 3" xfId="7208"/>
    <cellStyle name="Normal 4 2 4 4 3 2" xfId="13890"/>
    <cellStyle name="Normal 4 2 4 4 4" xfId="12105"/>
    <cellStyle name="Normal 4 2 4 5" xfId="5617"/>
    <cellStyle name="Normal 4 2 4 5 2" xfId="9358"/>
    <cellStyle name="Normal 4 2 4 5 2 2" xfId="15865"/>
    <cellStyle name="Normal 4 2 4 5 3" xfId="7639"/>
    <cellStyle name="Normal 4 2 4 5 3 2" xfId="14284"/>
    <cellStyle name="Normal 4 2 4 5 4" xfId="12510"/>
    <cellStyle name="Normal 4 2 4 6" xfId="9820"/>
    <cellStyle name="Normal 4 2 4 6 2" xfId="16306"/>
    <cellStyle name="Normal 4 2 4 7" xfId="8078"/>
    <cellStyle name="Normal 4 2 4 7 2" xfId="14678"/>
    <cellStyle name="Normal 4 2 4 8" xfId="6351"/>
    <cellStyle name="Normal 4 2 4 8 2" xfId="13074"/>
    <cellStyle name="Normal 4 2 4 9" xfId="11293"/>
    <cellStyle name="Normal 4 2 5" xfId="4455"/>
    <cellStyle name="Normal 4 2 5 2" xfId="4979"/>
    <cellStyle name="Normal 4 2 5 2 2" xfId="8722"/>
    <cellStyle name="Normal 4 2 5 2 2 2" xfId="15270"/>
    <cellStyle name="Normal 4 2 5 2 3" xfId="7003"/>
    <cellStyle name="Normal 4 2 5 2 3 2" xfId="13689"/>
    <cellStyle name="Normal 4 2 5 2 4" xfId="11904"/>
    <cellStyle name="Normal 4 2 5 3" xfId="5283"/>
    <cellStyle name="Normal 4 2 5 3 2" xfId="9026"/>
    <cellStyle name="Normal 4 2 5 3 2 2" xfId="15570"/>
    <cellStyle name="Normal 4 2 5 3 3" xfId="7307"/>
    <cellStyle name="Normal 4 2 5 3 3 2" xfId="13989"/>
    <cellStyle name="Normal 4 2 5 3 4" xfId="12204"/>
    <cellStyle name="Normal 4 2 5 4" xfId="5721"/>
    <cellStyle name="Normal 4 2 5 4 2" xfId="9462"/>
    <cellStyle name="Normal 4 2 5 4 2 2" xfId="15964"/>
    <cellStyle name="Normal 4 2 5 4 3" xfId="7743"/>
    <cellStyle name="Normal 4 2 5 4 3 2" xfId="14383"/>
    <cellStyle name="Normal 4 2 5 4 4" xfId="12614"/>
    <cellStyle name="Normal 4 2 5 5" xfId="9975"/>
    <cellStyle name="Normal 4 2 5 5 2" xfId="16456"/>
    <cellStyle name="Normal 4 2 5 6" xfId="8220"/>
    <cellStyle name="Normal 4 2 5 6 2" xfId="14777"/>
    <cellStyle name="Normal 4 2 5 7" xfId="6501"/>
    <cellStyle name="Normal 4 2 5 7 2" xfId="13191"/>
    <cellStyle name="Normal 4 2 5 8" xfId="11400"/>
    <cellStyle name="Normal 4 2 6" xfId="4684"/>
    <cellStyle name="Normal 4 2 6 2" xfId="8430"/>
    <cellStyle name="Normal 4 2 6 2 2" xfId="14982"/>
    <cellStyle name="Normal 4 2 6 3" xfId="6711"/>
    <cellStyle name="Normal 4 2 6 3 2" xfId="13401"/>
    <cellStyle name="Normal 4 2 6 4" xfId="11615"/>
    <cellStyle name="Normal 4 2 7" xfId="5082"/>
    <cellStyle name="Normal 4 2 7 2" xfId="8825"/>
    <cellStyle name="Normal 4 2 7 2 2" xfId="15373"/>
    <cellStyle name="Normal 4 2 7 3" xfId="7106"/>
    <cellStyle name="Normal 4 2 7 3 2" xfId="13792"/>
    <cellStyle name="Normal 4 2 7 4" xfId="12007"/>
    <cellStyle name="Normal 4 2 8" xfId="5519"/>
    <cellStyle name="Normal 4 2 8 2" xfId="9260"/>
    <cellStyle name="Normal 4 2 8 2 2" xfId="15767"/>
    <cellStyle name="Normal 4 2 8 3" xfId="7541"/>
    <cellStyle name="Normal 4 2 8 3 2" xfId="14186"/>
    <cellStyle name="Normal 4 2 8 4" xfId="12412"/>
    <cellStyle name="Normal 4 2 9" xfId="9664"/>
    <cellStyle name="Normal 4 2 9 2" xfId="16166"/>
    <cellStyle name="Normal 4 3" xfId="35"/>
    <cellStyle name="Normal 4 3 10" xfId="5934"/>
    <cellStyle name="Normal 4 3 10 2" xfId="12827"/>
    <cellStyle name="Normal 4 3 11" xfId="10269"/>
    <cellStyle name="Normal 4 3 2" xfId="4151"/>
    <cellStyle name="Normal 4 3 2 2" xfId="4555"/>
    <cellStyle name="Normal 4 3 2 2 2" xfId="4980"/>
    <cellStyle name="Normal 4 3 2 2 2 2" xfId="8723"/>
    <cellStyle name="Normal 4 3 2 2 2 2 2" xfId="15271"/>
    <cellStyle name="Normal 4 3 2 2 2 3" xfId="7004"/>
    <cellStyle name="Normal 4 3 2 2 2 3 2" xfId="13690"/>
    <cellStyle name="Normal 4 3 2 2 2 4" xfId="11905"/>
    <cellStyle name="Normal 4 3 2 2 3" xfId="5382"/>
    <cellStyle name="Normal 4 3 2 2 3 2" xfId="9125"/>
    <cellStyle name="Normal 4 3 2 2 3 2 2" xfId="15669"/>
    <cellStyle name="Normal 4 3 2 2 3 3" xfId="7406"/>
    <cellStyle name="Normal 4 3 2 2 3 3 2" xfId="14088"/>
    <cellStyle name="Normal 4 3 2 2 3 4" xfId="12303"/>
    <cellStyle name="Normal 4 3 2 2 4" xfId="5820"/>
    <cellStyle name="Normal 4 3 2 2 4 2" xfId="9561"/>
    <cellStyle name="Normal 4 3 2 2 4 2 2" xfId="16063"/>
    <cellStyle name="Normal 4 3 2 2 4 3" xfId="7842"/>
    <cellStyle name="Normal 4 3 2 2 4 3 2" xfId="14482"/>
    <cellStyle name="Normal 4 3 2 2 4 4" xfId="12713"/>
    <cellStyle name="Normal 4 3 2 2 5" xfId="9976"/>
    <cellStyle name="Normal 4 3 2 2 5 2" xfId="16457"/>
    <cellStyle name="Normal 4 3 2 2 6" xfId="8319"/>
    <cellStyle name="Normal 4 3 2 2 6 2" xfId="14876"/>
    <cellStyle name="Normal 4 3 2 2 7" xfId="6600"/>
    <cellStyle name="Normal 4 3 2 2 7 2" xfId="13290"/>
    <cellStyle name="Normal 4 3 2 2 8" xfId="11500"/>
    <cellStyle name="Normal 4 3 2 3" xfId="4777"/>
    <cellStyle name="Normal 4 3 2 3 2" xfId="8520"/>
    <cellStyle name="Normal 4 3 2 3 2 2" xfId="15072"/>
    <cellStyle name="Normal 4 3 2 3 3" xfId="6801"/>
    <cellStyle name="Normal 4 3 2 3 3 2" xfId="13491"/>
    <cellStyle name="Normal 4 3 2 3 4" xfId="11706"/>
    <cellStyle name="Normal 4 3 2 4" xfId="5185"/>
    <cellStyle name="Normal 4 3 2 4 2" xfId="8928"/>
    <cellStyle name="Normal 4 3 2 4 2 2" xfId="15472"/>
    <cellStyle name="Normal 4 3 2 4 3" xfId="7209"/>
    <cellStyle name="Normal 4 3 2 4 3 2" xfId="13891"/>
    <cellStyle name="Normal 4 3 2 4 4" xfId="12106"/>
    <cellStyle name="Normal 4 3 2 5" xfId="5618"/>
    <cellStyle name="Normal 4 3 2 5 2" xfId="9359"/>
    <cellStyle name="Normal 4 3 2 5 2 2" xfId="15866"/>
    <cellStyle name="Normal 4 3 2 5 3" xfId="7640"/>
    <cellStyle name="Normal 4 3 2 5 3 2" xfId="14285"/>
    <cellStyle name="Normal 4 3 2 5 4" xfId="12511"/>
    <cellStyle name="Normal 4 3 2 6" xfId="9767"/>
    <cellStyle name="Normal 4 3 2 6 2" xfId="16258"/>
    <cellStyle name="Normal 4 3 2 7" xfId="8079"/>
    <cellStyle name="Normal 4 3 2 7 2" xfId="14679"/>
    <cellStyle name="Normal 4 3 2 8" xfId="6352"/>
    <cellStyle name="Normal 4 3 2 8 2" xfId="13075"/>
    <cellStyle name="Normal 4 3 2 9" xfId="11294"/>
    <cellStyle name="Normal 4 3 3" xfId="4152"/>
    <cellStyle name="Normal 4 3 3 2" xfId="4556"/>
    <cellStyle name="Normal 4 3 3 2 2" xfId="4981"/>
    <cellStyle name="Normal 4 3 3 2 2 2" xfId="8724"/>
    <cellStyle name="Normal 4 3 3 2 2 2 2" xfId="15272"/>
    <cellStyle name="Normal 4 3 3 2 2 3" xfId="7005"/>
    <cellStyle name="Normal 4 3 3 2 2 3 2" xfId="13691"/>
    <cellStyle name="Normal 4 3 3 2 2 4" xfId="11906"/>
    <cellStyle name="Normal 4 3 3 2 3" xfId="5383"/>
    <cellStyle name="Normal 4 3 3 2 3 2" xfId="9126"/>
    <cellStyle name="Normal 4 3 3 2 3 2 2" xfId="15670"/>
    <cellStyle name="Normal 4 3 3 2 3 3" xfId="7407"/>
    <cellStyle name="Normal 4 3 3 2 3 3 2" xfId="14089"/>
    <cellStyle name="Normal 4 3 3 2 3 4" xfId="12304"/>
    <cellStyle name="Normal 4 3 3 2 4" xfId="5821"/>
    <cellStyle name="Normal 4 3 3 2 4 2" xfId="9562"/>
    <cellStyle name="Normal 4 3 3 2 4 2 2" xfId="16064"/>
    <cellStyle name="Normal 4 3 3 2 4 3" xfId="7843"/>
    <cellStyle name="Normal 4 3 3 2 4 3 2" xfId="14483"/>
    <cellStyle name="Normal 4 3 3 2 4 4" xfId="12714"/>
    <cellStyle name="Normal 4 3 3 2 5" xfId="9977"/>
    <cellStyle name="Normal 4 3 3 2 5 2" xfId="16458"/>
    <cellStyle name="Normal 4 3 3 2 6" xfId="8320"/>
    <cellStyle name="Normal 4 3 3 2 6 2" xfId="14877"/>
    <cellStyle name="Normal 4 3 3 2 7" xfId="6601"/>
    <cellStyle name="Normal 4 3 3 2 7 2" xfId="13291"/>
    <cellStyle name="Normal 4 3 3 2 8" xfId="11501"/>
    <cellStyle name="Normal 4 3 3 3" xfId="4835"/>
    <cellStyle name="Normal 4 3 3 3 2" xfId="8578"/>
    <cellStyle name="Normal 4 3 3 3 2 2" xfId="15126"/>
    <cellStyle name="Normal 4 3 3 3 3" xfId="6859"/>
    <cellStyle name="Normal 4 3 3 3 3 2" xfId="13545"/>
    <cellStyle name="Normal 4 3 3 3 4" xfId="11760"/>
    <cellStyle name="Normal 4 3 3 4" xfId="5186"/>
    <cellStyle name="Normal 4 3 3 4 2" xfId="8929"/>
    <cellStyle name="Normal 4 3 3 4 2 2" xfId="15473"/>
    <cellStyle name="Normal 4 3 3 4 3" xfId="7210"/>
    <cellStyle name="Normal 4 3 3 4 3 2" xfId="13892"/>
    <cellStyle name="Normal 4 3 3 4 4" xfId="12107"/>
    <cellStyle name="Normal 4 3 3 5" xfId="5619"/>
    <cellStyle name="Normal 4 3 3 5 2" xfId="9360"/>
    <cellStyle name="Normal 4 3 3 5 2 2" xfId="15867"/>
    <cellStyle name="Normal 4 3 3 5 3" xfId="7641"/>
    <cellStyle name="Normal 4 3 3 5 3 2" xfId="14286"/>
    <cellStyle name="Normal 4 3 3 5 4" xfId="12512"/>
    <cellStyle name="Normal 4 3 3 6" xfId="9826"/>
    <cellStyle name="Normal 4 3 3 6 2" xfId="16312"/>
    <cellStyle name="Normal 4 3 3 7" xfId="8080"/>
    <cellStyle name="Normal 4 3 3 7 2" xfId="14680"/>
    <cellStyle name="Normal 4 3 3 8" xfId="6353"/>
    <cellStyle name="Normal 4 3 3 8 2" xfId="13076"/>
    <cellStyle name="Normal 4 3 3 9" xfId="11295"/>
    <cellStyle name="Normal 4 3 4" xfId="4470"/>
    <cellStyle name="Normal 4 3 4 2" xfId="4982"/>
    <cellStyle name="Normal 4 3 4 2 2" xfId="8725"/>
    <cellStyle name="Normal 4 3 4 2 2 2" xfId="15273"/>
    <cellStyle name="Normal 4 3 4 2 3" xfId="7006"/>
    <cellStyle name="Normal 4 3 4 2 3 2" xfId="13692"/>
    <cellStyle name="Normal 4 3 4 2 4" xfId="11907"/>
    <cellStyle name="Normal 4 3 4 3" xfId="5298"/>
    <cellStyle name="Normal 4 3 4 3 2" xfId="9041"/>
    <cellStyle name="Normal 4 3 4 3 2 2" xfId="15585"/>
    <cellStyle name="Normal 4 3 4 3 3" xfId="7322"/>
    <cellStyle name="Normal 4 3 4 3 3 2" xfId="14004"/>
    <cellStyle name="Normal 4 3 4 3 4" xfId="12219"/>
    <cellStyle name="Normal 4 3 4 4" xfId="5736"/>
    <cellStyle name="Normal 4 3 4 4 2" xfId="9477"/>
    <cellStyle name="Normal 4 3 4 4 2 2" xfId="15979"/>
    <cellStyle name="Normal 4 3 4 4 3" xfId="7758"/>
    <cellStyle name="Normal 4 3 4 4 3 2" xfId="14398"/>
    <cellStyle name="Normal 4 3 4 4 4" xfId="12629"/>
    <cellStyle name="Normal 4 3 4 5" xfId="9978"/>
    <cellStyle name="Normal 4 3 4 5 2" xfId="16459"/>
    <cellStyle name="Normal 4 3 4 6" xfId="8235"/>
    <cellStyle name="Normal 4 3 4 6 2" xfId="14792"/>
    <cellStyle name="Normal 4 3 4 7" xfId="6516"/>
    <cellStyle name="Normal 4 3 4 7 2" xfId="13206"/>
    <cellStyle name="Normal 4 3 4 8" xfId="11415"/>
    <cellStyle name="Normal 4 3 5" xfId="4686"/>
    <cellStyle name="Normal 4 3 5 2" xfId="8432"/>
    <cellStyle name="Normal 4 3 5 2 2" xfId="14984"/>
    <cellStyle name="Normal 4 3 5 3" xfId="6713"/>
    <cellStyle name="Normal 4 3 5 3 2" xfId="13403"/>
    <cellStyle name="Normal 4 3 5 4" xfId="11617"/>
    <cellStyle name="Normal 4 3 6" xfId="5097"/>
    <cellStyle name="Normal 4 3 6 2" xfId="8840"/>
    <cellStyle name="Normal 4 3 6 2 2" xfId="15388"/>
    <cellStyle name="Normal 4 3 6 3" xfId="7121"/>
    <cellStyle name="Normal 4 3 6 3 2" xfId="13807"/>
    <cellStyle name="Normal 4 3 6 4" xfId="12022"/>
    <cellStyle name="Normal 4 3 7" xfId="5534"/>
    <cellStyle name="Normal 4 3 7 2" xfId="9275"/>
    <cellStyle name="Normal 4 3 7 2 2" xfId="15782"/>
    <cellStyle name="Normal 4 3 7 3" xfId="7556"/>
    <cellStyle name="Normal 4 3 7 3 2" xfId="14201"/>
    <cellStyle name="Normal 4 3 7 4" xfId="12427"/>
    <cellStyle name="Normal 4 3 8" xfId="9666"/>
    <cellStyle name="Normal 4 3 8 2" xfId="16168"/>
    <cellStyle name="Normal 4 3 9" xfId="7955"/>
    <cellStyle name="Normal 4 3 9 2" xfId="14595"/>
    <cellStyle name="Normal 4 4" xfId="24"/>
    <cellStyle name="Normal 4 4 2" xfId="4459"/>
    <cellStyle name="Normal 4 4 2 2" xfId="4983"/>
    <cellStyle name="Normal 4 4 2 2 2" xfId="8726"/>
    <cellStyle name="Normal 4 4 2 2 2 2" xfId="15274"/>
    <cellStyle name="Normal 4 4 2 2 3" xfId="7007"/>
    <cellStyle name="Normal 4 4 2 2 3 2" xfId="13693"/>
    <cellStyle name="Normal 4 4 2 2 4" xfId="11908"/>
    <cellStyle name="Normal 4 4 2 3" xfId="5287"/>
    <cellStyle name="Normal 4 4 2 3 2" xfId="9030"/>
    <cellStyle name="Normal 4 4 2 3 2 2" xfId="15574"/>
    <cellStyle name="Normal 4 4 2 3 3" xfId="7311"/>
    <cellStyle name="Normal 4 4 2 3 3 2" xfId="13993"/>
    <cellStyle name="Normal 4 4 2 3 4" xfId="12208"/>
    <cellStyle name="Normal 4 4 2 4" xfId="5725"/>
    <cellStyle name="Normal 4 4 2 4 2" xfId="9466"/>
    <cellStyle name="Normal 4 4 2 4 2 2" xfId="15968"/>
    <cellStyle name="Normal 4 4 2 4 3" xfId="7747"/>
    <cellStyle name="Normal 4 4 2 4 3 2" xfId="14387"/>
    <cellStyle name="Normal 4 4 2 4 4" xfId="12618"/>
    <cellStyle name="Normal 4 4 2 5" xfId="9979"/>
    <cellStyle name="Normal 4 4 2 5 2" xfId="16460"/>
    <cellStyle name="Normal 4 4 2 6" xfId="8224"/>
    <cellStyle name="Normal 4 4 2 6 2" xfId="14781"/>
    <cellStyle name="Normal 4 4 2 7" xfId="6505"/>
    <cellStyle name="Normal 4 4 2 7 2" xfId="13195"/>
    <cellStyle name="Normal 4 4 2 8" xfId="11404"/>
    <cellStyle name="Normal 4 4 3" xfId="4774"/>
    <cellStyle name="Normal 4 4 3 2" xfId="8517"/>
    <cellStyle name="Normal 4 4 3 2 2" xfId="15069"/>
    <cellStyle name="Normal 4 4 3 3" xfId="6798"/>
    <cellStyle name="Normal 4 4 3 3 2" xfId="13488"/>
    <cellStyle name="Normal 4 4 3 4" xfId="11703"/>
    <cellStyle name="Normal 4 4 4" xfId="5086"/>
    <cellStyle name="Normal 4 4 4 2" xfId="8829"/>
    <cellStyle name="Normal 4 4 4 2 2" xfId="15377"/>
    <cellStyle name="Normal 4 4 4 3" xfId="7110"/>
    <cellStyle name="Normal 4 4 4 3 2" xfId="13796"/>
    <cellStyle name="Normal 4 4 4 4" xfId="12011"/>
    <cellStyle name="Normal 4 4 5" xfId="5523"/>
    <cellStyle name="Normal 4 4 5 2" xfId="9264"/>
    <cellStyle name="Normal 4 4 5 2 2" xfId="15771"/>
    <cellStyle name="Normal 4 4 5 3" xfId="7545"/>
    <cellStyle name="Normal 4 4 5 3 2" xfId="14190"/>
    <cellStyle name="Normal 4 4 5 4" xfId="12416"/>
    <cellStyle name="Normal 4 4 6" xfId="9764"/>
    <cellStyle name="Normal 4 4 6 2" xfId="16255"/>
    <cellStyle name="Normal 4 4 7" xfId="7944"/>
    <cellStyle name="Normal 4 4 7 2" xfId="14584"/>
    <cellStyle name="Normal 4 4 8" xfId="5923"/>
    <cellStyle name="Normal 4 4 8 2" xfId="12816"/>
    <cellStyle name="Normal 4 4 9" xfId="10258"/>
    <cellStyle name="Normal 4 5" xfId="4153"/>
    <cellStyle name="Normal 4 5 2" xfId="4557"/>
    <cellStyle name="Normal 4 5 2 2" xfId="4984"/>
    <cellStyle name="Normal 4 5 2 2 2" xfId="8727"/>
    <cellStyle name="Normal 4 5 2 2 2 2" xfId="15275"/>
    <cellStyle name="Normal 4 5 2 2 3" xfId="7008"/>
    <cellStyle name="Normal 4 5 2 2 3 2" xfId="13694"/>
    <cellStyle name="Normal 4 5 2 2 4" xfId="11909"/>
    <cellStyle name="Normal 4 5 2 3" xfId="5384"/>
    <cellStyle name="Normal 4 5 2 3 2" xfId="9127"/>
    <cellStyle name="Normal 4 5 2 3 2 2" xfId="15671"/>
    <cellStyle name="Normal 4 5 2 3 3" xfId="7408"/>
    <cellStyle name="Normal 4 5 2 3 3 2" xfId="14090"/>
    <cellStyle name="Normal 4 5 2 3 4" xfId="12305"/>
    <cellStyle name="Normal 4 5 2 4" xfId="5822"/>
    <cellStyle name="Normal 4 5 2 4 2" xfId="9563"/>
    <cellStyle name="Normal 4 5 2 4 2 2" xfId="16065"/>
    <cellStyle name="Normal 4 5 2 4 3" xfId="7844"/>
    <cellStyle name="Normal 4 5 2 4 3 2" xfId="14484"/>
    <cellStyle name="Normal 4 5 2 4 4" xfId="12715"/>
    <cellStyle name="Normal 4 5 2 5" xfId="9980"/>
    <cellStyle name="Normal 4 5 2 5 2" xfId="16461"/>
    <cellStyle name="Normal 4 5 2 6" xfId="8321"/>
    <cellStyle name="Normal 4 5 2 6 2" xfId="14878"/>
    <cellStyle name="Normal 4 5 2 7" xfId="6602"/>
    <cellStyle name="Normal 4 5 2 7 2" xfId="13292"/>
    <cellStyle name="Normal 4 5 2 8" xfId="11502"/>
    <cellStyle name="Normal 4 5 3" xfId="4824"/>
    <cellStyle name="Normal 4 5 3 2" xfId="8567"/>
    <cellStyle name="Normal 4 5 3 2 2" xfId="15115"/>
    <cellStyle name="Normal 4 5 3 3" xfId="6848"/>
    <cellStyle name="Normal 4 5 3 3 2" xfId="13534"/>
    <cellStyle name="Normal 4 5 3 4" xfId="11749"/>
    <cellStyle name="Normal 4 5 4" xfId="5187"/>
    <cellStyle name="Normal 4 5 4 2" xfId="8930"/>
    <cellStyle name="Normal 4 5 4 2 2" xfId="15474"/>
    <cellStyle name="Normal 4 5 4 3" xfId="7211"/>
    <cellStyle name="Normal 4 5 4 3 2" xfId="13893"/>
    <cellStyle name="Normal 4 5 4 4" xfId="12108"/>
    <cellStyle name="Normal 4 5 5" xfId="5620"/>
    <cellStyle name="Normal 4 5 5 2" xfId="9361"/>
    <cellStyle name="Normal 4 5 5 2 2" xfId="15868"/>
    <cellStyle name="Normal 4 5 5 3" xfId="7642"/>
    <cellStyle name="Normal 4 5 5 3 2" xfId="14287"/>
    <cellStyle name="Normal 4 5 5 4" xfId="12513"/>
    <cellStyle name="Normal 4 5 6" xfId="9815"/>
    <cellStyle name="Normal 4 5 6 2" xfId="16301"/>
    <cellStyle name="Normal 4 5 7" xfId="8081"/>
    <cellStyle name="Normal 4 5 7 2" xfId="14681"/>
    <cellStyle name="Normal 4 5 8" xfId="6354"/>
    <cellStyle name="Normal 4 5 8 2" xfId="13077"/>
    <cellStyle name="Normal 4 5 9" xfId="11296"/>
    <cellStyle name="Normal 4 6" xfId="4407"/>
    <cellStyle name="Normal 4 6 2" xfId="4621"/>
    <cellStyle name="Normal 4 6 2 2" xfId="4986"/>
    <cellStyle name="Normal 4 6 2 2 2" xfId="8729"/>
    <cellStyle name="Normal 4 6 2 2 2 2" xfId="15277"/>
    <cellStyle name="Normal 4 6 2 2 3" xfId="7010"/>
    <cellStyle name="Normal 4 6 2 2 3 2" xfId="13696"/>
    <cellStyle name="Normal 4 6 2 2 4" xfId="11911"/>
    <cellStyle name="Normal 4 6 2 3" xfId="5448"/>
    <cellStyle name="Normal 4 6 2 3 2" xfId="9191"/>
    <cellStyle name="Normal 4 6 2 3 2 2" xfId="15735"/>
    <cellStyle name="Normal 4 6 2 3 3" xfId="7472"/>
    <cellStyle name="Normal 4 6 2 3 3 2" xfId="14154"/>
    <cellStyle name="Normal 4 6 2 3 4" xfId="12369"/>
    <cellStyle name="Normal 4 6 2 4" xfId="5886"/>
    <cellStyle name="Normal 4 6 2 4 2" xfId="9627"/>
    <cellStyle name="Normal 4 6 2 4 2 2" xfId="16129"/>
    <cellStyle name="Normal 4 6 2 4 3" xfId="7908"/>
    <cellStyle name="Normal 4 6 2 4 3 2" xfId="14548"/>
    <cellStyle name="Normal 4 6 2 4 4" xfId="12779"/>
    <cellStyle name="Normal 4 6 2 5" xfId="9982"/>
    <cellStyle name="Normal 4 6 2 5 2" xfId="16463"/>
    <cellStyle name="Normal 4 6 2 6" xfId="8385"/>
    <cellStyle name="Normal 4 6 2 6 2" xfId="14942"/>
    <cellStyle name="Normal 4 6 2 7" xfId="6666"/>
    <cellStyle name="Normal 4 6 2 7 2" xfId="13356"/>
    <cellStyle name="Normal 4 6 2 8" xfId="11566"/>
    <cellStyle name="Normal 4 6 3" xfId="4985"/>
    <cellStyle name="Normal 4 6 3 2" xfId="8728"/>
    <cellStyle name="Normal 4 6 3 2 2" xfId="15276"/>
    <cellStyle name="Normal 4 6 3 3" xfId="7009"/>
    <cellStyle name="Normal 4 6 3 3 2" xfId="13695"/>
    <cellStyle name="Normal 4 6 3 4" xfId="11910"/>
    <cellStyle name="Normal 4 6 4" xfId="5251"/>
    <cellStyle name="Normal 4 6 4 2" xfId="8994"/>
    <cellStyle name="Normal 4 6 4 2 2" xfId="15538"/>
    <cellStyle name="Normal 4 6 4 3" xfId="7275"/>
    <cellStyle name="Normal 4 6 4 3 2" xfId="13957"/>
    <cellStyle name="Normal 4 6 4 4" xfId="12172"/>
    <cellStyle name="Normal 4 6 5" xfId="5689"/>
    <cellStyle name="Normal 4 6 5 2" xfId="9430"/>
    <cellStyle name="Normal 4 6 5 2 2" xfId="15932"/>
    <cellStyle name="Normal 4 6 5 3" xfId="7711"/>
    <cellStyle name="Normal 4 6 5 3 2" xfId="14351"/>
    <cellStyle name="Normal 4 6 5 4" xfId="12582"/>
    <cellStyle name="Normal 4 6 6" xfId="9981"/>
    <cellStyle name="Normal 4 6 6 2" xfId="16462"/>
    <cellStyle name="Normal 4 6 7" xfId="8188"/>
    <cellStyle name="Normal 4 6 7 2" xfId="14745"/>
    <cellStyle name="Normal 4 6 8" xfId="6469"/>
    <cellStyle name="Normal 4 6 8 2" xfId="13159"/>
    <cellStyle name="Normal 4 6 9" xfId="11365"/>
    <cellStyle name="Normal 4 7" xfId="4424"/>
    <cellStyle name="Normal 4 7 2" xfId="4633"/>
    <cellStyle name="Normal 4 7 2 2" xfId="4988"/>
    <cellStyle name="Normal 4 7 2 2 2" xfId="8731"/>
    <cellStyle name="Normal 4 7 2 2 2 2" xfId="15279"/>
    <cellStyle name="Normal 4 7 2 2 3" xfId="7012"/>
    <cellStyle name="Normal 4 7 2 2 3 2" xfId="13698"/>
    <cellStyle name="Normal 4 7 2 2 4" xfId="11913"/>
    <cellStyle name="Normal 4 7 2 3" xfId="5460"/>
    <cellStyle name="Normal 4 7 2 3 2" xfId="9203"/>
    <cellStyle name="Normal 4 7 2 3 2 2" xfId="15747"/>
    <cellStyle name="Normal 4 7 2 3 3" xfId="7484"/>
    <cellStyle name="Normal 4 7 2 3 3 2" xfId="14166"/>
    <cellStyle name="Normal 4 7 2 3 4" xfId="12381"/>
    <cellStyle name="Normal 4 7 2 4" xfId="5898"/>
    <cellStyle name="Normal 4 7 2 4 2" xfId="9639"/>
    <cellStyle name="Normal 4 7 2 4 2 2" xfId="16141"/>
    <cellStyle name="Normal 4 7 2 4 3" xfId="7920"/>
    <cellStyle name="Normal 4 7 2 4 3 2" xfId="14560"/>
    <cellStyle name="Normal 4 7 2 4 4" xfId="12791"/>
    <cellStyle name="Normal 4 7 2 5" xfId="9984"/>
    <cellStyle name="Normal 4 7 2 5 2" xfId="16465"/>
    <cellStyle name="Normal 4 7 2 6" xfId="8397"/>
    <cellStyle name="Normal 4 7 2 6 2" xfId="14954"/>
    <cellStyle name="Normal 4 7 2 7" xfId="6678"/>
    <cellStyle name="Normal 4 7 2 7 2" xfId="13368"/>
    <cellStyle name="Normal 4 7 2 8" xfId="11578"/>
    <cellStyle name="Normal 4 7 3" xfId="4987"/>
    <cellStyle name="Normal 4 7 3 2" xfId="8730"/>
    <cellStyle name="Normal 4 7 3 2 2" xfId="15278"/>
    <cellStyle name="Normal 4 7 3 3" xfId="7011"/>
    <cellStyle name="Normal 4 7 3 3 2" xfId="13697"/>
    <cellStyle name="Normal 4 7 3 4" xfId="11912"/>
    <cellStyle name="Normal 4 7 4" xfId="5263"/>
    <cellStyle name="Normal 4 7 4 2" xfId="9006"/>
    <cellStyle name="Normal 4 7 4 2 2" xfId="15550"/>
    <cellStyle name="Normal 4 7 4 3" xfId="7287"/>
    <cellStyle name="Normal 4 7 4 3 2" xfId="13969"/>
    <cellStyle name="Normal 4 7 4 4" xfId="12184"/>
    <cellStyle name="Normal 4 7 5" xfId="5701"/>
    <cellStyle name="Normal 4 7 5 2" xfId="9442"/>
    <cellStyle name="Normal 4 7 5 2 2" xfId="15944"/>
    <cellStyle name="Normal 4 7 5 3" xfId="7723"/>
    <cellStyle name="Normal 4 7 5 3 2" xfId="14363"/>
    <cellStyle name="Normal 4 7 5 4" xfId="12594"/>
    <cellStyle name="Normal 4 7 6" xfId="9983"/>
    <cellStyle name="Normal 4 7 6 2" xfId="16464"/>
    <cellStyle name="Normal 4 7 7" xfId="8200"/>
    <cellStyle name="Normal 4 7 7 2" xfId="14757"/>
    <cellStyle name="Normal 4 7 8" xfId="6481"/>
    <cellStyle name="Normal 4 7 8 2" xfId="13171"/>
    <cellStyle name="Normal 4 7 9" xfId="11379"/>
    <cellStyle name="Normal 4 8" xfId="4451"/>
    <cellStyle name="Normal 4 8 2" xfId="4989"/>
    <cellStyle name="Normal 4 8 2 2" xfId="8732"/>
    <cellStyle name="Normal 4 8 2 2 2" xfId="15280"/>
    <cellStyle name="Normal 4 8 2 3" xfId="7013"/>
    <cellStyle name="Normal 4 8 2 3 2" xfId="13699"/>
    <cellStyle name="Normal 4 8 2 4" xfId="11914"/>
    <cellStyle name="Normal 4 8 3" xfId="5279"/>
    <cellStyle name="Normal 4 8 3 2" xfId="9022"/>
    <cellStyle name="Normal 4 8 3 2 2" xfId="15566"/>
    <cellStyle name="Normal 4 8 3 3" xfId="7303"/>
    <cellStyle name="Normal 4 8 3 3 2" xfId="13985"/>
    <cellStyle name="Normal 4 8 3 4" xfId="12200"/>
    <cellStyle name="Normal 4 8 4" xfId="5717"/>
    <cellStyle name="Normal 4 8 4 2" xfId="9458"/>
    <cellStyle name="Normal 4 8 4 2 2" xfId="15960"/>
    <cellStyle name="Normal 4 8 4 3" xfId="7739"/>
    <cellStyle name="Normal 4 8 4 3 2" xfId="14379"/>
    <cellStyle name="Normal 4 8 4 4" xfId="12610"/>
    <cellStyle name="Normal 4 8 5" xfId="9985"/>
    <cellStyle name="Normal 4 8 5 2" xfId="16466"/>
    <cellStyle name="Normal 4 8 6" xfId="8216"/>
    <cellStyle name="Normal 4 8 6 2" xfId="14773"/>
    <cellStyle name="Normal 4 8 7" xfId="6497"/>
    <cellStyle name="Normal 4 8 7 2" xfId="13187"/>
    <cellStyle name="Normal 4 8 8" xfId="11396"/>
    <cellStyle name="Normal 4 9" xfId="4683"/>
    <cellStyle name="Normal 4 9 2" xfId="8429"/>
    <cellStyle name="Normal 4 9 2 2" xfId="14981"/>
    <cellStyle name="Normal 4 9 3" xfId="6710"/>
    <cellStyle name="Normal 4 9 3 2" xfId="13400"/>
    <cellStyle name="Normal 4 9 4" xfId="11614"/>
    <cellStyle name="Normal 40" xfId="4154"/>
    <cellStyle name="Normal 40 2" xfId="4558"/>
    <cellStyle name="Normal 40 2 2" xfId="4990"/>
    <cellStyle name="Normal 40 2 2 2" xfId="8733"/>
    <cellStyle name="Normal 40 2 2 2 2" xfId="15281"/>
    <cellStyle name="Normal 40 2 2 3" xfId="7014"/>
    <cellStyle name="Normal 40 2 2 3 2" xfId="13700"/>
    <cellStyle name="Normal 40 2 2 4" xfId="11915"/>
    <cellStyle name="Normal 40 2 3" xfId="5385"/>
    <cellStyle name="Normal 40 2 3 2" xfId="9128"/>
    <cellStyle name="Normal 40 2 3 2 2" xfId="15672"/>
    <cellStyle name="Normal 40 2 3 3" xfId="7409"/>
    <cellStyle name="Normal 40 2 3 3 2" xfId="14091"/>
    <cellStyle name="Normal 40 2 3 4" xfId="12306"/>
    <cellStyle name="Normal 40 2 4" xfId="5823"/>
    <cellStyle name="Normal 40 2 4 2" xfId="9564"/>
    <cellStyle name="Normal 40 2 4 2 2" xfId="16066"/>
    <cellStyle name="Normal 40 2 4 3" xfId="7845"/>
    <cellStyle name="Normal 40 2 4 3 2" xfId="14485"/>
    <cellStyle name="Normal 40 2 4 4" xfId="12716"/>
    <cellStyle name="Normal 40 2 5" xfId="9986"/>
    <cellStyle name="Normal 40 2 5 2" xfId="16467"/>
    <cellStyle name="Normal 40 2 6" xfId="8322"/>
    <cellStyle name="Normal 40 2 6 2" xfId="14879"/>
    <cellStyle name="Normal 40 2 7" xfId="6603"/>
    <cellStyle name="Normal 40 2 7 2" xfId="13293"/>
    <cellStyle name="Normal 40 2 8" xfId="11503"/>
    <cellStyle name="Normal 40 3" xfId="4753"/>
    <cellStyle name="Normal 40 3 2" xfId="8496"/>
    <cellStyle name="Normal 40 3 2 2" xfId="15048"/>
    <cellStyle name="Normal 40 3 3" xfId="6777"/>
    <cellStyle name="Normal 40 3 3 2" xfId="13467"/>
    <cellStyle name="Normal 40 3 4" xfId="11682"/>
    <cellStyle name="Normal 40 4" xfId="5188"/>
    <cellStyle name="Normal 40 4 2" xfId="8931"/>
    <cellStyle name="Normal 40 4 2 2" xfId="15475"/>
    <cellStyle name="Normal 40 4 3" xfId="7212"/>
    <cellStyle name="Normal 40 4 3 2" xfId="13894"/>
    <cellStyle name="Normal 40 4 4" xfId="12109"/>
    <cellStyle name="Normal 40 5" xfId="5621"/>
    <cellStyle name="Normal 40 5 2" xfId="9362"/>
    <cellStyle name="Normal 40 5 2 2" xfId="15869"/>
    <cellStyle name="Normal 40 5 3" xfId="7643"/>
    <cellStyle name="Normal 40 5 3 2" xfId="14288"/>
    <cellStyle name="Normal 40 5 4" xfId="12514"/>
    <cellStyle name="Normal 40 6" xfId="9741"/>
    <cellStyle name="Normal 40 6 2" xfId="16234"/>
    <cellStyle name="Normal 40 7" xfId="8082"/>
    <cellStyle name="Normal 40 7 2" xfId="14682"/>
    <cellStyle name="Normal 40 8" xfId="6355"/>
    <cellStyle name="Normal 40 8 2" xfId="13078"/>
    <cellStyle name="Normal 40 9" xfId="11297"/>
    <cellStyle name="Normal 41" xfId="4155"/>
    <cellStyle name="Normal 42" xfId="4156"/>
    <cellStyle name="Normal 42 2" xfId="4559"/>
    <cellStyle name="Normal 42 2 2" xfId="4991"/>
    <cellStyle name="Normal 42 2 2 2" xfId="8734"/>
    <cellStyle name="Normal 42 2 2 2 2" xfId="15282"/>
    <cellStyle name="Normal 42 2 2 3" xfId="7015"/>
    <cellStyle name="Normal 42 2 2 3 2" xfId="13701"/>
    <cellStyle name="Normal 42 2 2 4" xfId="11916"/>
    <cellStyle name="Normal 42 2 3" xfId="5386"/>
    <cellStyle name="Normal 42 2 3 2" xfId="9129"/>
    <cellStyle name="Normal 42 2 3 2 2" xfId="15673"/>
    <cellStyle name="Normal 42 2 3 3" xfId="7410"/>
    <cellStyle name="Normal 42 2 3 3 2" xfId="14092"/>
    <cellStyle name="Normal 42 2 3 4" xfId="12307"/>
    <cellStyle name="Normal 42 2 4" xfId="5824"/>
    <cellStyle name="Normal 42 2 4 2" xfId="9565"/>
    <cellStyle name="Normal 42 2 4 2 2" xfId="16067"/>
    <cellStyle name="Normal 42 2 4 3" xfId="7846"/>
    <cellStyle name="Normal 42 2 4 3 2" xfId="14486"/>
    <cellStyle name="Normal 42 2 4 4" xfId="12717"/>
    <cellStyle name="Normal 42 2 5" xfId="9987"/>
    <cellStyle name="Normal 42 2 5 2" xfId="16468"/>
    <cellStyle name="Normal 42 2 6" xfId="8323"/>
    <cellStyle name="Normal 42 2 6 2" xfId="14880"/>
    <cellStyle name="Normal 42 2 7" xfId="6604"/>
    <cellStyle name="Normal 42 2 7 2" xfId="13294"/>
    <cellStyle name="Normal 42 2 8" xfId="11504"/>
    <cellStyle name="Normal 42 3" xfId="4841"/>
    <cellStyle name="Normal 42 3 2" xfId="8584"/>
    <cellStyle name="Normal 42 3 2 2" xfId="15132"/>
    <cellStyle name="Normal 42 3 3" xfId="6865"/>
    <cellStyle name="Normal 42 3 3 2" xfId="13551"/>
    <cellStyle name="Normal 42 3 4" xfId="11766"/>
    <cellStyle name="Normal 42 4" xfId="5189"/>
    <cellStyle name="Normal 42 4 2" xfId="8932"/>
    <cellStyle name="Normal 42 4 2 2" xfId="15476"/>
    <cellStyle name="Normal 42 4 3" xfId="7213"/>
    <cellStyle name="Normal 42 4 3 2" xfId="13895"/>
    <cellStyle name="Normal 42 4 4" xfId="12110"/>
    <cellStyle name="Normal 42 5" xfId="5622"/>
    <cellStyle name="Normal 42 5 2" xfId="9363"/>
    <cellStyle name="Normal 42 5 2 2" xfId="15870"/>
    <cellStyle name="Normal 42 5 3" xfId="7644"/>
    <cellStyle name="Normal 42 5 3 2" xfId="14289"/>
    <cellStyle name="Normal 42 5 4" xfId="12515"/>
    <cellStyle name="Normal 42 6" xfId="9832"/>
    <cellStyle name="Normal 42 6 2" xfId="16318"/>
    <cellStyle name="Normal 42 7" xfId="8083"/>
    <cellStyle name="Normal 42 7 2" xfId="14683"/>
    <cellStyle name="Normal 42 8" xfId="6356"/>
    <cellStyle name="Normal 42 8 2" xfId="13079"/>
    <cellStyle name="Normal 42 9" xfId="11298"/>
    <cellStyle name="Normal 43" xfId="4402"/>
    <cellStyle name="Normal 43 2" xfId="4644"/>
    <cellStyle name="Normal 43 2 2" xfId="4848"/>
    <cellStyle name="Normal 43 2 2 2" xfId="8591"/>
    <cellStyle name="Normal 43 2 2 2 2" xfId="15139"/>
    <cellStyle name="Normal 43 2 2 3" xfId="6872"/>
    <cellStyle name="Normal 43 2 2 3 2" xfId="13558"/>
    <cellStyle name="Normal 43 2 2 4" xfId="11773"/>
    <cellStyle name="Normal 43 2 3" xfId="5471"/>
    <cellStyle name="Normal 43 2 3 2" xfId="9214"/>
    <cellStyle name="Normal 43 2 3 2 2" xfId="15758"/>
    <cellStyle name="Normal 43 2 3 3" xfId="7495"/>
    <cellStyle name="Normal 43 2 3 3 2" xfId="14177"/>
    <cellStyle name="Normal 43 2 3 4" xfId="12392"/>
    <cellStyle name="Normal 43 2 4" xfId="5909"/>
    <cellStyle name="Normal 43 2 4 2" xfId="9650"/>
    <cellStyle name="Normal 43 2 4 2 2" xfId="16152"/>
    <cellStyle name="Normal 43 2 4 3" xfId="7931"/>
    <cellStyle name="Normal 43 2 4 3 2" xfId="14571"/>
    <cellStyle name="Normal 43 2 4 4" xfId="12802"/>
    <cellStyle name="Normal 43 2 5" xfId="9839"/>
    <cellStyle name="Normal 43 2 5 2" xfId="16325"/>
    <cellStyle name="Normal 43 2 6" xfId="8408"/>
    <cellStyle name="Normal 43 2 6 2" xfId="14965"/>
    <cellStyle name="Normal 43 2 7" xfId="6689"/>
    <cellStyle name="Normal 43 2 7 2" xfId="13379"/>
    <cellStyle name="Normal 43 2 8" xfId="11589"/>
    <cellStyle name="Normal 43 3" xfId="4846"/>
    <cellStyle name="Normal 43 3 2" xfId="8589"/>
    <cellStyle name="Normal 43 3 2 2" xfId="15137"/>
    <cellStyle name="Normal 43 3 3" xfId="6870"/>
    <cellStyle name="Normal 43 3 3 2" xfId="13556"/>
    <cellStyle name="Normal 43 3 4" xfId="11771"/>
    <cellStyle name="Normal 43 4" xfId="9837"/>
    <cellStyle name="Normal 43 4 2" xfId="16323"/>
    <cellStyle name="Normal 44" xfId="4403"/>
    <cellStyle name="Normal 45" xfId="4409"/>
    <cellStyle name="Normal 46" xfId="4420"/>
    <cellStyle name="Normal 47" xfId="4410"/>
    <cellStyle name="Normal 48" xfId="4435"/>
    <cellStyle name="Normal 49" xfId="4438"/>
    <cellStyle name="Normal 5" xfId="4157"/>
    <cellStyle name="Normal 5 10" xfId="9679"/>
    <cellStyle name="Normal 5 10 2" xfId="16179"/>
    <cellStyle name="Normal 5 11" xfId="4158"/>
    <cellStyle name="Normal 5 12" xfId="8084"/>
    <cellStyle name="Normal 5 12 2" xfId="14684"/>
    <cellStyle name="Normal 5 13" xfId="6357"/>
    <cellStyle name="Normal 5 13 2" xfId="13080"/>
    <cellStyle name="Normal 5 14" xfId="11299"/>
    <cellStyle name="Normal 5 2" xfId="4159"/>
    <cellStyle name="Normal 5 2 2" xfId="4561"/>
    <cellStyle name="Normal 5 2 2 2" xfId="4992"/>
    <cellStyle name="Normal 5 2 2 2 2" xfId="8735"/>
    <cellStyle name="Normal 5 2 2 2 2 2" xfId="15283"/>
    <cellStyle name="Normal 5 2 2 2 3" xfId="7016"/>
    <cellStyle name="Normal 5 2 2 2 3 2" xfId="13702"/>
    <cellStyle name="Normal 5 2 2 2 4" xfId="11917"/>
    <cellStyle name="Normal 5 2 2 3" xfId="5388"/>
    <cellStyle name="Normal 5 2 2 3 2" xfId="9131"/>
    <cellStyle name="Normal 5 2 2 3 2 2" xfId="15675"/>
    <cellStyle name="Normal 5 2 2 3 3" xfId="7412"/>
    <cellStyle name="Normal 5 2 2 3 3 2" xfId="14094"/>
    <cellStyle name="Normal 5 2 2 3 4" xfId="12309"/>
    <cellStyle name="Normal 5 2 2 4" xfId="5826"/>
    <cellStyle name="Normal 5 2 2 4 2" xfId="9567"/>
    <cellStyle name="Normal 5 2 2 4 2 2" xfId="16069"/>
    <cellStyle name="Normal 5 2 2 4 3" xfId="7848"/>
    <cellStyle name="Normal 5 2 2 4 3 2" xfId="14488"/>
    <cellStyle name="Normal 5 2 2 4 4" xfId="12719"/>
    <cellStyle name="Normal 5 2 2 5" xfId="9988"/>
    <cellStyle name="Normal 5 2 2 5 2" xfId="16469"/>
    <cellStyle name="Normal 5 2 2 6" xfId="8325"/>
    <cellStyle name="Normal 5 2 2 6 2" xfId="14882"/>
    <cellStyle name="Normal 5 2 2 7" xfId="6606"/>
    <cellStyle name="Normal 5 2 2 7 2" xfId="13296"/>
    <cellStyle name="Normal 5 2 2 8" xfId="11506"/>
    <cellStyle name="Normal 5 2 3" xfId="4782"/>
    <cellStyle name="Normal 5 2 3 2" xfId="8525"/>
    <cellStyle name="Normal 5 2 3 2 2" xfId="15077"/>
    <cellStyle name="Normal 5 2 3 3" xfId="6806"/>
    <cellStyle name="Normal 5 2 3 3 2" xfId="13496"/>
    <cellStyle name="Normal 5 2 3 4" xfId="11711"/>
    <cellStyle name="Normal 5 2 4" xfId="5191"/>
    <cellStyle name="Normal 5 2 4 2" xfId="8934"/>
    <cellStyle name="Normal 5 2 4 2 2" xfId="15478"/>
    <cellStyle name="Normal 5 2 4 3" xfId="7215"/>
    <cellStyle name="Normal 5 2 4 3 2" xfId="13897"/>
    <cellStyle name="Normal 5 2 4 4" xfId="12112"/>
    <cellStyle name="Normal 5 2 5" xfId="5624"/>
    <cellStyle name="Normal 5 2 5 2" xfId="9365"/>
    <cellStyle name="Normal 5 2 5 2 2" xfId="15872"/>
    <cellStyle name="Normal 5 2 5 3" xfId="7646"/>
    <cellStyle name="Normal 5 2 5 3 2" xfId="14291"/>
    <cellStyle name="Normal 5 2 5 4" xfId="12517"/>
    <cellStyle name="Normal 5 2 6" xfId="9772"/>
    <cellStyle name="Normal 5 2 6 2" xfId="16263"/>
    <cellStyle name="Normal 5 2 7" xfId="8085"/>
    <cellStyle name="Normal 5 2 7 2" xfId="14685"/>
    <cellStyle name="Normal 5 2 8" xfId="6358"/>
    <cellStyle name="Normal 5 2 8 2" xfId="13081"/>
    <cellStyle name="Normal 5 2 9" xfId="11300"/>
    <cellStyle name="Normal 5 3" xfId="4160"/>
    <cellStyle name="Normal 5 4" xfId="4417"/>
    <cellStyle name="Normal 5 4 2" xfId="4627"/>
    <cellStyle name="Normal 5 4 2 2" xfId="4994"/>
    <cellStyle name="Normal 5 4 2 2 2" xfId="8737"/>
    <cellStyle name="Normal 5 4 2 2 2 2" xfId="15285"/>
    <cellStyle name="Normal 5 4 2 2 3" xfId="7018"/>
    <cellStyle name="Normal 5 4 2 2 3 2" xfId="13704"/>
    <cellStyle name="Normal 5 4 2 2 4" xfId="11919"/>
    <cellStyle name="Normal 5 4 2 3" xfId="5454"/>
    <cellStyle name="Normal 5 4 2 3 2" xfId="9197"/>
    <cellStyle name="Normal 5 4 2 3 2 2" xfId="15741"/>
    <cellStyle name="Normal 5 4 2 3 3" xfId="7478"/>
    <cellStyle name="Normal 5 4 2 3 3 2" xfId="14160"/>
    <cellStyle name="Normal 5 4 2 3 4" xfId="12375"/>
    <cellStyle name="Normal 5 4 2 4" xfId="5892"/>
    <cellStyle name="Normal 5 4 2 4 2" xfId="9633"/>
    <cellStyle name="Normal 5 4 2 4 2 2" xfId="16135"/>
    <cellStyle name="Normal 5 4 2 4 3" xfId="7914"/>
    <cellStyle name="Normal 5 4 2 4 3 2" xfId="14554"/>
    <cellStyle name="Normal 5 4 2 4 4" xfId="12785"/>
    <cellStyle name="Normal 5 4 2 5" xfId="9990"/>
    <cellStyle name="Normal 5 4 2 5 2" xfId="16471"/>
    <cellStyle name="Normal 5 4 2 6" xfId="8391"/>
    <cellStyle name="Normal 5 4 2 6 2" xfId="14948"/>
    <cellStyle name="Normal 5 4 2 7" xfId="6672"/>
    <cellStyle name="Normal 5 4 2 7 2" xfId="13362"/>
    <cellStyle name="Normal 5 4 2 8" xfId="11572"/>
    <cellStyle name="Normal 5 4 3" xfId="4993"/>
    <cellStyle name="Normal 5 4 3 2" xfId="8736"/>
    <cellStyle name="Normal 5 4 3 2 2" xfId="15284"/>
    <cellStyle name="Normal 5 4 3 3" xfId="7017"/>
    <cellStyle name="Normal 5 4 3 3 2" xfId="13703"/>
    <cellStyle name="Normal 5 4 3 4" xfId="11918"/>
    <cellStyle name="Normal 5 4 4" xfId="5257"/>
    <cellStyle name="Normal 5 4 4 2" xfId="9000"/>
    <cellStyle name="Normal 5 4 4 2 2" xfId="15544"/>
    <cellStyle name="Normal 5 4 4 3" xfId="7281"/>
    <cellStyle name="Normal 5 4 4 3 2" xfId="13963"/>
    <cellStyle name="Normal 5 4 4 4" xfId="12178"/>
    <cellStyle name="Normal 5 4 5" xfId="5695"/>
    <cellStyle name="Normal 5 4 5 2" xfId="9436"/>
    <cellStyle name="Normal 5 4 5 2 2" xfId="15938"/>
    <cellStyle name="Normal 5 4 5 3" xfId="7717"/>
    <cellStyle name="Normal 5 4 5 3 2" xfId="14357"/>
    <cellStyle name="Normal 5 4 5 4" xfId="12588"/>
    <cellStyle name="Normal 5 4 6" xfId="9989"/>
    <cellStyle name="Normal 5 4 6 2" xfId="16470"/>
    <cellStyle name="Normal 5 4 7" xfId="8194"/>
    <cellStyle name="Normal 5 4 7 2" xfId="14751"/>
    <cellStyle name="Normal 5 4 8" xfId="6475"/>
    <cellStyle name="Normal 5 4 8 2" xfId="13165"/>
    <cellStyle name="Normal 5 4 9" xfId="11373"/>
    <cellStyle name="Normal 5 5" xfId="4430"/>
    <cellStyle name="Normal 5 5 2" xfId="4639"/>
    <cellStyle name="Normal 5 5 2 2" xfId="4996"/>
    <cellStyle name="Normal 5 5 2 2 2" xfId="8739"/>
    <cellStyle name="Normal 5 5 2 2 2 2" xfId="15287"/>
    <cellStyle name="Normal 5 5 2 2 3" xfId="7020"/>
    <cellStyle name="Normal 5 5 2 2 3 2" xfId="13706"/>
    <cellStyle name="Normal 5 5 2 2 4" xfId="11921"/>
    <cellStyle name="Normal 5 5 2 3" xfId="5466"/>
    <cellStyle name="Normal 5 5 2 3 2" xfId="9209"/>
    <cellStyle name="Normal 5 5 2 3 2 2" xfId="15753"/>
    <cellStyle name="Normal 5 5 2 3 3" xfId="7490"/>
    <cellStyle name="Normal 5 5 2 3 3 2" xfId="14172"/>
    <cellStyle name="Normal 5 5 2 3 4" xfId="12387"/>
    <cellStyle name="Normal 5 5 2 4" xfId="5904"/>
    <cellStyle name="Normal 5 5 2 4 2" xfId="9645"/>
    <cellStyle name="Normal 5 5 2 4 2 2" xfId="16147"/>
    <cellStyle name="Normal 5 5 2 4 3" xfId="7926"/>
    <cellStyle name="Normal 5 5 2 4 3 2" xfId="14566"/>
    <cellStyle name="Normal 5 5 2 4 4" xfId="12797"/>
    <cellStyle name="Normal 5 5 2 5" xfId="9992"/>
    <cellStyle name="Normal 5 5 2 5 2" xfId="16473"/>
    <cellStyle name="Normal 5 5 2 6" xfId="8403"/>
    <cellStyle name="Normal 5 5 2 6 2" xfId="14960"/>
    <cellStyle name="Normal 5 5 2 7" xfId="6684"/>
    <cellStyle name="Normal 5 5 2 7 2" xfId="13374"/>
    <cellStyle name="Normal 5 5 2 8" xfId="11584"/>
    <cellStyle name="Normal 5 5 3" xfId="4995"/>
    <cellStyle name="Normal 5 5 3 2" xfId="8738"/>
    <cellStyle name="Normal 5 5 3 2 2" xfId="15286"/>
    <cellStyle name="Normal 5 5 3 3" xfId="7019"/>
    <cellStyle name="Normal 5 5 3 3 2" xfId="13705"/>
    <cellStyle name="Normal 5 5 3 4" xfId="11920"/>
    <cellStyle name="Normal 5 5 4" xfId="5269"/>
    <cellStyle name="Normal 5 5 4 2" xfId="9012"/>
    <cellStyle name="Normal 5 5 4 2 2" xfId="15556"/>
    <cellStyle name="Normal 5 5 4 3" xfId="7293"/>
    <cellStyle name="Normal 5 5 4 3 2" xfId="13975"/>
    <cellStyle name="Normal 5 5 4 4" xfId="12190"/>
    <cellStyle name="Normal 5 5 5" xfId="5707"/>
    <cellStyle name="Normal 5 5 5 2" xfId="9448"/>
    <cellStyle name="Normal 5 5 5 2 2" xfId="15950"/>
    <cellStyle name="Normal 5 5 5 3" xfId="7729"/>
    <cellStyle name="Normal 5 5 5 3 2" xfId="14369"/>
    <cellStyle name="Normal 5 5 5 4" xfId="12600"/>
    <cellStyle name="Normal 5 5 6" xfId="9991"/>
    <cellStyle name="Normal 5 5 6 2" xfId="16472"/>
    <cellStyle name="Normal 5 5 7" xfId="8206"/>
    <cellStyle name="Normal 5 5 7 2" xfId="14763"/>
    <cellStyle name="Normal 5 5 8" xfId="6487"/>
    <cellStyle name="Normal 5 5 8 2" xfId="13177"/>
    <cellStyle name="Normal 5 5 9" xfId="11385"/>
    <cellStyle name="Normal 5 6" xfId="4560"/>
    <cellStyle name="Normal 5 6 2" xfId="4997"/>
    <cellStyle name="Normal 5 6 2 2" xfId="8740"/>
    <cellStyle name="Normal 5 6 2 2 2" xfId="15288"/>
    <cellStyle name="Normal 5 6 2 3" xfId="7021"/>
    <cellStyle name="Normal 5 6 2 3 2" xfId="13707"/>
    <cellStyle name="Normal 5 6 2 4" xfId="11922"/>
    <cellStyle name="Normal 5 6 3" xfId="5387"/>
    <cellStyle name="Normal 5 6 3 2" xfId="9130"/>
    <cellStyle name="Normal 5 6 3 2 2" xfId="15674"/>
    <cellStyle name="Normal 5 6 3 3" xfId="7411"/>
    <cellStyle name="Normal 5 6 3 3 2" xfId="14093"/>
    <cellStyle name="Normal 5 6 3 4" xfId="12308"/>
    <cellStyle name="Normal 5 6 4" xfId="5825"/>
    <cellStyle name="Normal 5 6 4 2" xfId="9566"/>
    <cellStyle name="Normal 5 6 4 2 2" xfId="16068"/>
    <cellStyle name="Normal 5 6 4 3" xfId="7847"/>
    <cellStyle name="Normal 5 6 4 3 2" xfId="14487"/>
    <cellStyle name="Normal 5 6 4 4" xfId="12718"/>
    <cellStyle name="Normal 5 6 5" xfId="9993"/>
    <cellStyle name="Normal 5 6 5 2" xfId="16474"/>
    <cellStyle name="Normal 5 6 6" xfId="8324"/>
    <cellStyle name="Normal 5 6 6 2" xfId="14881"/>
    <cellStyle name="Normal 5 6 7" xfId="6605"/>
    <cellStyle name="Normal 5 6 7 2" xfId="13295"/>
    <cellStyle name="Normal 5 6 8" xfId="11505"/>
    <cellStyle name="Normal 5 7" xfId="4697"/>
    <cellStyle name="Normal 5 7 2" xfId="8442"/>
    <cellStyle name="Normal 5 7 2 2" xfId="14994"/>
    <cellStyle name="Normal 5 7 3" xfId="6723"/>
    <cellStyle name="Normal 5 7 3 2" xfId="13413"/>
    <cellStyle name="Normal 5 7 4" xfId="11627"/>
    <cellStyle name="Normal 5 8" xfId="5190"/>
    <cellStyle name="Normal 5 8 2" xfId="8933"/>
    <cellStyle name="Normal 5 8 2 2" xfId="15477"/>
    <cellStyle name="Normal 5 8 3" xfId="7214"/>
    <cellStyle name="Normal 5 8 3 2" xfId="13896"/>
    <cellStyle name="Normal 5 8 4" xfId="12111"/>
    <cellStyle name="Normal 5 9" xfId="5623"/>
    <cellStyle name="Normal 5 9 2" xfId="9364"/>
    <cellStyle name="Normal 5 9 2 2" xfId="15871"/>
    <cellStyle name="Normal 5 9 3" xfId="7645"/>
    <cellStyle name="Normal 5 9 3 2" xfId="14290"/>
    <cellStyle name="Normal 5 9 4" xfId="12516"/>
    <cellStyle name="Normal 50" xfId="4437"/>
    <cellStyle name="Normal 51" xfId="4443"/>
    <cellStyle name="Normal 52" xfId="4440"/>
    <cellStyle name="Normal 53" xfId="4442"/>
    <cellStyle name="Normal 54" xfId="4436"/>
    <cellStyle name="Normal 55" xfId="4439"/>
    <cellStyle name="Normal 56" xfId="4441"/>
    <cellStyle name="Normal 57" xfId="4444"/>
    <cellStyle name="Normal 58" xfId="4446"/>
    <cellStyle name="Normal 58 2" xfId="4998"/>
    <cellStyle name="Normal 58 2 2" xfId="8741"/>
    <cellStyle name="Normal 58 2 2 2" xfId="15289"/>
    <cellStyle name="Normal 58 2 3" xfId="7022"/>
    <cellStyle name="Normal 58 2 3 2" xfId="13708"/>
    <cellStyle name="Normal 58 2 4" xfId="11923"/>
    <cellStyle name="Normal 58 3" xfId="5274"/>
    <cellStyle name="Normal 58 3 2" xfId="9017"/>
    <cellStyle name="Normal 58 3 2 2" xfId="15561"/>
    <cellStyle name="Normal 58 3 3" xfId="7298"/>
    <cellStyle name="Normal 58 3 3 2" xfId="13980"/>
    <cellStyle name="Normal 58 3 4" xfId="12195"/>
    <cellStyle name="Normal 58 4" xfId="5712"/>
    <cellStyle name="Normal 58 4 2" xfId="9453"/>
    <cellStyle name="Normal 58 4 2 2" xfId="15955"/>
    <cellStyle name="Normal 58 4 3" xfId="7734"/>
    <cellStyle name="Normal 58 4 3 2" xfId="14374"/>
    <cellStyle name="Normal 58 4 4" xfId="12605"/>
    <cellStyle name="Normal 58 5" xfId="9994"/>
    <cellStyle name="Normal 58 5 2" xfId="16475"/>
    <cellStyle name="Normal 58 6" xfId="8211"/>
    <cellStyle name="Normal 58 6 2" xfId="14768"/>
    <cellStyle name="Normal 58 7" xfId="6492"/>
    <cellStyle name="Normal 58 7 2" xfId="13182"/>
    <cellStyle name="Normal 58 8" xfId="11391"/>
    <cellStyle name="Normal 59" xfId="4668"/>
    <cellStyle name="Normal 59 2" xfId="5072"/>
    <cellStyle name="Normal 59 2 2" xfId="8815"/>
    <cellStyle name="Normal 59 2 2 2" xfId="15363"/>
    <cellStyle name="Normal 59 2 3" xfId="7096"/>
    <cellStyle name="Normal 59 2 3 2" xfId="13782"/>
    <cellStyle name="Normal 59 2 4" xfId="11997"/>
    <cellStyle name="Normal 59 3" xfId="10068"/>
    <cellStyle name="Normal 59 3 2" xfId="16549"/>
    <cellStyle name="Normal 59 4" xfId="8415"/>
    <cellStyle name="Normal 59 4 2" xfId="14967"/>
    <cellStyle name="Normal 59 5" xfId="6696"/>
    <cellStyle name="Normal 59 5 2" xfId="13386"/>
    <cellStyle name="Normal 59 6" xfId="11600"/>
    <cellStyle name="Normal 6" xfId="4161"/>
    <cellStyle name="Normal 6 10" xfId="8086"/>
    <cellStyle name="Normal 6 10 2" xfId="14686"/>
    <cellStyle name="Normal 6 11" xfId="6359"/>
    <cellStyle name="Normal 6 11 2" xfId="13082"/>
    <cellStyle name="Normal 6 12" xfId="11301"/>
    <cellStyle name="Normal 6 2" xfId="4162"/>
    <cellStyle name="Normal 6 2 2" xfId="4563"/>
    <cellStyle name="Normal 6 2 2 2" xfId="4999"/>
    <cellStyle name="Normal 6 2 2 2 2" xfId="8742"/>
    <cellStyle name="Normal 6 2 2 2 2 2" xfId="15290"/>
    <cellStyle name="Normal 6 2 2 2 3" xfId="7023"/>
    <cellStyle name="Normal 6 2 2 2 3 2" xfId="13709"/>
    <cellStyle name="Normal 6 2 2 2 4" xfId="11924"/>
    <cellStyle name="Normal 6 2 2 3" xfId="5390"/>
    <cellStyle name="Normal 6 2 2 3 2" xfId="9133"/>
    <cellStyle name="Normal 6 2 2 3 2 2" xfId="15677"/>
    <cellStyle name="Normal 6 2 2 3 3" xfId="7414"/>
    <cellStyle name="Normal 6 2 2 3 3 2" xfId="14096"/>
    <cellStyle name="Normal 6 2 2 3 4" xfId="12311"/>
    <cellStyle name="Normal 6 2 2 4" xfId="5828"/>
    <cellStyle name="Normal 6 2 2 4 2" xfId="9569"/>
    <cellStyle name="Normal 6 2 2 4 2 2" xfId="16071"/>
    <cellStyle name="Normal 6 2 2 4 3" xfId="7850"/>
    <cellStyle name="Normal 6 2 2 4 3 2" xfId="14490"/>
    <cellStyle name="Normal 6 2 2 4 4" xfId="12721"/>
    <cellStyle name="Normal 6 2 2 5" xfId="9995"/>
    <cellStyle name="Normal 6 2 2 5 2" xfId="16476"/>
    <cellStyle name="Normal 6 2 2 6" xfId="8327"/>
    <cellStyle name="Normal 6 2 2 6 2" xfId="14884"/>
    <cellStyle name="Normal 6 2 2 7" xfId="6608"/>
    <cellStyle name="Normal 6 2 2 7 2" xfId="13298"/>
    <cellStyle name="Normal 6 2 2 8" xfId="11508"/>
    <cellStyle name="Normal 6 2 3" xfId="4810"/>
    <cellStyle name="Normal 6 2 3 2" xfId="8553"/>
    <cellStyle name="Normal 6 2 3 2 2" xfId="15105"/>
    <cellStyle name="Normal 6 2 3 3" xfId="6834"/>
    <cellStyle name="Normal 6 2 3 3 2" xfId="13524"/>
    <cellStyle name="Normal 6 2 3 4" xfId="11739"/>
    <cellStyle name="Normal 6 2 4" xfId="5193"/>
    <cellStyle name="Normal 6 2 4 2" xfId="8936"/>
    <cellStyle name="Normal 6 2 4 2 2" xfId="15480"/>
    <cellStyle name="Normal 6 2 4 3" xfId="7217"/>
    <cellStyle name="Normal 6 2 4 3 2" xfId="13899"/>
    <cellStyle name="Normal 6 2 4 4" xfId="12114"/>
    <cellStyle name="Normal 6 2 5" xfId="5626"/>
    <cellStyle name="Normal 6 2 5 2" xfId="9367"/>
    <cellStyle name="Normal 6 2 5 2 2" xfId="15874"/>
    <cellStyle name="Normal 6 2 5 3" xfId="7648"/>
    <cellStyle name="Normal 6 2 5 3 2" xfId="14293"/>
    <cellStyle name="Normal 6 2 5 4" xfId="12519"/>
    <cellStyle name="Normal 6 2 6" xfId="9800"/>
    <cellStyle name="Normal 6 2 6 2" xfId="16291"/>
    <cellStyle name="Normal 6 2 7" xfId="8087"/>
    <cellStyle name="Normal 6 2 7 2" xfId="14687"/>
    <cellStyle name="Normal 6 2 8" xfId="6360"/>
    <cellStyle name="Normal 6 2 8 2" xfId="13083"/>
    <cellStyle name="Normal 6 2 9" xfId="11302"/>
    <cellStyle name="Normal 6 3" xfId="4418"/>
    <cellStyle name="Normal 6 3 2" xfId="4628"/>
    <cellStyle name="Normal 6 3 2 2" xfId="5001"/>
    <cellStyle name="Normal 6 3 2 2 2" xfId="8744"/>
    <cellStyle name="Normal 6 3 2 2 2 2" xfId="15292"/>
    <cellStyle name="Normal 6 3 2 2 3" xfId="7025"/>
    <cellStyle name="Normal 6 3 2 2 3 2" xfId="13711"/>
    <cellStyle name="Normal 6 3 2 2 4" xfId="11926"/>
    <cellStyle name="Normal 6 3 2 3" xfId="5455"/>
    <cellStyle name="Normal 6 3 2 3 2" xfId="9198"/>
    <cellStyle name="Normal 6 3 2 3 2 2" xfId="15742"/>
    <cellStyle name="Normal 6 3 2 3 3" xfId="7479"/>
    <cellStyle name="Normal 6 3 2 3 3 2" xfId="14161"/>
    <cellStyle name="Normal 6 3 2 3 4" xfId="12376"/>
    <cellStyle name="Normal 6 3 2 4" xfId="5893"/>
    <cellStyle name="Normal 6 3 2 4 2" xfId="9634"/>
    <cellStyle name="Normal 6 3 2 4 2 2" xfId="16136"/>
    <cellStyle name="Normal 6 3 2 4 3" xfId="7915"/>
    <cellStyle name="Normal 6 3 2 4 3 2" xfId="14555"/>
    <cellStyle name="Normal 6 3 2 4 4" xfId="12786"/>
    <cellStyle name="Normal 6 3 2 5" xfId="9997"/>
    <cellStyle name="Normal 6 3 2 5 2" xfId="16478"/>
    <cellStyle name="Normal 6 3 2 6" xfId="8392"/>
    <cellStyle name="Normal 6 3 2 6 2" xfId="14949"/>
    <cellStyle name="Normal 6 3 2 7" xfId="6673"/>
    <cellStyle name="Normal 6 3 2 7 2" xfId="13363"/>
    <cellStyle name="Normal 6 3 2 8" xfId="11573"/>
    <cellStyle name="Normal 6 3 3" xfId="5000"/>
    <cellStyle name="Normal 6 3 3 2" xfId="8743"/>
    <cellStyle name="Normal 6 3 3 2 2" xfId="15291"/>
    <cellStyle name="Normal 6 3 3 3" xfId="7024"/>
    <cellStyle name="Normal 6 3 3 3 2" xfId="13710"/>
    <cellStyle name="Normal 6 3 3 4" xfId="11925"/>
    <cellStyle name="Normal 6 3 4" xfId="5258"/>
    <cellStyle name="Normal 6 3 4 2" xfId="9001"/>
    <cellStyle name="Normal 6 3 4 2 2" xfId="15545"/>
    <cellStyle name="Normal 6 3 4 3" xfId="7282"/>
    <cellStyle name="Normal 6 3 4 3 2" xfId="13964"/>
    <cellStyle name="Normal 6 3 4 4" xfId="12179"/>
    <cellStyle name="Normal 6 3 5" xfId="5696"/>
    <cellStyle name="Normal 6 3 5 2" xfId="9437"/>
    <cellStyle name="Normal 6 3 5 2 2" xfId="15939"/>
    <cellStyle name="Normal 6 3 5 3" xfId="7718"/>
    <cellStyle name="Normal 6 3 5 3 2" xfId="14358"/>
    <cellStyle name="Normal 6 3 5 4" xfId="12589"/>
    <cellStyle name="Normal 6 3 6" xfId="9996"/>
    <cellStyle name="Normal 6 3 6 2" xfId="16477"/>
    <cellStyle name="Normal 6 3 7" xfId="8195"/>
    <cellStyle name="Normal 6 3 7 2" xfId="14752"/>
    <cellStyle name="Normal 6 3 8" xfId="6476"/>
    <cellStyle name="Normal 6 3 8 2" xfId="13166"/>
    <cellStyle name="Normal 6 3 9" xfId="11374"/>
    <cellStyle name="Normal 6 4" xfId="4431"/>
    <cellStyle name="Normal 6 4 2" xfId="4640"/>
    <cellStyle name="Normal 6 4 2 2" xfId="5003"/>
    <cellStyle name="Normal 6 4 2 2 2" xfId="8746"/>
    <cellStyle name="Normal 6 4 2 2 2 2" xfId="15294"/>
    <cellStyle name="Normal 6 4 2 2 3" xfId="7027"/>
    <cellStyle name="Normal 6 4 2 2 3 2" xfId="13713"/>
    <cellStyle name="Normal 6 4 2 2 4" xfId="11928"/>
    <cellStyle name="Normal 6 4 2 3" xfId="5467"/>
    <cellStyle name="Normal 6 4 2 3 2" xfId="9210"/>
    <cellStyle name="Normal 6 4 2 3 2 2" xfId="15754"/>
    <cellStyle name="Normal 6 4 2 3 3" xfId="7491"/>
    <cellStyle name="Normal 6 4 2 3 3 2" xfId="14173"/>
    <cellStyle name="Normal 6 4 2 3 4" xfId="12388"/>
    <cellStyle name="Normal 6 4 2 4" xfId="5905"/>
    <cellStyle name="Normal 6 4 2 4 2" xfId="9646"/>
    <cellStyle name="Normal 6 4 2 4 2 2" xfId="16148"/>
    <cellStyle name="Normal 6 4 2 4 3" xfId="7927"/>
    <cellStyle name="Normal 6 4 2 4 3 2" xfId="14567"/>
    <cellStyle name="Normal 6 4 2 4 4" xfId="12798"/>
    <cellStyle name="Normal 6 4 2 5" xfId="9999"/>
    <cellStyle name="Normal 6 4 2 5 2" xfId="16480"/>
    <cellStyle name="Normal 6 4 2 6" xfId="8404"/>
    <cellStyle name="Normal 6 4 2 6 2" xfId="14961"/>
    <cellStyle name="Normal 6 4 2 7" xfId="6685"/>
    <cellStyle name="Normal 6 4 2 7 2" xfId="13375"/>
    <cellStyle name="Normal 6 4 2 8" xfId="11585"/>
    <cellStyle name="Normal 6 4 3" xfId="5002"/>
    <cellStyle name="Normal 6 4 3 2" xfId="8745"/>
    <cellStyle name="Normal 6 4 3 2 2" xfId="15293"/>
    <cellStyle name="Normal 6 4 3 3" xfId="7026"/>
    <cellStyle name="Normal 6 4 3 3 2" xfId="13712"/>
    <cellStyle name="Normal 6 4 3 4" xfId="11927"/>
    <cellStyle name="Normal 6 4 4" xfId="5270"/>
    <cellStyle name="Normal 6 4 4 2" xfId="9013"/>
    <cellStyle name="Normal 6 4 4 2 2" xfId="15557"/>
    <cellStyle name="Normal 6 4 4 3" xfId="7294"/>
    <cellStyle name="Normal 6 4 4 3 2" xfId="13976"/>
    <cellStyle name="Normal 6 4 4 4" xfId="12191"/>
    <cellStyle name="Normal 6 4 5" xfId="5708"/>
    <cellStyle name="Normal 6 4 5 2" xfId="9449"/>
    <cellStyle name="Normal 6 4 5 2 2" xfId="15951"/>
    <cellStyle name="Normal 6 4 5 3" xfId="7730"/>
    <cellStyle name="Normal 6 4 5 3 2" xfId="14370"/>
    <cellStyle name="Normal 6 4 5 4" xfId="12601"/>
    <cellStyle name="Normal 6 4 6" xfId="9998"/>
    <cellStyle name="Normal 6 4 6 2" xfId="16479"/>
    <cellStyle name="Normal 6 4 7" xfId="8207"/>
    <cellStyle name="Normal 6 4 7 2" xfId="14764"/>
    <cellStyle name="Normal 6 4 8" xfId="6488"/>
    <cellStyle name="Normal 6 4 8 2" xfId="13178"/>
    <cellStyle name="Normal 6 4 9" xfId="11386"/>
    <cellStyle name="Normal 6 5" xfId="4562"/>
    <cellStyle name="Normal 6 5 2" xfId="5004"/>
    <cellStyle name="Normal 6 5 2 2" xfId="8747"/>
    <cellStyle name="Normal 6 5 2 2 2" xfId="15295"/>
    <cellStyle name="Normal 6 5 2 3" xfId="7028"/>
    <cellStyle name="Normal 6 5 2 3 2" xfId="13714"/>
    <cellStyle name="Normal 6 5 2 4" xfId="11929"/>
    <cellStyle name="Normal 6 5 3" xfId="5389"/>
    <cellStyle name="Normal 6 5 3 2" xfId="9132"/>
    <cellStyle name="Normal 6 5 3 2 2" xfId="15676"/>
    <cellStyle name="Normal 6 5 3 3" xfId="7413"/>
    <cellStyle name="Normal 6 5 3 3 2" xfId="14095"/>
    <cellStyle name="Normal 6 5 3 4" xfId="12310"/>
    <cellStyle name="Normal 6 5 4" xfId="5827"/>
    <cellStyle name="Normal 6 5 4 2" xfId="9568"/>
    <cellStyle name="Normal 6 5 4 2 2" xfId="16070"/>
    <cellStyle name="Normal 6 5 4 3" xfId="7849"/>
    <cellStyle name="Normal 6 5 4 3 2" xfId="14489"/>
    <cellStyle name="Normal 6 5 4 4" xfId="12720"/>
    <cellStyle name="Normal 6 5 5" xfId="10000"/>
    <cellStyle name="Normal 6 5 5 2" xfId="16481"/>
    <cellStyle name="Normal 6 5 6" xfId="8326"/>
    <cellStyle name="Normal 6 5 6 2" xfId="14883"/>
    <cellStyle name="Normal 6 5 7" xfId="6607"/>
    <cellStyle name="Normal 6 5 7 2" xfId="13297"/>
    <cellStyle name="Normal 6 5 8" xfId="11507"/>
    <cellStyle name="Normal 6 6" xfId="4728"/>
    <cellStyle name="Normal 6 6 2" xfId="8472"/>
    <cellStyle name="Normal 6 6 2 2" xfId="15024"/>
    <cellStyle name="Normal 6 6 3" xfId="6753"/>
    <cellStyle name="Normal 6 6 3 2" xfId="13443"/>
    <cellStyle name="Normal 6 6 4" xfId="11657"/>
    <cellStyle name="Normal 6 7" xfId="5192"/>
    <cellStyle name="Normal 6 7 2" xfId="8935"/>
    <cellStyle name="Normal 6 7 2 2" xfId="15479"/>
    <cellStyle name="Normal 6 7 3" xfId="7216"/>
    <cellStyle name="Normal 6 7 3 2" xfId="13898"/>
    <cellStyle name="Normal 6 7 4" xfId="12113"/>
    <cellStyle name="Normal 6 8" xfId="5625"/>
    <cellStyle name="Normal 6 8 2" xfId="9366"/>
    <cellStyle name="Normal 6 8 2 2" xfId="15873"/>
    <cellStyle name="Normal 6 8 3" xfId="7647"/>
    <cellStyle name="Normal 6 8 3 2" xfId="14292"/>
    <cellStyle name="Normal 6 8 4" xfId="12518"/>
    <cellStyle name="Normal 6 9" xfId="9716"/>
    <cellStyle name="Normal 6 9 2" xfId="16209"/>
    <cellStyle name="Normal 60" xfId="4671"/>
    <cellStyle name="Normal 61" xfId="5511"/>
    <cellStyle name="Normal 62" xfId="10172"/>
    <cellStyle name="Normal 7" xfId="19"/>
    <cellStyle name="Normal 7 2" xfId="4163"/>
    <cellStyle name="Normal 7 3" xfId="4164"/>
    <cellStyle name="Normal 7 4" xfId="4433"/>
    <cellStyle name="Normal 7 4 2" xfId="4642"/>
    <cellStyle name="Normal 7 4 2 2" xfId="5006"/>
    <cellStyle name="Normal 7 4 2 2 2" xfId="8749"/>
    <cellStyle name="Normal 7 4 2 2 2 2" xfId="15297"/>
    <cellStyle name="Normal 7 4 2 2 3" xfId="7030"/>
    <cellStyle name="Normal 7 4 2 2 3 2" xfId="13716"/>
    <cellStyle name="Normal 7 4 2 2 4" xfId="11931"/>
    <cellStyle name="Normal 7 4 2 3" xfId="5469"/>
    <cellStyle name="Normal 7 4 2 3 2" xfId="9212"/>
    <cellStyle name="Normal 7 4 2 3 2 2" xfId="15756"/>
    <cellStyle name="Normal 7 4 2 3 3" xfId="7493"/>
    <cellStyle name="Normal 7 4 2 3 3 2" xfId="14175"/>
    <cellStyle name="Normal 7 4 2 3 4" xfId="12390"/>
    <cellStyle name="Normal 7 4 2 4" xfId="5907"/>
    <cellStyle name="Normal 7 4 2 4 2" xfId="9648"/>
    <cellStyle name="Normal 7 4 2 4 2 2" xfId="16150"/>
    <cellStyle name="Normal 7 4 2 4 3" xfId="7929"/>
    <cellStyle name="Normal 7 4 2 4 3 2" xfId="14569"/>
    <cellStyle name="Normal 7 4 2 4 4" xfId="12800"/>
    <cellStyle name="Normal 7 4 2 5" xfId="10002"/>
    <cellStyle name="Normal 7 4 2 5 2" xfId="16483"/>
    <cellStyle name="Normal 7 4 2 6" xfId="8406"/>
    <cellStyle name="Normal 7 4 2 6 2" xfId="14963"/>
    <cellStyle name="Normal 7 4 2 7" xfId="6687"/>
    <cellStyle name="Normal 7 4 2 7 2" xfId="13377"/>
    <cellStyle name="Normal 7 4 2 8" xfId="11587"/>
    <cellStyle name="Normal 7 4 3" xfId="5005"/>
    <cellStyle name="Normal 7 4 3 2" xfId="8748"/>
    <cellStyle name="Normal 7 4 3 2 2" xfId="15296"/>
    <cellStyle name="Normal 7 4 3 3" xfId="7029"/>
    <cellStyle name="Normal 7 4 3 3 2" xfId="13715"/>
    <cellStyle name="Normal 7 4 3 4" xfId="11930"/>
    <cellStyle name="Normal 7 4 4" xfId="5272"/>
    <cellStyle name="Normal 7 4 4 2" xfId="9015"/>
    <cellStyle name="Normal 7 4 4 2 2" xfId="15559"/>
    <cellStyle name="Normal 7 4 4 3" xfId="7296"/>
    <cellStyle name="Normal 7 4 4 3 2" xfId="13978"/>
    <cellStyle name="Normal 7 4 4 4" xfId="12193"/>
    <cellStyle name="Normal 7 4 5" xfId="5710"/>
    <cellStyle name="Normal 7 4 5 2" xfId="9451"/>
    <cellStyle name="Normal 7 4 5 2 2" xfId="15953"/>
    <cellStyle name="Normal 7 4 5 3" xfId="7732"/>
    <cellStyle name="Normal 7 4 5 3 2" xfId="14372"/>
    <cellStyle name="Normal 7 4 5 4" xfId="12603"/>
    <cellStyle name="Normal 7 4 6" xfId="10001"/>
    <cellStyle name="Normal 7 4 6 2" xfId="16482"/>
    <cellStyle name="Normal 7 4 7" xfId="8209"/>
    <cellStyle name="Normal 7 4 7 2" xfId="14766"/>
    <cellStyle name="Normal 7 4 8" xfId="6490"/>
    <cellStyle name="Normal 7 4 8 2" xfId="13180"/>
    <cellStyle name="Normal 7 4 9" xfId="11388"/>
    <cellStyle name="Normal 7 5 2" xfId="4165"/>
    <cellStyle name="Normal 77" xfId="4166"/>
    <cellStyle name="Normal 78" xfId="4167"/>
    <cellStyle name="Normal 78 10" xfId="11303"/>
    <cellStyle name="Normal 78 2" xfId="4168"/>
    <cellStyle name="Normal 78 2 2" xfId="4565"/>
    <cellStyle name="Normal 78 2 2 2" xfId="5007"/>
    <cellStyle name="Normal 78 2 2 2 2" xfId="8750"/>
    <cellStyle name="Normal 78 2 2 2 2 2" xfId="15298"/>
    <cellStyle name="Normal 78 2 2 2 3" xfId="7031"/>
    <cellStyle name="Normal 78 2 2 2 3 2" xfId="13717"/>
    <cellStyle name="Normal 78 2 2 2 4" xfId="11932"/>
    <cellStyle name="Normal 78 2 2 3" xfId="5392"/>
    <cellStyle name="Normal 78 2 2 3 2" xfId="9135"/>
    <cellStyle name="Normal 78 2 2 3 2 2" xfId="15679"/>
    <cellStyle name="Normal 78 2 2 3 3" xfId="7416"/>
    <cellStyle name="Normal 78 2 2 3 3 2" xfId="14098"/>
    <cellStyle name="Normal 78 2 2 3 4" xfId="12313"/>
    <cellStyle name="Normal 78 2 2 4" xfId="5830"/>
    <cellStyle name="Normal 78 2 2 4 2" xfId="9571"/>
    <cellStyle name="Normal 78 2 2 4 2 2" xfId="16073"/>
    <cellStyle name="Normal 78 2 2 4 3" xfId="7852"/>
    <cellStyle name="Normal 78 2 2 4 3 2" xfId="14492"/>
    <cellStyle name="Normal 78 2 2 4 4" xfId="12723"/>
    <cellStyle name="Normal 78 2 2 5" xfId="10003"/>
    <cellStyle name="Normal 78 2 2 5 2" xfId="16484"/>
    <cellStyle name="Normal 78 2 2 6" xfId="8329"/>
    <cellStyle name="Normal 78 2 2 6 2" xfId="14886"/>
    <cellStyle name="Normal 78 2 2 7" xfId="6610"/>
    <cellStyle name="Normal 78 2 2 7 2" xfId="13300"/>
    <cellStyle name="Normal 78 2 2 8" xfId="11510"/>
    <cellStyle name="Normal 78 2 3" xfId="4761"/>
    <cellStyle name="Normal 78 2 3 2" xfId="8504"/>
    <cellStyle name="Normal 78 2 3 2 2" xfId="15056"/>
    <cellStyle name="Normal 78 2 3 3" xfId="6785"/>
    <cellStyle name="Normal 78 2 3 3 2" xfId="13475"/>
    <cellStyle name="Normal 78 2 3 4" xfId="11690"/>
    <cellStyle name="Normal 78 2 4" xfId="5195"/>
    <cellStyle name="Normal 78 2 4 2" xfId="8938"/>
    <cellStyle name="Normal 78 2 4 2 2" xfId="15482"/>
    <cellStyle name="Normal 78 2 4 3" xfId="7219"/>
    <cellStyle name="Normal 78 2 4 3 2" xfId="13901"/>
    <cellStyle name="Normal 78 2 4 4" xfId="12116"/>
    <cellStyle name="Normal 78 2 5" xfId="5628"/>
    <cellStyle name="Normal 78 2 5 2" xfId="9369"/>
    <cellStyle name="Normal 78 2 5 2 2" xfId="15876"/>
    <cellStyle name="Normal 78 2 5 3" xfId="7650"/>
    <cellStyle name="Normal 78 2 5 3 2" xfId="14295"/>
    <cellStyle name="Normal 78 2 5 4" xfId="12521"/>
    <cellStyle name="Normal 78 2 6" xfId="9751"/>
    <cellStyle name="Normal 78 2 6 2" xfId="16242"/>
    <cellStyle name="Normal 78 2 7" xfId="8089"/>
    <cellStyle name="Normal 78 2 7 2" xfId="14689"/>
    <cellStyle name="Normal 78 2 8" xfId="6362"/>
    <cellStyle name="Normal 78 2 8 2" xfId="13085"/>
    <cellStyle name="Normal 78 2 9" xfId="11304"/>
    <cellStyle name="Normal 78 3" xfId="4564"/>
    <cellStyle name="Normal 78 3 2" xfId="5008"/>
    <cellStyle name="Normal 78 3 2 2" xfId="8751"/>
    <cellStyle name="Normal 78 3 2 2 2" xfId="15299"/>
    <cellStyle name="Normal 78 3 2 3" xfId="7032"/>
    <cellStyle name="Normal 78 3 2 3 2" xfId="13718"/>
    <cellStyle name="Normal 78 3 2 4" xfId="11933"/>
    <cellStyle name="Normal 78 3 3" xfId="5391"/>
    <cellStyle name="Normal 78 3 3 2" xfId="9134"/>
    <cellStyle name="Normal 78 3 3 2 2" xfId="15678"/>
    <cellStyle name="Normal 78 3 3 3" xfId="7415"/>
    <cellStyle name="Normal 78 3 3 3 2" xfId="14097"/>
    <cellStyle name="Normal 78 3 3 4" xfId="12312"/>
    <cellStyle name="Normal 78 3 4" xfId="5829"/>
    <cellStyle name="Normal 78 3 4 2" xfId="9570"/>
    <cellStyle name="Normal 78 3 4 2 2" xfId="16072"/>
    <cellStyle name="Normal 78 3 4 3" xfId="7851"/>
    <cellStyle name="Normal 78 3 4 3 2" xfId="14491"/>
    <cellStyle name="Normal 78 3 4 4" xfId="12722"/>
    <cellStyle name="Normal 78 3 5" xfId="10004"/>
    <cellStyle name="Normal 78 3 5 2" xfId="16485"/>
    <cellStyle name="Normal 78 3 6" xfId="8328"/>
    <cellStyle name="Normal 78 3 6 2" xfId="14885"/>
    <cellStyle name="Normal 78 3 7" xfId="6609"/>
    <cellStyle name="Normal 78 3 7 2" xfId="13299"/>
    <cellStyle name="Normal 78 3 8" xfId="11509"/>
    <cellStyle name="Normal 78 4" xfId="4699"/>
    <cellStyle name="Normal 78 4 2" xfId="8444"/>
    <cellStyle name="Normal 78 4 2 2" xfId="14996"/>
    <cellStyle name="Normal 78 4 3" xfId="6725"/>
    <cellStyle name="Normal 78 4 3 2" xfId="13415"/>
    <cellStyle name="Normal 78 4 4" xfId="11629"/>
    <cellStyle name="Normal 78 5" xfId="5194"/>
    <cellStyle name="Normal 78 5 2" xfId="8937"/>
    <cellStyle name="Normal 78 5 2 2" xfId="15481"/>
    <cellStyle name="Normal 78 5 3" xfId="7218"/>
    <cellStyle name="Normal 78 5 3 2" xfId="13900"/>
    <cellStyle name="Normal 78 5 4" xfId="12115"/>
    <cellStyle name="Normal 78 6" xfId="5627"/>
    <cellStyle name="Normal 78 6 2" xfId="9368"/>
    <cellStyle name="Normal 78 6 2 2" xfId="15875"/>
    <cellStyle name="Normal 78 6 3" xfId="7649"/>
    <cellStyle name="Normal 78 6 3 2" xfId="14294"/>
    <cellStyle name="Normal 78 6 4" xfId="12520"/>
    <cellStyle name="Normal 78 7" xfId="9681"/>
    <cellStyle name="Normal 78 7 2" xfId="16181"/>
    <cellStyle name="Normal 78 8" xfId="8088"/>
    <cellStyle name="Normal 78 8 2" xfId="14688"/>
    <cellStyle name="Normal 78 9" xfId="6361"/>
    <cellStyle name="Normal 78 9 2" xfId="13084"/>
    <cellStyle name="Normal 8" xfId="4169"/>
    <cellStyle name="Normal 84" xfId="4170"/>
    <cellStyle name="Normal 84 2" xfId="4566"/>
    <cellStyle name="Normal 84 2 2" xfId="5009"/>
    <cellStyle name="Normal 84 2 2 2" xfId="8752"/>
    <cellStyle name="Normal 84 2 2 2 2" xfId="15300"/>
    <cellStyle name="Normal 84 2 2 3" xfId="7033"/>
    <cellStyle name="Normal 84 2 2 3 2" xfId="13719"/>
    <cellStyle name="Normal 84 2 2 4" xfId="11934"/>
    <cellStyle name="Normal 84 2 3" xfId="5393"/>
    <cellStyle name="Normal 84 2 3 2" xfId="9136"/>
    <cellStyle name="Normal 84 2 3 2 2" xfId="15680"/>
    <cellStyle name="Normal 84 2 3 3" xfId="7417"/>
    <cellStyle name="Normal 84 2 3 3 2" xfId="14099"/>
    <cellStyle name="Normal 84 2 3 4" xfId="12314"/>
    <cellStyle name="Normal 84 2 4" xfId="5831"/>
    <cellStyle name="Normal 84 2 4 2" xfId="9572"/>
    <cellStyle name="Normal 84 2 4 2 2" xfId="16074"/>
    <cellStyle name="Normal 84 2 4 3" xfId="7853"/>
    <cellStyle name="Normal 84 2 4 3 2" xfId="14493"/>
    <cellStyle name="Normal 84 2 4 4" xfId="12724"/>
    <cellStyle name="Normal 84 2 5" xfId="10005"/>
    <cellStyle name="Normal 84 2 5 2" xfId="16486"/>
    <cellStyle name="Normal 84 2 6" xfId="8330"/>
    <cellStyle name="Normal 84 2 6 2" xfId="14887"/>
    <cellStyle name="Normal 84 2 7" xfId="6611"/>
    <cellStyle name="Normal 84 2 7 2" xfId="13301"/>
    <cellStyle name="Normal 84 2 8" xfId="11511"/>
    <cellStyle name="Normal 84 3" xfId="4844"/>
    <cellStyle name="Normal 84 3 2" xfId="8587"/>
    <cellStyle name="Normal 84 3 2 2" xfId="15135"/>
    <cellStyle name="Normal 84 3 3" xfId="6868"/>
    <cellStyle name="Normal 84 3 3 2" xfId="13554"/>
    <cellStyle name="Normal 84 3 4" xfId="11769"/>
    <cellStyle name="Normal 84 4" xfId="5196"/>
    <cellStyle name="Normal 84 4 2" xfId="8939"/>
    <cellStyle name="Normal 84 4 2 2" xfId="15483"/>
    <cellStyle name="Normal 84 4 3" xfId="7220"/>
    <cellStyle name="Normal 84 4 3 2" xfId="13902"/>
    <cellStyle name="Normal 84 4 4" xfId="12117"/>
    <cellStyle name="Normal 84 5" xfId="5629"/>
    <cellStyle name="Normal 84 5 2" xfId="9370"/>
    <cellStyle name="Normal 84 5 2 2" xfId="15877"/>
    <cellStyle name="Normal 84 5 3" xfId="7651"/>
    <cellStyle name="Normal 84 5 3 2" xfId="14296"/>
    <cellStyle name="Normal 84 5 4" xfId="12522"/>
    <cellStyle name="Normal 84 6" xfId="9835"/>
    <cellStyle name="Normal 84 6 2" xfId="16321"/>
    <cellStyle name="Normal 84 7" xfId="8090"/>
    <cellStyle name="Normal 84 7 2" xfId="14690"/>
    <cellStyle name="Normal 84 8" xfId="6363"/>
    <cellStyle name="Normal 84 8 2" xfId="13086"/>
    <cellStyle name="Normal 84 9" xfId="11305"/>
    <cellStyle name="Normal 86" xfId="4171"/>
    <cellStyle name="Normal 86 2" xfId="4567"/>
    <cellStyle name="Normal 86 2 2" xfId="5010"/>
    <cellStyle name="Normal 86 2 2 2" xfId="8753"/>
    <cellStyle name="Normal 86 2 2 2 2" xfId="15301"/>
    <cellStyle name="Normal 86 2 2 3" xfId="7034"/>
    <cellStyle name="Normal 86 2 2 3 2" xfId="13720"/>
    <cellStyle name="Normal 86 2 2 4" xfId="11935"/>
    <cellStyle name="Normal 86 2 3" xfId="5394"/>
    <cellStyle name="Normal 86 2 3 2" xfId="9137"/>
    <cellStyle name="Normal 86 2 3 2 2" xfId="15681"/>
    <cellStyle name="Normal 86 2 3 3" xfId="7418"/>
    <cellStyle name="Normal 86 2 3 3 2" xfId="14100"/>
    <cellStyle name="Normal 86 2 3 4" xfId="12315"/>
    <cellStyle name="Normal 86 2 4" xfId="5832"/>
    <cellStyle name="Normal 86 2 4 2" xfId="9573"/>
    <cellStyle name="Normal 86 2 4 2 2" xfId="16075"/>
    <cellStyle name="Normal 86 2 4 3" xfId="7854"/>
    <cellStyle name="Normal 86 2 4 3 2" xfId="14494"/>
    <cellStyle name="Normal 86 2 4 4" xfId="12725"/>
    <cellStyle name="Normal 86 2 5" xfId="10006"/>
    <cellStyle name="Normal 86 2 5 2" xfId="16487"/>
    <cellStyle name="Normal 86 2 6" xfId="8331"/>
    <cellStyle name="Normal 86 2 6 2" xfId="14888"/>
    <cellStyle name="Normal 86 2 7" xfId="6612"/>
    <cellStyle name="Normal 86 2 7 2" xfId="13302"/>
    <cellStyle name="Normal 86 2 8" xfId="11512"/>
    <cellStyle name="Normal 86 3" xfId="4845"/>
    <cellStyle name="Normal 86 3 2" xfId="8588"/>
    <cellStyle name="Normal 86 3 2 2" xfId="15136"/>
    <cellStyle name="Normal 86 3 3" xfId="6869"/>
    <cellStyle name="Normal 86 3 3 2" xfId="13555"/>
    <cellStyle name="Normal 86 3 4" xfId="11770"/>
    <cellStyle name="Normal 86 4" xfId="5197"/>
    <cellStyle name="Normal 86 4 2" xfId="8940"/>
    <cellStyle name="Normal 86 4 2 2" xfId="15484"/>
    <cellStyle name="Normal 86 4 3" xfId="7221"/>
    <cellStyle name="Normal 86 4 3 2" xfId="13903"/>
    <cellStyle name="Normal 86 4 4" xfId="12118"/>
    <cellStyle name="Normal 86 5" xfId="5630"/>
    <cellStyle name="Normal 86 5 2" xfId="9371"/>
    <cellStyle name="Normal 86 5 2 2" xfId="15878"/>
    <cellStyle name="Normal 86 5 3" xfId="7652"/>
    <cellStyle name="Normal 86 5 3 2" xfId="14297"/>
    <cellStyle name="Normal 86 5 4" xfId="12523"/>
    <cellStyle name="Normal 86 6" xfId="9836"/>
    <cellStyle name="Normal 86 6 2" xfId="16322"/>
    <cellStyle name="Normal 86 7" xfId="8091"/>
    <cellStyle name="Normal 86 7 2" xfId="14691"/>
    <cellStyle name="Normal 86 8" xfId="6364"/>
    <cellStyle name="Normal 86 8 2" xfId="13087"/>
    <cellStyle name="Normal 86 9" xfId="11306"/>
    <cellStyle name="Normal 9" xfId="4172"/>
    <cellStyle name="Normal 9 10" xfId="4173"/>
    <cellStyle name="Normal 9 11" xfId="11307"/>
    <cellStyle name="Normal 9 2" xfId="4174"/>
    <cellStyle name="Normal 9 2 10" xfId="11308"/>
    <cellStyle name="Normal 9 2 2" xfId="4175"/>
    <cellStyle name="Normal 9 2 3" xfId="4569"/>
    <cellStyle name="Normal 9 2 3 2" xfId="5011"/>
    <cellStyle name="Normal 9 2 3 2 2" xfId="8754"/>
    <cellStyle name="Normal 9 2 3 2 2 2" xfId="15302"/>
    <cellStyle name="Normal 9 2 3 2 3" xfId="7035"/>
    <cellStyle name="Normal 9 2 3 2 3 2" xfId="13721"/>
    <cellStyle name="Normal 9 2 3 2 4" xfId="11936"/>
    <cellStyle name="Normal 9 2 3 3" xfId="5396"/>
    <cellStyle name="Normal 9 2 3 3 2" xfId="9139"/>
    <cellStyle name="Normal 9 2 3 3 2 2" xfId="15683"/>
    <cellStyle name="Normal 9 2 3 3 3" xfId="7420"/>
    <cellStyle name="Normal 9 2 3 3 3 2" xfId="14102"/>
    <cellStyle name="Normal 9 2 3 3 4" xfId="12317"/>
    <cellStyle name="Normal 9 2 3 4" xfId="5834"/>
    <cellStyle name="Normal 9 2 3 4 2" xfId="9575"/>
    <cellStyle name="Normal 9 2 3 4 2 2" xfId="16077"/>
    <cellStyle name="Normal 9 2 3 4 3" xfId="7856"/>
    <cellStyle name="Normal 9 2 3 4 3 2" xfId="14496"/>
    <cellStyle name="Normal 9 2 3 4 4" xfId="12727"/>
    <cellStyle name="Normal 9 2 3 5" xfId="10007"/>
    <cellStyle name="Normal 9 2 3 5 2" xfId="16488"/>
    <cellStyle name="Normal 9 2 3 6" xfId="8333"/>
    <cellStyle name="Normal 9 2 3 6 2" xfId="14890"/>
    <cellStyle name="Normal 9 2 3 7" xfId="6614"/>
    <cellStyle name="Normal 9 2 3 7 2" xfId="13304"/>
    <cellStyle name="Normal 9 2 3 8" xfId="11514"/>
    <cellStyle name="Normal 9 2 4" xfId="4814"/>
    <cellStyle name="Normal 9 2 4 2" xfId="8557"/>
    <cellStyle name="Normal 9 2 4 2 2" xfId="15109"/>
    <cellStyle name="Normal 9 2 4 3" xfId="6838"/>
    <cellStyle name="Normal 9 2 4 3 2" xfId="13528"/>
    <cellStyle name="Normal 9 2 4 4" xfId="11743"/>
    <cellStyle name="Normal 9 2 5" xfId="5199"/>
    <cellStyle name="Normal 9 2 5 2" xfId="8942"/>
    <cellStyle name="Normal 9 2 5 2 2" xfId="15486"/>
    <cellStyle name="Normal 9 2 5 3" xfId="7223"/>
    <cellStyle name="Normal 9 2 5 3 2" xfId="13905"/>
    <cellStyle name="Normal 9 2 5 4" xfId="12120"/>
    <cellStyle name="Normal 9 2 6" xfId="5632"/>
    <cellStyle name="Normal 9 2 6 2" xfId="9373"/>
    <cellStyle name="Normal 9 2 6 2 2" xfId="15880"/>
    <cellStyle name="Normal 9 2 6 3" xfId="7654"/>
    <cellStyle name="Normal 9 2 6 3 2" xfId="14299"/>
    <cellStyle name="Normal 9 2 6 4" xfId="12525"/>
    <cellStyle name="Normal 9 2 7" xfId="9804"/>
    <cellStyle name="Normal 9 2 7 2" xfId="16295"/>
    <cellStyle name="Normal 9 2 8" xfId="8093"/>
    <cellStyle name="Normal 9 2 8 2" xfId="14693"/>
    <cellStyle name="Normal 9 2 9" xfId="6366"/>
    <cellStyle name="Normal 9 2 9 2" xfId="13089"/>
    <cellStyle name="Normal 9 3" xfId="4568"/>
    <cellStyle name="Normal 9 3 2" xfId="5012"/>
    <cellStyle name="Normal 9 3 2 2" xfId="8755"/>
    <cellStyle name="Normal 9 3 2 2 2" xfId="15303"/>
    <cellStyle name="Normal 9 3 2 3" xfId="7036"/>
    <cellStyle name="Normal 9 3 2 3 2" xfId="13722"/>
    <cellStyle name="Normal 9 3 2 4" xfId="11937"/>
    <cellStyle name="Normal 9 3 3" xfId="5395"/>
    <cellStyle name="Normal 9 3 3 2" xfId="9138"/>
    <cellStyle name="Normal 9 3 3 2 2" xfId="15682"/>
    <cellStyle name="Normal 9 3 3 3" xfId="7419"/>
    <cellStyle name="Normal 9 3 3 3 2" xfId="14101"/>
    <cellStyle name="Normal 9 3 3 4" xfId="12316"/>
    <cellStyle name="Normal 9 3 4" xfId="5833"/>
    <cellStyle name="Normal 9 3 4 2" xfId="9574"/>
    <cellStyle name="Normal 9 3 4 2 2" xfId="16076"/>
    <cellStyle name="Normal 9 3 4 3" xfId="7855"/>
    <cellStyle name="Normal 9 3 4 3 2" xfId="14495"/>
    <cellStyle name="Normal 9 3 4 4" xfId="12726"/>
    <cellStyle name="Normal 9 3 5" xfId="10008"/>
    <cellStyle name="Normal 9 3 5 2" xfId="16489"/>
    <cellStyle name="Normal 9 3 6" xfId="8332"/>
    <cellStyle name="Normal 9 3 6 2" xfId="14889"/>
    <cellStyle name="Normal 9 3 7" xfId="6613"/>
    <cellStyle name="Normal 9 3 7 2" xfId="13303"/>
    <cellStyle name="Normal 9 3 8" xfId="11513"/>
    <cellStyle name="Normal 9 4" xfId="4732"/>
    <cellStyle name="Normal 9 4 2" xfId="8476"/>
    <cellStyle name="Normal 9 4 2 2" xfId="15028"/>
    <cellStyle name="Normal 9 4 3" xfId="6757"/>
    <cellStyle name="Normal 9 4 3 2" xfId="13447"/>
    <cellStyle name="Normal 9 4 4" xfId="11661"/>
    <cellStyle name="Normal 9 5" xfId="5198"/>
    <cellStyle name="Normal 9 5 2" xfId="8941"/>
    <cellStyle name="Normal 9 5 2 2" xfId="15485"/>
    <cellStyle name="Normal 9 5 3" xfId="7222"/>
    <cellStyle name="Normal 9 5 3 2" xfId="13904"/>
    <cellStyle name="Normal 9 5 4" xfId="12119"/>
    <cellStyle name="Normal 9 6" xfId="5631"/>
    <cellStyle name="Normal 9 6 2" xfId="9372"/>
    <cellStyle name="Normal 9 6 2 2" xfId="15879"/>
    <cellStyle name="Normal 9 6 3" xfId="7653"/>
    <cellStyle name="Normal 9 6 3 2" xfId="14298"/>
    <cellStyle name="Normal 9 6 4" xfId="12524"/>
    <cellStyle name="Normal 9 7" xfId="9720"/>
    <cellStyle name="Normal 9 7 2" xfId="16213"/>
    <cellStyle name="Normal 9 8" xfId="8092"/>
    <cellStyle name="Normal 9 8 2" xfId="14692"/>
    <cellStyle name="Normal 9 9" xfId="6365"/>
    <cellStyle name="Normal 9 9 2" xfId="13088"/>
    <cellStyle name="Normal U" xfId="4176"/>
    <cellStyle name="Normale_Foglio1" xfId="4177"/>
    <cellStyle name="Num_Inputs" xfId="4178"/>
    <cellStyle name="Num1_Inputs" xfId="4179"/>
    <cellStyle name="Num3_Input" xfId="4180"/>
    <cellStyle name="Number" xfId="4181"/>
    <cellStyle name="Numeric point input" xfId="4182"/>
    <cellStyle name="OLELink" xfId="4183"/>
    <cellStyle name="Operis comma" xfId="4184"/>
    <cellStyle name="Operis date" xfId="4185"/>
    <cellStyle name="Operis documentation item" xfId="4186"/>
    <cellStyle name="Operis documentation item 2" xfId="4187"/>
    <cellStyle name="Operis heading" xfId="4188"/>
    <cellStyle name="Operis heading 1" xfId="4189"/>
    <cellStyle name="Operis heading 2" xfId="4190"/>
    <cellStyle name="Operis Heading Centered" xfId="4191"/>
    <cellStyle name="Operis million" xfId="4192"/>
    <cellStyle name="Operis million currency" xfId="4193"/>
    <cellStyle name="Operis million, 3dp" xfId="4194"/>
    <cellStyle name="Operis money" xfId="4195"/>
    <cellStyle name="Operis names" xfId="4196"/>
    <cellStyle name="Operis output" xfId="4197"/>
    <cellStyle name="Operis Percent" xfId="4198"/>
    <cellStyle name="Operis Proforma" xfId="4199"/>
    <cellStyle name="Operis ratio" xfId="4200"/>
    <cellStyle name="Operis ratio 2" xfId="4201"/>
    <cellStyle name="Operis ratio 2 2" xfId="5103"/>
    <cellStyle name="Operis ratio 2 2 2" xfId="8846"/>
    <cellStyle name="Operis ratio 2 2 2 2" xfId="6221"/>
    <cellStyle name="Operis ratio 2 2 2 2 2" xfId="12946"/>
    <cellStyle name="Operis ratio 2 2 3" xfId="7127"/>
    <cellStyle name="Operis ratio 2 3" xfId="8095"/>
    <cellStyle name="Operis ratio 2 3 2" xfId="6166"/>
    <cellStyle name="Operis ratio 2 3 2 2" xfId="12891"/>
    <cellStyle name="Operis ratio 2 4" xfId="6373"/>
    <cellStyle name="Operis ratio 3" xfId="5104"/>
    <cellStyle name="Operis ratio 3 2" xfId="8847"/>
    <cellStyle name="Operis ratio 3 2 2" xfId="6222"/>
    <cellStyle name="Operis ratio 3 2 2 2" xfId="12947"/>
    <cellStyle name="Operis ratio 3 3" xfId="7128"/>
    <cellStyle name="Operis ratio 4" xfId="8094"/>
    <cellStyle name="Operis ratio 4 2" xfId="6165"/>
    <cellStyle name="Operis ratio 4 2 2" xfId="12890"/>
    <cellStyle name="Operis ratio 5" xfId="6372"/>
    <cellStyle name="OperisAuditSections" xfId="4202"/>
    <cellStyle name="OperisBase" xfId="4203"/>
    <cellStyle name="OperisDateMonthly" xfId="4204"/>
    <cellStyle name="OperisDatePeriodic" xfId="4205"/>
    <cellStyle name="OperisGroups" xfId="4206"/>
    <cellStyle name="OperisMoney" xfId="4207"/>
    <cellStyle name="OperisNames" xfId="4208"/>
    <cellStyle name="OperisOutputTitles" xfId="4209"/>
    <cellStyle name="OperisOutputTotals" xfId="4210"/>
    <cellStyle name="OperisPercent" xfId="4211"/>
    <cellStyle name="OperisRatio" xfId="4212"/>
    <cellStyle name="Out%2" xfId="4213"/>
    <cellStyle name="Out0" xfId="4214"/>
    <cellStyle name="Out1" xfId="4215"/>
    <cellStyle name="Out2" xfId="4216"/>
    <cellStyle name="OutputCurrency" xfId="4217"/>
    <cellStyle name="OutputText" xfId="4218"/>
    <cellStyle name="overheads" xfId="4219"/>
    <cellStyle name="Percent" xfId="4" builtinId="5"/>
    <cellStyle name="Percent (2dp)" xfId="4220"/>
    <cellStyle name="Percent [0%]" xfId="4221"/>
    <cellStyle name="Percent [0.00%]" xfId="4222"/>
    <cellStyle name="Percent [2]" xfId="4223"/>
    <cellStyle name="Percent [2] U" xfId="4224"/>
    <cellStyle name="Percent 10" xfId="4225"/>
    <cellStyle name="Percent 10 10" xfId="11309"/>
    <cellStyle name="Percent 10 2" xfId="4226"/>
    <cellStyle name="Percent 10 2 2" xfId="4571"/>
    <cellStyle name="Percent 10 2 2 2" xfId="5013"/>
    <cellStyle name="Percent 10 2 2 2 2" xfId="8756"/>
    <cellStyle name="Percent 10 2 2 2 2 2" xfId="15304"/>
    <cellStyle name="Percent 10 2 2 2 3" xfId="7037"/>
    <cellStyle name="Percent 10 2 2 2 3 2" xfId="13723"/>
    <cellStyle name="Percent 10 2 2 2 4" xfId="11938"/>
    <cellStyle name="Percent 10 2 2 3" xfId="5398"/>
    <cellStyle name="Percent 10 2 2 3 2" xfId="9141"/>
    <cellStyle name="Percent 10 2 2 3 2 2" xfId="15685"/>
    <cellStyle name="Percent 10 2 2 3 3" xfId="7422"/>
    <cellStyle name="Percent 10 2 2 3 3 2" xfId="14104"/>
    <cellStyle name="Percent 10 2 2 3 4" xfId="12319"/>
    <cellStyle name="Percent 10 2 2 4" xfId="5836"/>
    <cellStyle name="Percent 10 2 2 4 2" xfId="9577"/>
    <cellStyle name="Percent 10 2 2 4 2 2" xfId="16079"/>
    <cellStyle name="Percent 10 2 2 4 3" xfId="7858"/>
    <cellStyle name="Percent 10 2 2 4 3 2" xfId="14498"/>
    <cellStyle name="Percent 10 2 2 4 4" xfId="12729"/>
    <cellStyle name="Percent 10 2 2 5" xfId="10009"/>
    <cellStyle name="Percent 10 2 2 5 2" xfId="16490"/>
    <cellStyle name="Percent 10 2 2 6" xfId="8335"/>
    <cellStyle name="Percent 10 2 2 6 2" xfId="14892"/>
    <cellStyle name="Percent 10 2 2 7" xfId="6616"/>
    <cellStyle name="Percent 10 2 2 7 2" xfId="13306"/>
    <cellStyle name="Percent 10 2 2 8" xfId="11516"/>
    <cellStyle name="Percent 10 2 3" xfId="4791"/>
    <cellStyle name="Percent 10 2 3 2" xfId="8534"/>
    <cellStyle name="Percent 10 2 3 2 2" xfId="15086"/>
    <cellStyle name="Percent 10 2 3 3" xfId="6815"/>
    <cellStyle name="Percent 10 2 3 3 2" xfId="13505"/>
    <cellStyle name="Percent 10 2 3 4" xfId="11720"/>
    <cellStyle name="Percent 10 2 4" xfId="5201"/>
    <cellStyle name="Percent 10 2 4 2" xfId="8944"/>
    <cellStyle name="Percent 10 2 4 2 2" xfId="15488"/>
    <cellStyle name="Percent 10 2 4 3" xfId="7225"/>
    <cellStyle name="Percent 10 2 4 3 2" xfId="13907"/>
    <cellStyle name="Percent 10 2 4 4" xfId="12122"/>
    <cellStyle name="Percent 10 2 5" xfId="5634"/>
    <cellStyle name="Percent 10 2 5 2" xfId="9375"/>
    <cellStyle name="Percent 10 2 5 2 2" xfId="15882"/>
    <cellStyle name="Percent 10 2 5 3" xfId="7656"/>
    <cellStyle name="Percent 10 2 5 3 2" xfId="14301"/>
    <cellStyle name="Percent 10 2 5 4" xfId="12527"/>
    <cellStyle name="Percent 10 2 6" xfId="9781"/>
    <cellStyle name="Percent 10 2 6 2" xfId="16272"/>
    <cellStyle name="Percent 10 2 7" xfId="8097"/>
    <cellStyle name="Percent 10 2 7 2" xfId="14695"/>
    <cellStyle name="Percent 10 2 8" xfId="6379"/>
    <cellStyle name="Percent 10 2 8 2" xfId="13100"/>
    <cellStyle name="Percent 10 2 9" xfId="11310"/>
    <cellStyle name="Percent 10 3" xfId="4570"/>
    <cellStyle name="Percent 10 3 2" xfId="5014"/>
    <cellStyle name="Percent 10 3 2 2" xfId="8757"/>
    <cellStyle name="Percent 10 3 2 2 2" xfId="15305"/>
    <cellStyle name="Percent 10 3 2 3" xfId="7038"/>
    <cellStyle name="Percent 10 3 2 3 2" xfId="13724"/>
    <cellStyle name="Percent 10 3 2 4" xfId="11939"/>
    <cellStyle name="Percent 10 3 3" xfId="5397"/>
    <cellStyle name="Percent 10 3 3 2" xfId="9140"/>
    <cellStyle name="Percent 10 3 3 2 2" xfId="15684"/>
    <cellStyle name="Percent 10 3 3 3" xfId="7421"/>
    <cellStyle name="Percent 10 3 3 3 2" xfId="14103"/>
    <cellStyle name="Percent 10 3 3 4" xfId="12318"/>
    <cellStyle name="Percent 10 3 4" xfId="5835"/>
    <cellStyle name="Percent 10 3 4 2" xfId="9576"/>
    <cellStyle name="Percent 10 3 4 2 2" xfId="16078"/>
    <cellStyle name="Percent 10 3 4 3" xfId="7857"/>
    <cellStyle name="Percent 10 3 4 3 2" xfId="14497"/>
    <cellStyle name="Percent 10 3 4 4" xfId="12728"/>
    <cellStyle name="Percent 10 3 5" xfId="10010"/>
    <cellStyle name="Percent 10 3 5 2" xfId="16491"/>
    <cellStyle name="Percent 10 3 6" xfId="8334"/>
    <cellStyle name="Percent 10 3 6 2" xfId="14891"/>
    <cellStyle name="Percent 10 3 7" xfId="6615"/>
    <cellStyle name="Percent 10 3 7 2" xfId="13305"/>
    <cellStyle name="Percent 10 3 8" xfId="11515"/>
    <cellStyle name="Percent 10 4" xfId="4709"/>
    <cellStyle name="Percent 10 4 2" xfId="8453"/>
    <cellStyle name="Percent 10 4 2 2" xfId="15005"/>
    <cellStyle name="Percent 10 4 3" xfId="6734"/>
    <cellStyle name="Percent 10 4 3 2" xfId="13424"/>
    <cellStyle name="Percent 10 4 4" xfId="11638"/>
    <cellStyle name="Percent 10 5" xfId="5200"/>
    <cellStyle name="Percent 10 5 2" xfId="8943"/>
    <cellStyle name="Percent 10 5 2 2" xfId="15487"/>
    <cellStyle name="Percent 10 5 3" xfId="7224"/>
    <cellStyle name="Percent 10 5 3 2" xfId="13906"/>
    <cellStyle name="Percent 10 5 4" xfId="12121"/>
    <cellStyle name="Percent 10 6" xfId="5633"/>
    <cellStyle name="Percent 10 6 2" xfId="9374"/>
    <cellStyle name="Percent 10 6 2 2" xfId="15881"/>
    <cellStyle name="Percent 10 6 3" xfId="7655"/>
    <cellStyle name="Percent 10 6 3 2" xfId="14300"/>
    <cellStyle name="Percent 10 6 4" xfId="12526"/>
    <cellStyle name="Percent 10 7" xfId="9697"/>
    <cellStyle name="Percent 10 7 2" xfId="16190"/>
    <cellStyle name="Percent 10 8" xfId="8096"/>
    <cellStyle name="Percent 10 8 2" xfId="14694"/>
    <cellStyle name="Percent 10 9" xfId="6378"/>
    <cellStyle name="Percent 10 9 2" xfId="13099"/>
    <cellStyle name="Percent 11" xfId="4227"/>
    <cellStyle name="Percent 11 10" xfId="11311"/>
    <cellStyle name="Percent 11 2" xfId="4228"/>
    <cellStyle name="Percent 11 2 2" xfId="4573"/>
    <cellStyle name="Percent 11 2 2 2" xfId="5015"/>
    <cellStyle name="Percent 11 2 2 2 2" xfId="8758"/>
    <cellStyle name="Percent 11 2 2 2 2 2" xfId="15306"/>
    <cellStyle name="Percent 11 2 2 2 3" xfId="7039"/>
    <cellStyle name="Percent 11 2 2 2 3 2" xfId="13725"/>
    <cellStyle name="Percent 11 2 2 2 4" xfId="11940"/>
    <cellStyle name="Percent 11 2 2 3" xfId="5400"/>
    <cellStyle name="Percent 11 2 2 3 2" xfId="9143"/>
    <cellStyle name="Percent 11 2 2 3 2 2" xfId="15687"/>
    <cellStyle name="Percent 11 2 2 3 3" xfId="7424"/>
    <cellStyle name="Percent 11 2 2 3 3 2" xfId="14106"/>
    <cellStyle name="Percent 11 2 2 3 4" xfId="12321"/>
    <cellStyle name="Percent 11 2 2 4" xfId="5838"/>
    <cellStyle name="Percent 11 2 2 4 2" xfId="9579"/>
    <cellStyle name="Percent 11 2 2 4 2 2" xfId="16081"/>
    <cellStyle name="Percent 11 2 2 4 3" xfId="7860"/>
    <cellStyle name="Percent 11 2 2 4 3 2" xfId="14500"/>
    <cellStyle name="Percent 11 2 2 4 4" xfId="12731"/>
    <cellStyle name="Percent 11 2 2 5" xfId="10011"/>
    <cellStyle name="Percent 11 2 2 5 2" xfId="16492"/>
    <cellStyle name="Percent 11 2 2 6" xfId="8337"/>
    <cellStyle name="Percent 11 2 2 6 2" xfId="14894"/>
    <cellStyle name="Percent 11 2 2 7" xfId="6618"/>
    <cellStyle name="Percent 11 2 2 7 2" xfId="13308"/>
    <cellStyle name="Percent 11 2 2 8" xfId="11518"/>
    <cellStyle name="Percent 11 2 3" xfId="4794"/>
    <cellStyle name="Percent 11 2 3 2" xfId="8537"/>
    <cellStyle name="Percent 11 2 3 2 2" xfId="15089"/>
    <cellStyle name="Percent 11 2 3 3" xfId="6818"/>
    <cellStyle name="Percent 11 2 3 3 2" xfId="13508"/>
    <cellStyle name="Percent 11 2 3 4" xfId="11723"/>
    <cellStyle name="Percent 11 2 4" xfId="5203"/>
    <cellStyle name="Percent 11 2 4 2" xfId="8946"/>
    <cellStyle name="Percent 11 2 4 2 2" xfId="15490"/>
    <cellStyle name="Percent 11 2 4 3" xfId="7227"/>
    <cellStyle name="Percent 11 2 4 3 2" xfId="13909"/>
    <cellStyle name="Percent 11 2 4 4" xfId="12124"/>
    <cellStyle name="Percent 11 2 5" xfId="5636"/>
    <cellStyle name="Percent 11 2 5 2" xfId="9377"/>
    <cellStyle name="Percent 11 2 5 2 2" xfId="15884"/>
    <cellStyle name="Percent 11 2 5 3" xfId="7658"/>
    <cellStyle name="Percent 11 2 5 3 2" xfId="14303"/>
    <cellStyle name="Percent 11 2 5 4" xfId="12529"/>
    <cellStyle name="Percent 11 2 6" xfId="9784"/>
    <cellStyle name="Percent 11 2 6 2" xfId="16275"/>
    <cellStyle name="Percent 11 2 7" xfId="8099"/>
    <cellStyle name="Percent 11 2 7 2" xfId="14697"/>
    <cellStyle name="Percent 11 2 8" xfId="6381"/>
    <cellStyle name="Percent 11 2 8 2" xfId="13102"/>
    <cellStyle name="Percent 11 2 9" xfId="11312"/>
    <cellStyle name="Percent 11 3" xfId="4572"/>
    <cellStyle name="Percent 11 3 2" xfId="5016"/>
    <cellStyle name="Percent 11 3 2 2" xfId="8759"/>
    <cellStyle name="Percent 11 3 2 2 2" xfId="15307"/>
    <cellStyle name="Percent 11 3 2 3" xfId="7040"/>
    <cellStyle name="Percent 11 3 2 3 2" xfId="13726"/>
    <cellStyle name="Percent 11 3 2 4" xfId="11941"/>
    <cellStyle name="Percent 11 3 3" xfId="5399"/>
    <cellStyle name="Percent 11 3 3 2" xfId="9142"/>
    <cellStyle name="Percent 11 3 3 2 2" xfId="15686"/>
    <cellStyle name="Percent 11 3 3 3" xfId="7423"/>
    <cellStyle name="Percent 11 3 3 3 2" xfId="14105"/>
    <cellStyle name="Percent 11 3 3 4" xfId="12320"/>
    <cellStyle name="Percent 11 3 4" xfId="5837"/>
    <cellStyle name="Percent 11 3 4 2" xfId="9578"/>
    <cellStyle name="Percent 11 3 4 2 2" xfId="16080"/>
    <cellStyle name="Percent 11 3 4 3" xfId="7859"/>
    <cellStyle name="Percent 11 3 4 3 2" xfId="14499"/>
    <cellStyle name="Percent 11 3 4 4" xfId="12730"/>
    <cellStyle name="Percent 11 3 5" xfId="10012"/>
    <cellStyle name="Percent 11 3 5 2" xfId="16493"/>
    <cellStyle name="Percent 11 3 6" xfId="8336"/>
    <cellStyle name="Percent 11 3 6 2" xfId="14893"/>
    <cellStyle name="Percent 11 3 7" xfId="6617"/>
    <cellStyle name="Percent 11 3 7 2" xfId="13307"/>
    <cellStyle name="Percent 11 3 8" xfId="11517"/>
    <cellStyle name="Percent 11 4" xfId="4712"/>
    <cellStyle name="Percent 11 4 2" xfId="8456"/>
    <cellStyle name="Percent 11 4 2 2" xfId="15008"/>
    <cellStyle name="Percent 11 4 3" xfId="6737"/>
    <cellStyle name="Percent 11 4 3 2" xfId="13427"/>
    <cellStyle name="Percent 11 4 4" xfId="11641"/>
    <cellStyle name="Percent 11 5" xfId="5202"/>
    <cellStyle name="Percent 11 5 2" xfId="8945"/>
    <cellStyle name="Percent 11 5 2 2" xfId="15489"/>
    <cellStyle name="Percent 11 5 3" xfId="7226"/>
    <cellStyle name="Percent 11 5 3 2" xfId="13908"/>
    <cellStyle name="Percent 11 5 4" xfId="12123"/>
    <cellStyle name="Percent 11 6" xfId="5635"/>
    <cellStyle name="Percent 11 6 2" xfId="9376"/>
    <cellStyle name="Percent 11 6 2 2" xfId="15883"/>
    <cellStyle name="Percent 11 6 3" xfId="7657"/>
    <cellStyle name="Percent 11 6 3 2" xfId="14302"/>
    <cellStyle name="Percent 11 6 4" xfId="12528"/>
    <cellStyle name="Percent 11 7" xfId="9700"/>
    <cellStyle name="Percent 11 7 2" xfId="16193"/>
    <cellStyle name="Percent 11 8" xfId="8098"/>
    <cellStyle name="Percent 11 8 2" xfId="14696"/>
    <cellStyle name="Percent 11 9" xfId="6380"/>
    <cellStyle name="Percent 11 9 2" xfId="13101"/>
    <cellStyle name="Percent 12" xfId="4229"/>
    <cellStyle name="Percent 12 10" xfId="11313"/>
    <cellStyle name="Percent 12 2" xfId="4230"/>
    <cellStyle name="Percent 12 2 2" xfId="4575"/>
    <cellStyle name="Percent 12 2 2 2" xfId="5017"/>
    <cellStyle name="Percent 12 2 2 2 2" xfId="8760"/>
    <cellStyle name="Percent 12 2 2 2 2 2" xfId="15308"/>
    <cellStyle name="Percent 12 2 2 2 3" xfId="7041"/>
    <cellStyle name="Percent 12 2 2 2 3 2" xfId="13727"/>
    <cellStyle name="Percent 12 2 2 2 4" xfId="11942"/>
    <cellStyle name="Percent 12 2 2 3" xfId="5402"/>
    <cellStyle name="Percent 12 2 2 3 2" xfId="9145"/>
    <cellStyle name="Percent 12 2 2 3 2 2" xfId="15689"/>
    <cellStyle name="Percent 12 2 2 3 3" xfId="7426"/>
    <cellStyle name="Percent 12 2 2 3 3 2" xfId="14108"/>
    <cellStyle name="Percent 12 2 2 3 4" xfId="12323"/>
    <cellStyle name="Percent 12 2 2 4" xfId="5840"/>
    <cellStyle name="Percent 12 2 2 4 2" xfId="9581"/>
    <cellStyle name="Percent 12 2 2 4 2 2" xfId="16083"/>
    <cellStyle name="Percent 12 2 2 4 3" xfId="7862"/>
    <cellStyle name="Percent 12 2 2 4 3 2" xfId="14502"/>
    <cellStyle name="Percent 12 2 2 4 4" xfId="12733"/>
    <cellStyle name="Percent 12 2 2 5" xfId="10013"/>
    <cellStyle name="Percent 12 2 2 5 2" xfId="16494"/>
    <cellStyle name="Percent 12 2 2 6" xfId="8339"/>
    <cellStyle name="Percent 12 2 2 6 2" xfId="14896"/>
    <cellStyle name="Percent 12 2 2 7" xfId="6620"/>
    <cellStyle name="Percent 12 2 2 7 2" xfId="13310"/>
    <cellStyle name="Percent 12 2 2 8" xfId="11520"/>
    <cellStyle name="Percent 12 2 3" xfId="4796"/>
    <cellStyle name="Percent 12 2 3 2" xfId="8539"/>
    <cellStyle name="Percent 12 2 3 2 2" xfId="15091"/>
    <cellStyle name="Percent 12 2 3 3" xfId="6820"/>
    <cellStyle name="Percent 12 2 3 3 2" xfId="13510"/>
    <cellStyle name="Percent 12 2 3 4" xfId="11725"/>
    <cellStyle name="Percent 12 2 4" xfId="5205"/>
    <cellStyle name="Percent 12 2 4 2" xfId="8948"/>
    <cellStyle name="Percent 12 2 4 2 2" xfId="15492"/>
    <cellStyle name="Percent 12 2 4 3" xfId="7229"/>
    <cellStyle name="Percent 12 2 4 3 2" xfId="13911"/>
    <cellStyle name="Percent 12 2 4 4" xfId="12126"/>
    <cellStyle name="Percent 12 2 5" xfId="5638"/>
    <cellStyle name="Percent 12 2 5 2" xfId="9379"/>
    <cellStyle name="Percent 12 2 5 2 2" xfId="15886"/>
    <cellStyle name="Percent 12 2 5 3" xfId="7660"/>
    <cellStyle name="Percent 12 2 5 3 2" xfId="14305"/>
    <cellStyle name="Percent 12 2 5 4" xfId="12531"/>
    <cellStyle name="Percent 12 2 6" xfId="9786"/>
    <cellStyle name="Percent 12 2 6 2" xfId="16277"/>
    <cellStyle name="Percent 12 2 7" xfId="8101"/>
    <cellStyle name="Percent 12 2 7 2" xfId="14699"/>
    <cellStyle name="Percent 12 2 8" xfId="6383"/>
    <cellStyle name="Percent 12 2 8 2" xfId="13104"/>
    <cellStyle name="Percent 12 2 9" xfId="11314"/>
    <cellStyle name="Percent 12 3" xfId="4574"/>
    <cellStyle name="Percent 12 3 2" xfId="5018"/>
    <cellStyle name="Percent 12 3 2 2" xfId="8761"/>
    <cellStyle name="Percent 12 3 2 2 2" xfId="15309"/>
    <cellStyle name="Percent 12 3 2 3" xfId="7042"/>
    <cellStyle name="Percent 12 3 2 3 2" xfId="13728"/>
    <cellStyle name="Percent 12 3 2 4" xfId="11943"/>
    <cellStyle name="Percent 12 3 3" xfId="5401"/>
    <cellStyle name="Percent 12 3 3 2" xfId="9144"/>
    <cellStyle name="Percent 12 3 3 2 2" xfId="15688"/>
    <cellStyle name="Percent 12 3 3 3" xfId="7425"/>
    <cellStyle name="Percent 12 3 3 3 2" xfId="14107"/>
    <cellStyle name="Percent 12 3 3 4" xfId="12322"/>
    <cellStyle name="Percent 12 3 4" xfId="5839"/>
    <cellStyle name="Percent 12 3 4 2" xfId="9580"/>
    <cellStyle name="Percent 12 3 4 2 2" xfId="16082"/>
    <cellStyle name="Percent 12 3 4 3" xfId="7861"/>
    <cellStyle name="Percent 12 3 4 3 2" xfId="14501"/>
    <cellStyle name="Percent 12 3 4 4" xfId="12732"/>
    <cellStyle name="Percent 12 3 5" xfId="10014"/>
    <cellStyle name="Percent 12 3 5 2" xfId="16495"/>
    <cellStyle name="Percent 12 3 6" xfId="8338"/>
    <cellStyle name="Percent 12 3 6 2" xfId="14895"/>
    <cellStyle name="Percent 12 3 7" xfId="6619"/>
    <cellStyle name="Percent 12 3 7 2" xfId="13309"/>
    <cellStyle name="Percent 12 3 8" xfId="11519"/>
    <cellStyle name="Percent 12 4" xfId="4714"/>
    <cellStyle name="Percent 12 4 2" xfId="8458"/>
    <cellStyle name="Percent 12 4 2 2" xfId="15010"/>
    <cellStyle name="Percent 12 4 3" xfId="6739"/>
    <cellStyle name="Percent 12 4 3 2" xfId="13429"/>
    <cellStyle name="Percent 12 4 4" xfId="11643"/>
    <cellStyle name="Percent 12 5" xfId="5204"/>
    <cellStyle name="Percent 12 5 2" xfId="8947"/>
    <cellStyle name="Percent 12 5 2 2" xfId="15491"/>
    <cellStyle name="Percent 12 5 3" xfId="7228"/>
    <cellStyle name="Percent 12 5 3 2" xfId="13910"/>
    <cellStyle name="Percent 12 5 4" xfId="12125"/>
    <cellStyle name="Percent 12 6" xfId="5637"/>
    <cellStyle name="Percent 12 6 2" xfId="9378"/>
    <cellStyle name="Percent 12 6 2 2" xfId="15885"/>
    <cellStyle name="Percent 12 6 3" xfId="7659"/>
    <cellStyle name="Percent 12 6 3 2" xfId="14304"/>
    <cellStyle name="Percent 12 6 4" xfId="12530"/>
    <cellStyle name="Percent 12 7" xfId="9702"/>
    <cellStyle name="Percent 12 7 2" xfId="16195"/>
    <cellStyle name="Percent 12 8" xfId="8100"/>
    <cellStyle name="Percent 12 8 2" xfId="14698"/>
    <cellStyle name="Percent 12 9" xfId="6382"/>
    <cellStyle name="Percent 12 9 2" xfId="13103"/>
    <cellStyle name="Percent 13" xfId="4231"/>
    <cellStyle name="Percent 13 10" xfId="11315"/>
    <cellStyle name="Percent 13 2" xfId="4232"/>
    <cellStyle name="Percent 13 2 2" xfId="4577"/>
    <cellStyle name="Percent 13 2 2 2" xfId="5019"/>
    <cellStyle name="Percent 13 2 2 2 2" xfId="8762"/>
    <cellStyle name="Percent 13 2 2 2 2 2" xfId="15310"/>
    <cellStyle name="Percent 13 2 2 2 3" xfId="7043"/>
    <cellStyle name="Percent 13 2 2 2 3 2" xfId="13729"/>
    <cellStyle name="Percent 13 2 2 2 4" xfId="11944"/>
    <cellStyle name="Percent 13 2 2 3" xfId="5404"/>
    <cellStyle name="Percent 13 2 2 3 2" xfId="9147"/>
    <cellStyle name="Percent 13 2 2 3 2 2" xfId="15691"/>
    <cellStyle name="Percent 13 2 2 3 3" xfId="7428"/>
    <cellStyle name="Percent 13 2 2 3 3 2" xfId="14110"/>
    <cellStyle name="Percent 13 2 2 3 4" xfId="12325"/>
    <cellStyle name="Percent 13 2 2 4" xfId="5842"/>
    <cellStyle name="Percent 13 2 2 4 2" xfId="9583"/>
    <cellStyle name="Percent 13 2 2 4 2 2" xfId="16085"/>
    <cellStyle name="Percent 13 2 2 4 3" xfId="7864"/>
    <cellStyle name="Percent 13 2 2 4 3 2" xfId="14504"/>
    <cellStyle name="Percent 13 2 2 4 4" xfId="12735"/>
    <cellStyle name="Percent 13 2 2 5" xfId="10015"/>
    <cellStyle name="Percent 13 2 2 5 2" xfId="16496"/>
    <cellStyle name="Percent 13 2 2 6" xfId="8341"/>
    <cellStyle name="Percent 13 2 2 6 2" xfId="14898"/>
    <cellStyle name="Percent 13 2 2 7" xfId="6622"/>
    <cellStyle name="Percent 13 2 2 7 2" xfId="13312"/>
    <cellStyle name="Percent 13 2 2 8" xfId="11522"/>
    <cellStyle name="Percent 13 2 3" xfId="4797"/>
    <cellStyle name="Percent 13 2 3 2" xfId="8540"/>
    <cellStyle name="Percent 13 2 3 2 2" xfId="15092"/>
    <cellStyle name="Percent 13 2 3 3" xfId="6821"/>
    <cellStyle name="Percent 13 2 3 3 2" xfId="13511"/>
    <cellStyle name="Percent 13 2 3 4" xfId="11726"/>
    <cellStyle name="Percent 13 2 4" xfId="5207"/>
    <cellStyle name="Percent 13 2 4 2" xfId="8950"/>
    <cellStyle name="Percent 13 2 4 2 2" xfId="15494"/>
    <cellStyle name="Percent 13 2 4 3" xfId="7231"/>
    <cellStyle name="Percent 13 2 4 3 2" xfId="13913"/>
    <cellStyle name="Percent 13 2 4 4" xfId="12128"/>
    <cellStyle name="Percent 13 2 5" xfId="5640"/>
    <cellStyle name="Percent 13 2 5 2" xfId="9381"/>
    <cellStyle name="Percent 13 2 5 2 2" xfId="15888"/>
    <cellStyle name="Percent 13 2 5 3" xfId="7662"/>
    <cellStyle name="Percent 13 2 5 3 2" xfId="14307"/>
    <cellStyle name="Percent 13 2 5 4" xfId="12533"/>
    <cellStyle name="Percent 13 2 6" xfId="9787"/>
    <cellStyle name="Percent 13 2 6 2" xfId="16278"/>
    <cellStyle name="Percent 13 2 7" xfId="8103"/>
    <cellStyle name="Percent 13 2 7 2" xfId="14701"/>
    <cellStyle name="Percent 13 2 8" xfId="6385"/>
    <cellStyle name="Percent 13 2 8 2" xfId="13106"/>
    <cellStyle name="Percent 13 2 9" xfId="11316"/>
    <cellStyle name="Percent 13 3" xfId="4576"/>
    <cellStyle name="Percent 13 3 2" xfId="5020"/>
    <cellStyle name="Percent 13 3 2 2" xfId="8763"/>
    <cellStyle name="Percent 13 3 2 2 2" xfId="15311"/>
    <cellStyle name="Percent 13 3 2 3" xfId="7044"/>
    <cellStyle name="Percent 13 3 2 3 2" xfId="13730"/>
    <cellStyle name="Percent 13 3 2 4" xfId="11945"/>
    <cellStyle name="Percent 13 3 3" xfId="5403"/>
    <cellStyle name="Percent 13 3 3 2" xfId="9146"/>
    <cellStyle name="Percent 13 3 3 2 2" xfId="15690"/>
    <cellStyle name="Percent 13 3 3 3" xfId="7427"/>
    <cellStyle name="Percent 13 3 3 3 2" xfId="14109"/>
    <cellStyle name="Percent 13 3 3 4" xfId="12324"/>
    <cellStyle name="Percent 13 3 4" xfId="5841"/>
    <cellStyle name="Percent 13 3 4 2" xfId="9582"/>
    <cellStyle name="Percent 13 3 4 2 2" xfId="16084"/>
    <cellStyle name="Percent 13 3 4 3" xfId="7863"/>
    <cellStyle name="Percent 13 3 4 3 2" xfId="14503"/>
    <cellStyle name="Percent 13 3 4 4" xfId="12734"/>
    <cellStyle name="Percent 13 3 5" xfId="10016"/>
    <cellStyle name="Percent 13 3 5 2" xfId="16497"/>
    <cellStyle name="Percent 13 3 6" xfId="8340"/>
    <cellStyle name="Percent 13 3 6 2" xfId="14897"/>
    <cellStyle name="Percent 13 3 7" xfId="6621"/>
    <cellStyle name="Percent 13 3 7 2" xfId="13311"/>
    <cellStyle name="Percent 13 3 8" xfId="11521"/>
    <cellStyle name="Percent 13 4" xfId="4715"/>
    <cellStyle name="Percent 13 4 2" xfId="8459"/>
    <cellStyle name="Percent 13 4 2 2" xfId="15011"/>
    <cellStyle name="Percent 13 4 3" xfId="6740"/>
    <cellStyle name="Percent 13 4 3 2" xfId="13430"/>
    <cellStyle name="Percent 13 4 4" xfId="11644"/>
    <cellStyle name="Percent 13 5" xfId="5206"/>
    <cellStyle name="Percent 13 5 2" xfId="8949"/>
    <cellStyle name="Percent 13 5 2 2" xfId="15493"/>
    <cellStyle name="Percent 13 5 3" xfId="7230"/>
    <cellStyle name="Percent 13 5 3 2" xfId="13912"/>
    <cellStyle name="Percent 13 5 4" xfId="12127"/>
    <cellStyle name="Percent 13 6" xfId="5639"/>
    <cellStyle name="Percent 13 6 2" xfId="9380"/>
    <cellStyle name="Percent 13 6 2 2" xfId="15887"/>
    <cellStyle name="Percent 13 6 3" xfId="7661"/>
    <cellStyle name="Percent 13 6 3 2" xfId="14306"/>
    <cellStyle name="Percent 13 6 4" xfId="12532"/>
    <cellStyle name="Percent 13 7" xfId="9703"/>
    <cellStyle name="Percent 13 7 2" xfId="16196"/>
    <cellStyle name="Percent 13 8" xfId="8102"/>
    <cellStyle name="Percent 13 8 2" xfId="14700"/>
    <cellStyle name="Percent 13 9" xfId="6384"/>
    <cellStyle name="Percent 13 9 2" xfId="13105"/>
    <cellStyle name="Percent 14" xfId="4233"/>
    <cellStyle name="Percent 14 10" xfId="11317"/>
    <cellStyle name="Percent 14 2" xfId="4234"/>
    <cellStyle name="Percent 14 2 2" xfId="4579"/>
    <cellStyle name="Percent 14 2 2 2" xfId="5021"/>
    <cellStyle name="Percent 14 2 2 2 2" xfId="8764"/>
    <cellStyle name="Percent 14 2 2 2 2 2" xfId="15312"/>
    <cellStyle name="Percent 14 2 2 2 3" xfId="7045"/>
    <cellStyle name="Percent 14 2 2 2 3 2" xfId="13731"/>
    <cellStyle name="Percent 14 2 2 2 4" xfId="11946"/>
    <cellStyle name="Percent 14 2 2 3" xfId="5406"/>
    <cellStyle name="Percent 14 2 2 3 2" xfId="9149"/>
    <cellStyle name="Percent 14 2 2 3 2 2" xfId="15693"/>
    <cellStyle name="Percent 14 2 2 3 3" xfId="7430"/>
    <cellStyle name="Percent 14 2 2 3 3 2" xfId="14112"/>
    <cellStyle name="Percent 14 2 2 3 4" xfId="12327"/>
    <cellStyle name="Percent 14 2 2 4" xfId="5844"/>
    <cellStyle name="Percent 14 2 2 4 2" xfId="9585"/>
    <cellStyle name="Percent 14 2 2 4 2 2" xfId="16087"/>
    <cellStyle name="Percent 14 2 2 4 3" xfId="7866"/>
    <cellStyle name="Percent 14 2 2 4 3 2" xfId="14506"/>
    <cellStyle name="Percent 14 2 2 4 4" xfId="12737"/>
    <cellStyle name="Percent 14 2 2 5" xfId="10017"/>
    <cellStyle name="Percent 14 2 2 5 2" xfId="16498"/>
    <cellStyle name="Percent 14 2 2 6" xfId="8343"/>
    <cellStyle name="Percent 14 2 2 6 2" xfId="14900"/>
    <cellStyle name="Percent 14 2 2 7" xfId="6624"/>
    <cellStyle name="Percent 14 2 2 7 2" xfId="13314"/>
    <cellStyle name="Percent 14 2 2 8" xfId="11524"/>
    <cellStyle name="Percent 14 2 3" xfId="4799"/>
    <cellStyle name="Percent 14 2 3 2" xfId="8542"/>
    <cellStyle name="Percent 14 2 3 2 2" xfId="15094"/>
    <cellStyle name="Percent 14 2 3 3" xfId="6823"/>
    <cellStyle name="Percent 14 2 3 3 2" xfId="13513"/>
    <cellStyle name="Percent 14 2 3 4" xfId="11728"/>
    <cellStyle name="Percent 14 2 4" xfId="5209"/>
    <cellStyle name="Percent 14 2 4 2" xfId="8952"/>
    <cellStyle name="Percent 14 2 4 2 2" xfId="15496"/>
    <cellStyle name="Percent 14 2 4 3" xfId="7233"/>
    <cellStyle name="Percent 14 2 4 3 2" xfId="13915"/>
    <cellStyle name="Percent 14 2 4 4" xfId="12130"/>
    <cellStyle name="Percent 14 2 5" xfId="5642"/>
    <cellStyle name="Percent 14 2 5 2" xfId="9383"/>
    <cellStyle name="Percent 14 2 5 2 2" xfId="15890"/>
    <cellStyle name="Percent 14 2 5 3" xfId="7664"/>
    <cellStyle name="Percent 14 2 5 3 2" xfId="14309"/>
    <cellStyle name="Percent 14 2 5 4" xfId="12535"/>
    <cellStyle name="Percent 14 2 6" xfId="9789"/>
    <cellStyle name="Percent 14 2 6 2" xfId="16280"/>
    <cellStyle name="Percent 14 2 7" xfId="8105"/>
    <cellStyle name="Percent 14 2 7 2" xfId="14703"/>
    <cellStyle name="Percent 14 2 8" xfId="6387"/>
    <cellStyle name="Percent 14 2 8 2" xfId="13108"/>
    <cellStyle name="Percent 14 2 9" xfId="11318"/>
    <cellStyle name="Percent 14 3" xfId="4578"/>
    <cellStyle name="Percent 14 3 2" xfId="5022"/>
    <cellStyle name="Percent 14 3 2 2" xfId="8765"/>
    <cellStyle name="Percent 14 3 2 2 2" xfId="15313"/>
    <cellStyle name="Percent 14 3 2 3" xfId="7046"/>
    <cellStyle name="Percent 14 3 2 3 2" xfId="13732"/>
    <cellStyle name="Percent 14 3 2 4" xfId="11947"/>
    <cellStyle name="Percent 14 3 3" xfId="5405"/>
    <cellStyle name="Percent 14 3 3 2" xfId="9148"/>
    <cellStyle name="Percent 14 3 3 2 2" xfId="15692"/>
    <cellStyle name="Percent 14 3 3 3" xfId="7429"/>
    <cellStyle name="Percent 14 3 3 3 2" xfId="14111"/>
    <cellStyle name="Percent 14 3 3 4" xfId="12326"/>
    <cellStyle name="Percent 14 3 4" xfId="5843"/>
    <cellStyle name="Percent 14 3 4 2" xfId="9584"/>
    <cellStyle name="Percent 14 3 4 2 2" xfId="16086"/>
    <cellStyle name="Percent 14 3 4 3" xfId="7865"/>
    <cellStyle name="Percent 14 3 4 3 2" xfId="14505"/>
    <cellStyle name="Percent 14 3 4 4" xfId="12736"/>
    <cellStyle name="Percent 14 3 5" xfId="10018"/>
    <cellStyle name="Percent 14 3 5 2" xfId="16499"/>
    <cellStyle name="Percent 14 3 6" xfId="8342"/>
    <cellStyle name="Percent 14 3 6 2" xfId="14899"/>
    <cellStyle name="Percent 14 3 7" xfId="6623"/>
    <cellStyle name="Percent 14 3 7 2" xfId="13313"/>
    <cellStyle name="Percent 14 3 8" xfId="11523"/>
    <cellStyle name="Percent 14 4" xfId="4717"/>
    <cellStyle name="Percent 14 4 2" xfId="8461"/>
    <cellStyle name="Percent 14 4 2 2" xfId="15013"/>
    <cellStyle name="Percent 14 4 3" xfId="6742"/>
    <cellStyle name="Percent 14 4 3 2" xfId="13432"/>
    <cellStyle name="Percent 14 4 4" xfId="11646"/>
    <cellStyle name="Percent 14 5" xfId="5208"/>
    <cellStyle name="Percent 14 5 2" xfId="8951"/>
    <cellStyle name="Percent 14 5 2 2" xfId="15495"/>
    <cellStyle name="Percent 14 5 3" xfId="7232"/>
    <cellStyle name="Percent 14 5 3 2" xfId="13914"/>
    <cellStyle name="Percent 14 5 4" xfId="12129"/>
    <cellStyle name="Percent 14 6" xfId="5641"/>
    <cellStyle name="Percent 14 6 2" xfId="9382"/>
    <cellStyle name="Percent 14 6 2 2" xfId="15889"/>
    <cellStyle name="Percent 14 6 3" xfId="7663"/>
    <cellStyle name="Percent 14 6 3 2" xfId="14308"/>
    <cellStyle name="Percent 14 6 4" xfId="12534"/>
    <cellStyle name="Percent 14 7" xfId="9705"/>
    <cellStyle name="Percent 14 7 2" xfId="16198"/>
    <cellStyle name="Percent 14 8" xfId="8104"/>
    <cellStyle name="Percent 14 8 2" xfId="14702"/>
    <cellStyle name="Percent 14 9" xfId="6386"/>
    <cellStyle name="Percent 14 9 2" xfId="13107"/>
    <cellStyle name="Percent 15" xfId="4235"/>
    <cellStyle name="Percent 15 10" xfId="11319"/>
    <cellStyle name="Percent 15 2" xfId="4236"/>
    <cellStyle name="Percent 15 2 2" xfId="4581"/>
    <cellStyle name="Percent 15 2 2 2" xfId="5023"/>
    <cellStyle name="Percent 15 2 2 2 2" xfId="8766"/>
    <cellStyle name="Percent 15 2 2 2 2 2" xfId="15314"/>
    <cellStyle name="Percent 15 2 2 2 3" xfId="7047"/>
    <cellStyle name="Percent 15 2 2 2 3 2" xfId="13733"/>
    <cellStyle name="Percent 15 2 2 2 4" xfId="11948"/>
    <cellStyle name="Percent 15 2 2 3" xfId="5408"/>
    <cellStyle name="Percent 15 2 2 3 2" xfId="9151"/>
    <cellStyle name="Percent 15 2 2 3 2 2" xfId="15695"/>
    <cellStyle name="Percent 15 2 2 3 3" xfId="7432"/>
    <cellStyle name="Percent 15 2 2 3 3 2" xfId="14114"/>
    <cellStyle name="Percent 15 2 2 3 4" xfId="12329"/>
    <cellStyle name="Percent 15 2 2 4" xfId="5846"/>
    <cellStyle name="Percent 15 2 2 4 2" xfId="9587"/>
    <cellStyle name="Percent 15 2 2 4 2 2" xfId="16089"/>
    <cellStyle name="Percent 15 2 2 4 3" xfId="7868"/>
    <cellStyle name="Percent 15 2 2 4 3 2" xfId="14508"/>
    <cellStyle name="Percent 15 2 2 4 4" xfId="12739"/>
    <cellStyle name="Percent 15 2 2 5" xfId="10019"/>
    <cellStyle name="Percent 15 2 2 5 2" xfId="16500"/>
    <cellStyle name="Percent 15 2 2 6" xfId="8345"/>
    <cellStyle name="Percent 15 2 2 6 2" xfId="14902"/>
    <cellStyle name="Percent 15 2 2 7" xfId="6626"/>
    <cellStyle name="Percent 15 2 2 7 2" xfId="13316"/>
    <cellStyle name="Percent 15 2 2 8" xfId="11526"/>
    <cellStyle name="Percent 15 2 3" xfId="4801"/>
    <cellStyle name="Percent 15 2 3 2" xfId="8544"/>
    <cellStyle name="Percent 15 2 3 2 2" xfId="15096"/>
    <cellStyle name="Percent 15 2 3 3" xfId="6825"/>
    <cellStyle name="Percent 15 2 3 3 2" xfId="13515"/>
    <cellStyle name="Percent 15 2 3 4" xfId="11730"/>
    <cellStyle name="Percent 15 2 4" xfId="5211"/>
    <cellStyle name="Percent 15 2 4 2" xfId="8954"/>
    <cellStyle name="Percent 15 2 4 2 2" xfId="15498"/>
    <cellStyle name="Percent 15 2 4 3" xfId="7235"/>
    <cellStyle name="Percent 15 2 4 3 2" xfId="13917"/>
    <cellStyle name="Percent 15 2 4 4" xfId="12132"/>
    <cellStyle name="Percent 15 2 5" xfId="5644"/>
    <cellStyle name="Percent 15 2 5 2" xfId="9385"/>
    <cellStyle name="Percent 15 2 5 2 2" xfId="15892"/>
    <cellStyle name="Percent 15 2 5 3" xfId="7666"/>
    <cellStyle name="Percent 15 2 5 3 2" xfId="14311"/>
    <cellStyle name="Percent 15 2 5 4" xfId="12537"/>
    <cellStyle name="Percent 15 2 6" xfId="9791"/>
    <cellStyle name="Percent 15 2 6 2" xfId="16282"/>
    <cellStyle name="Percent 15 2 7" xfId="8107"/>
    <cellStyle name="Percent 15 2 7 2" xfId="14705"/>
    <cellStyle name="Percent 15 2 8" xfId="6389"/>
    <cellStyle name="Percent 15 2 8 2" xfId="13110"/>
    <cellStyle name="Percent 15 2 9" xfId="11320"/>
    <cellStyle name="Percent 15 3" xfId="4580"/>
    <cellStyle name="Percent 15 3 2" xfId="5024"/>
    <cellStyle name="Percent 15 3 2 2" xfId="8767"/>
    <cellStyle name="Percent 15 3 2 2 2" xfId="15315"/>
    <cellStyle name="Percent 15 3 2 3" xfId="7048"/>
    <cellStyle name="Percent 15 3 2 3 2" xfId="13734"/>
    <cellStyle name="Percent 15 3 2 4" xfId="11949"/>
    <cellStyle name="Percent 15 3 3" xfId="5407"/>
    <cellStyle name="Percent 15 3 3 2" xfId="9150"/>
    <cellStyle name="Percent 15 3 3 2 2" xfId="15694"/>
    <cellStyle name="Percent 15 3 3 3" xfId="7431"/>
    <cellStyle name="Percent 15 3 3 3 2" xfId="14113"/>
    <cellStyle name="Percent 15 3 3 4" xfId="12328"/>
    <cellStyle name="Percent 15 3 4" xfId="5845"/>
    <cellStyle name="Percent 15 3 4 2" xfId="9586"/>
    <cellStyle name="Percent 15 3 4 2 2" xfId="16088"/>
    <cellStyle name="Percent 15 3 4 3" xfId="7867"/>
    <cellStyle name="Percent 15 3 4 3 2" xfId="14507"/>
    <cellStyle name="Percent 15 3 4 4" xfId="12738"/>
    <cellStyle name="Percent 15 3 5" xfId="10020"/>
    <cellStyle name="Percent 15 3 5 2" xfId="16501"/>
    <cellStyle name="Percent 15 3 6" xfId="8344"/>
    <cellStyle name="Percent 15 3 6 2" xfId="14901"/>
    <cellStyle name="Percent 15 3 7" xfId="6625"/>
    <cellStyle name="Percent 15 3 7 2" xfId="13315"/>
    <cellStyle name="Percent 15 3 8" xfId="11525"/>
    <cellStyle name="Percent 15 4" xfId="4719"/>
    <cellStyle name="Percent 15 4 2" xfId="8463"/>
    <cellStyle name="Percent 15 4 2 2" xfId="15015"/>
    <cellStyle name="Percent 15 4 3" xfId="6744"/>
    <cellStyle name="Percent 15 4 3 2" xfId="13434"/>
    <cellStyle name="Percent 15 4 4" xfId="11648"/>
    <cellStyle name="Percent 15 5" xfId="5210"/>
    <cellStyle name="Percent 15 5 2" xfId="8953"/>
    <cellStyle name="Percent 15 5 2 2" xfId="15497"/>
    <cellStyle name="Percent 15 5 3" xfId="7234"/>
    <cellStyle name="Percent 15 5 3 2" xfId="13916"/>
    <cellStyle name="Percent 15 5 4" xfId="12131"/>
    <cellStyle name="Percent 15 6" xfId="5643"/>
    <cellStyle name="Percent 15 6 2" xfId="9384"/>
    <cellStyle name="Percent 15 6 2 2" xfId="15891"/>
    <cellStyle name="Percent 15 6 3" xfId="7665"/>
    <cellStyle name="Percent 15 6 3 2" xfId="14310"/>
    <cellStyle name="Percent 15 6 4" xfId="12536"/>
    <cellStyle name="Percent 15 7" xfId="9707"/>
    <cellStyle name="Percent 15 7 2" xfId="16200"/>
    <cellStyle name="Percent 15 8" xfId="8106"/>
    <cellStyle name="Percent 15 8 2" xfId="14704"/>
    <cellStyle name="Percent 15 9" xfId="6388"/>
    <cellStyle name="Percent 15 9 2" xfId="13109"/>
    <cellStyle name="Percent 16" xfId="4237"/>
    <cellStyle name="Percent 16 10" xfId="11321"/>
    <cellStyle name="Percent 16 2" xfId="4238"/>
    <cellStyle name="Percent 16 2 2" xfId="4583"/>
    <cellStyle name="Percent 16 2 2 2" xfId="5025"/>
    <cellStyle name="Percent 16 2 2 2 2" xfId="8768"/>
    <cellStyle name="Percent 16 2 2 2 2 2" xfId="15316"/>
    <cellStyle name="Percent 16 2 2 2 3" xfId="7049"/>
    <cellStyle name="Percent 16 2 2 2 3 2" xfId="13735"/>
    <cellStyle name="Percent 16 2 2 2 4" xfId="11950"/>
    <cellStyle name="Percent 16 2 2 3" xfId="5410"/>
    <cellStyle name="Percent 16 2 2 3 2" xfId="9153"/>
    <cellStyle name="Percent 16 2 2 3 2 2" xfId="15697"/>
    <cellStyle name="Percent 16 2 2 3 3" xfId="7434"/>
    <cellStyle name="Percent 16 2 2 3 3 2" xfId="14116"/>
    <cellStyle name="Percent 16 2 2 3 4" xfId="12331"/>
    <cellStyle name="Percent 16 2 2 4" xfId="5848"/>
    <cellStyle name="Percent 16 2 2 4 2" xfId="9589"/>
    <cellStyle name="Percent 16 2 2 4 2 2" xfId="16091"/>
    <cellStyle name="Percent 16 2 2 4 3" xfId="7870"/>
    <cellStyle name="Percent 16 2 2 4 3 2" xfId="14510"/>
    <cellStyle name="Percent 16 2 2 4 4" xfId="12741"/>
    <cellStyle name="Percent 16 2 2 5" xfId="10021"/>
    <cellStyle name="Percent 16 2 2 5 2" xfId="16502"/>
    <cellStyle name="Percent 16 2 2 6" xfId="8347"/>
    <cellStyle name="Percent 16 2 2 6 2" xfId="14904"/>
    <cellStyle name="Percent 16 2 2 7" xfId="6628"/>
    <cellStyle name="Percent 16 2 2 7 2" xfId="13318"/>
    <cellStyle name="Percent 16 2 2 8" xfId="11528"/>
    <cellStyle name="Percent 16 2 3" xfId="4803"/>
    <cellStyle name="Percent 16 2 3 2" xfId="8546"/>
    <cellStyle name="Percent 16 2 3 2 2" xfId="15098"/>
    <cellStyle name="Percent 16 2 3 3" xfId="6827"/>
    <cellStyle name="Percent 16 2 3 3 2" xfId="13517"/>
    <cellStyle name="Percent 16 2 3 4" xfId="11732"/>
    <cellStyle name="Percent 16 2 4" xfId="5213"/>
    <cellStyle name="Percent 16 2 4 2" xfId="8956"/>
    <cellStyle name="Percent 16 2 4 2 2" xfId="15500"/>
    <cellStyle name="Percent 16 2 4 3" xfId="7237"/>
    <cellStyle name="Percent 16 2 4 3 2" xfId="13919"/>
    <cellStyle name="Percent 16 2 4 4" xfId="12134"/>
    <cellStyle name="Percent 16 2 5" xfId="5646"/>
    <cellStyle name="Percent 16 2 5 2" xfId="9387"/>
    <cellStyle name="Percent 16 2 5 2 2" xfId="15894"/>
    <cellStyle name="Percent 16 2 5 3" xfId="7668"/>
    <cellStyle name="Percent 16 2 5 3 2" xfId="14313"/>
    <cellStyle name="Percent 16 2 5 4" xfId="12539"/>
    <cellStyle name="Percent 16 2 6" xfId="9793"/>
    <cellStyle name="Percent 16 2 6 2" xfId="16284"/>
    <cellStyle name="Percent 16 2 7" xfId="8109"/>
    <cellStyle name="Percent 16 2 7 2" xfId="14707"/>
    <cellStyle name="Percent 16 2 8" xfId="6391"/>
    <cellStyle name="Percent 16 2 8 2" xfId="13112"/>
    <cellStyle name="Percent 16 2 9" xfId="11322"/>
    <cellStyle name="Percent 16 3" xfId="4582"/>
    <cellStyle name="Percent 16 3 2" xfId="5026"/>
    <cellStyle name="Percent 16 3 2 2" xfId="8769"/>
    <cellStyle name="Percent 16 3 2 2 2" xfId="15317"/>
    <cellStyle name="Percent 16 3 2 3" xfId="7050"/>
    <cellStyle name="Percent 16 3 2 3 2" xfId="13736"/>
    <cellStyle name="Percent 16 3 2 4" xfId="11951"/>
    <cellStyle name="Percent 16 3 3" xfId="5409"/>
    <cellStyle name="Percent 16 3 3 2" xfId="9152"/>
    <cellStyle name="Percent 16 3 3 2 2" xfId="15696"/>
    <cellStyle name="Percent 16 3 3 3" xfId="7433"/>
    <cellStyle name="Percent 16 3 3 3 2" xfId="14115"/>
    <cellStyle name="Percent 16 3 3 4" xfId="12330"/>
    <cellStyle name="Percent 16 3 4" xfId="5847"/>
    <cellStyle name="Percent 16 3 4 2" xfId="9588"/>
    <cellStyle name="Percent 16 3 4 2 2" xfId="16090"/>
    <cellStyle name="Percent 16 3 4 3" xfId="7869"/>
    <cellStyle name="Percent 16 3 4 3 2" xfId="14509"/>
    <cellStyle name="Percent 16 3 4 4" xfId="12740"/>
    <cellStyle name="Percent 16 3 5" xfId="10022"/>
    <cellStyle name="Percent 16 3 5 2" xfId="16503"/>
    <cellStyle name="Percent 16 3 6" xfId="8346"/>
    <cellStyle name="Percent 16 3 6 2" xfId="14903"/>
    <cellStyle name="Percent 16 3 7" xfId="6627"/>
    <cellStyle name="Percent 16 3 7 2" xfId="13317"/>
    <cellStyle name="Percent 16 3 8" xfId="11527"/>
    <cellStyle name="Percent 16 4" xfId="4721"/>
    <cellStyle name="Percent 16 4 2" xfId="8465"/>
    <cellStyle name="Percent 16 4 2 2" xfId="15017"/>
    <cellStyle name="Percent 16 4 3" xfId="6746"/>
    <cellStyle name="Percent 16 4 3 2" xfId="13436"/>
    <cellStyle name="Percent 16 4 4" xfId="11650"/>
    <cellStyle name="Percent 16 5" xfId="5212"/>
    <cellStyle name="Percent 16 5 2" xfId="8955"/>
    <cellStyle name="Percent 16 5 2 2" xfId="15499"/>
    <cellStyle name="Percent 16 5 3" xfId="7236"/>
    <cellStyle name="Percent 16 5 3 2" xfId="13918"/>
    <cellStyle name="Percent 16 5 4" xfId="12133"/>
    <cellStyle name="Percent 16 6" xfId="5645"/>
    <cellStyle name="Percent 16 6 2" xfId="9386"/>
    <cellStyle name="Percent 16 6 2 2" xfId="15893"/>
    <cellStyle name="Percent 16 6 3" xfId="7667"/>
    <cellStyle name="Percent 16 6 3 2" xfId="14312"/>
    <cellStyle name="Percent 16 6 4" xfId="12538"/>
    <cellStyle name="Percent 16 7" xfId="9709"/>
    <cellStyle name="Percent 16 7 2" xfId="16202"/>
    <cellStyle name="Percent 16 8" xfId="8108"/>
    <cellStyle name="Percent 16 8 2" xfId="14706"/>
    <cellStyle name="Percent 16 9" xfId="6390"/>
    <cellStyle name="Percent 16 9 2" xfId="13111"/>
    <cellStyle name="Percent 17" xfId="4239"/>
    <cellStyle name="Percent 17 10" xfId="11323"/>
    <cellStyle name="Percent 17 2" xfId="4240"/>
    <cellStyle name="Percent 17 2 2" xfId="4585"/>
    <cellStyle name="Percent 17 2 2 2" xfId="5027"/>
    <cellStyle name="Percent 17 2 2 2 2" xfId="8770"/>
    <cellStyle name="Percent 17 2 2 2 2 2" xfId="15318"/>
    <cellStyle name="Percent 17 2 2 2 3" xfId="7051"/>
    <cellStyle name="Percent 17 2 2 2 3 2" xfId="13737"/>
    <cellStyle name="Percent 17 2 2 2 4" xfId="11952"/>
    <cellStyle name="Percent 17 2 2 3" xfId="5412"/>
    <cellStyle name="Percent 17 2 2 3 2" xfId="9155"/>
    <cellStyle name="Percent 17 2 2 3 2 2" xfId="15699"/>
    <cellStyle name="Percent 17 2 2 3 3" xfId="7436"/>
    <cellStyle name="Percent 17 2 2 3 3 2" xfId="14118"/>
    <cellStyle name="Percent 17 2 2 3 4" xfId="12333"/>
    <cellStyle name="Percent 17 2 2 4" xfId="5850"/>
    <cellStyle name="Percent 17 2 2 4 2" xfId="9591"/>
    <cellStyle name="Percent 17 2 2 4 2 2" xfId="16093"/>
    <cellStyle name="Percent 17 2 2 4 3" xfId="7872"/>
    <cellStyle name="Percent 17 2 2 4 3 2" xfId="14512"/>
    <cellStyle name="Percent 17 2 2 4 4" xfId="12743"/>
    <cellStyle name="Percent 17 2 2 5" xfId="10023"/>
    <cellStyle name="Percent 17 2 2 5 2" xfId="16504"/>
    <cellStyle name="Percent 17 2 2 6" xfId="8349"/>
    <cellStyle name="Percent 17 2 2 6 2" xfId="14906"/>
    <cellStyle name="Percent 17 2 2 7" xfId="6630"/>
    <cellStyle name="Percent 17 2 2 7 2" xfId="13320"/>
    <cellStyle name="Percent 17 2 2 8" xfId="11530"/>
    <cellStyle name="Percent 17 2 3" xfId="4806"/>
    <cellStyle name="Percent 17 2 3 2" xfId="8549"/>
    <cellStyle name="Percent 17 2 3 2 2" xfId="15101"/>
    <cellStyle name="Percent 17 2 3 3" xfId="6830"/>
    <cellStyle name="Percent 17 2 3 3 2" xfId="13520"/>
    <cellStyle name="Percent 17 2 3 4" xfId="11735"/>
    <cellStyle name="Percent 17 2 4" xfId="5215"/>
    <cellStyle name="Percent 17 2 4 2" xfId="8958"/>
    <cellStyle name="Percent 17 2 4 2 2" xfId="15502"/>
    <cellStyle name="Percent 17 2 4 3" xfId="7239"/>
    <cellStyle name="Percent 17 2 4 3 2" xfId="13921"/>
    <cellStyle name="Percent 17 2 4 4" xfId="12136"/>
    <cellStyle name="Percent 17 2 5" xfId="5648"/>
    <cellStyle name="Percent 17 2 5 2" xfId="9389"/>
    <cellStyle name="Percent 17 2 5 2 2" xfId="15896"/>
    <cellStyle name="Percent 17 2 5 3" xfId="7670"/>
    <cellStyle name="Percent 17 2 5 3 2" xfId="14315"/>
    <cellStyle name="Percent 17 2 5 4" xfId="12541"/>
    <cellStyle name="Percent 17 2 6" xfId="9796"/>
    <cellStyle name="Percent 17 2 6 2" xfId="16287"/>
    <cellStyle name="Percent 17 2 7" xfId="8111"/>
    <cellStyle name="Percent 17 2 7 2" xfId="14709"/>
    <cellStyle name="Percent 17 2 8" xfId="6393"/>
    <cellStyle name="Percent 17 2 8 2" xfId="13114"/>
    <cellStyle name="Percent 17 2 9" xfId="11324"/>
    <cellStyle name="Percent 17 3" xfId="4584"/>
    <cellStyle name="Percent 17 3 2" xfId="5028"/>
    <cellStyle name="Percent 17 3 2 2" xfId="8771"/>
    <cellStyle name="Percent 17 3 2 2 2" xfId="15319"/>
    <cellStyle name="Percent 17 3 2 3" xfId="7052"/>
    <cellStyle name="Percent 17 3 2 3 2" xfId="13738"/>
    <cellStyle name="Percent 17 3 2 4" xfId="11953"/>
    <cellStyle name="Percent 17 3 3" xfId="5411"/>
    <cellStyle name="Percent 17 3 3 2" xfId="9154"/>
    <cellStyle name="Percent 17 3 3 2 2" xfId="15698"/>
    <cellStyle name="Percent 17 3 3 3" xfId="7435"/>
    <cellStyle name="Percent 17 3 3 3 2" xfId="14117"/>
    <cellStyle name="Percent 17 3 3 4" xfId="12332"/>
    <cellStyle name="Percent 17 3 4" xfId="5849"/>
    <cellStyle name="Percent 17 3 4 2" xfId="9590"/>
    <cellStyle name="Percent 17 3 4 2 2" xfId="16092"/>
    <cellStyle name="Percent 17 3 4 3" xfId="7871"/>
    <cellStyle name="Percent 17 3 4 3 2" xfId="14511"/>
    <cellStyle name="Percent 17 3 4 4" xfId="12742"/>
    <cellStyle name="Percent 17 3 5" xfId="10024"/>
    <cellStyle name="Percent 17 3 5 2" xfId="16505"/>
    <cellStyle name="Percent 17 3 6" xfId="8348"/>
    <cellStyle name="Percent 17 3 6 2" xfId="14905"/>
    <cellStyle name="Percent 17 3 7" xfId="6629"/>
    <cellStyle name="Percent 17 3 7 2" xfId="13319"/>
    <cellStyle name="Percent 17 3 8" xfId="11529"/>
    <cellStyle name="Percent 17 4" xfId="4724"/>
    <cellStyle name="Percent 17 4 2" xfId="8468"/>
    <cellStyle name="Percent 17 4 2 2" xfId="15020"/>
    <cellStyle name="Percent 17 4 3" xfId="6749"/>
    <cellStyle name="Percent 17 4 3 2" xfId="13439"/>
    <cellStyle name="Percent 17 4 4" xfId="11653"/>
    <cellStyle name="Percent 17 5" xfId="5214"/>
    <cellStyle name="Percent 17 5 2" xfId="8957"/>
    <cellStyle name="Percent 17 5 2 2" xfId="15501"/>
    <cellStyle name="Percent 17 5 3" xfId="7238"/>
    <cellStyle name="Percent 17 5 3 2" xfId="13920"/>
    <cellStyle name="Percent 17 5 4" xfId="12135"/>
    <cellStyle name="Percent 17 6" xfId="5647"/>
    <cellStyle name="Percent 17 6 2" xfId="9388"/>
    <cellStyle name="Percent 17 6 2 2" xfId="15895"/>
    <cellStyle name="Percent 17 6 3" xfId="7669"/>
    <cellStyle name="Percent 17 6 3 2" xfId="14314"/>
    <cellStyle name="Percent 17 6 4" xfId="12540"/>
    <cellStyle name="Percent 17 7" xfId="9712"/>
    <cellStyle name="Percent 17 7 2" xfId="16205"/>
    <cellStyle name="Percent 17 8" xfId="8110"/>
    <cellStyle name="Percent 17 8 2" xfId="14708"/>
    <cellStyle name="Percent 17 9" xfId="6392"/>
    <cellStyle name="Percent 17 9 2" xfId="13113"/>
    <cellStyle name="Percent 18" xfId="4241"/>
    <cellStyle name="Percent 18 10" xfId="11325"/>
    <cellStyle name="Percent 18 2" xfId="4242"/>
    <cellStyle name="Percent 18 2 2" xfId="4587"/>
    <cellStyle name="Percent 18 2 2 2" xfId="5029"/>
    <cellStyle name="Percent 18 2 2 2 2" xfId="8772"/>
    <cellStyle name="Percent 18 2 2 2 2 2" xfId="15320"/>
    <cellStyle name="Percent 18 2 2 2 3" xfId="7053"/>
    <cellStyle name="Percent 18 2 2 2 3 2" xfId="13739"/>
    <cellStyle name="Percent 18 2 2 2 4" xfId="11954"/>
    <cellStyle name="Percent 18 2 2 3" xfId="5414"/>
    <cellStyle name="Percent 18 2 2 3 2" xfId="9157"/>
    <cellStyle name="Percent 18 2 2 3 2 2" xfId="15701"/>
    <cellStyle name="Percent 18 2 2 3 3" xfId="7438"/>
    <cellStyle name="Percent 18 2 2 3 3 2" xfId="14120"/>
    <cellStyle name="Percent 18 2 2 3 4" xfId="12335"/>
    <cellStyle name="Percent 18 2 2 4" xfId="5852"/>
    <cellStyle name="Percent 18 2 2 4 2" xfId="9593"/>
    <cellStyle name="Percent 18 2 2 4 2 2" xfId="16095"/>
    <cellStyle name="Percent 18 2 2 4 3" xfId="7874"/>
    <cellStyle name="Percent 18 2 2 4 3 2" xfId="14514"/>
    <cellStyle name="Percent 18 2 2 4 4" xfId="12745"/>
    <cellStyle name="Percent 18 2 2 5" xfId="10025"/>
    <cellStyle name="Percent 18 2 2 5 2" xfId="16506"/>
    <cellStyle name="Percent 18 2 2 6" xfId="8351"/>
    <cellStyle name="Percent 18 2 2 6 2" xfId="14908"/>
    <cellStyle name="Percent 18 2 2 7" xfId="6632"/>
    <cellStyle name="Percent 18 2 2 7 2" xfId="13322"/>
    <cellStyle name="Percent 18 2 2 8" xfId="11532"/>
    <cellStyle name="Percent 18 2 3" xfId="4807"/>
    <cellStyle name="Percent 18 2 3 2" xfId="8550"/>
    <cellStyle name="Percent 18 2 3 2 2" xfId="15102"/>
    <cellStyle name="Percent 18 2 3 3" xfId="6831"/>
    <cellStyle name="Percent 18 2 3 3 2" xfId="13521"/>
    <cellStyle name="Percent 18 2 3 4" xfId="11736"/>
    <cellStyle name="Percent 18 2 4" xfId="5217"/>
    <cellStyle name="Percent 18 2 4 2" xfId="8960"/>
    <cellStyle name="Percent 18 2 4 2 2" xfId="15504"/>
    <cellStyle name="Percent 18 2 4 3" xfId="7241"/>
    <cellStyle name="Percent 18 2 4 3 2" xfId="13923"/>
    <cellStyle name="Percent 18 2 4 4" xfId="12138"/>
    <cellStyle name="Percent 18 2 5" xfId="5650"/>
    <cellStyle name="Percent 18 2 5 2" xfId="9391"/>
    <cellStyle name="Percent 18 2 5 2 2" xfId="15898"/>
    <cellStyle name="Percent 18 2 5 3" xfId="7672"/>
    <cellStyle name="Percent 18 2 5 3 2" xfId="14317"/>
    <cellStyle name="Percent 18 2 5 4" xfId="12543"/>
    <cellStyle name="Percent 18 2 6" xfId="9797"/>
    <cellStyle name="Percent 18 2 6 2" xfId="16288"/>
    <cellStyle name="Percent 18 2 7" xfId="8113"/>
    <cellStyle name="Percent 18 2 7 2" xfId="14711"/>
    <cellStyle name="Percent 18 2 8" xfId="6395"/>
    <cellStyle name="Percent 18 2 8 2" xfId="13116"/>
    <cellStyle name="Percent 18 2 9" xfId="11326"/>
    <cellStyle name="Percent 18 3" xfId="4586"/>
    <cellStyle name="Percent 18 3 2" xfId="5030"/>
    <cellStyle name="Percent 18 3 2 2" xfId="8773"/>
    <cellStyle name="Percent 18 3 2 2 2" xfId="15321"/>
    <cellStyle name="Percent 18 3 2 3" xfId="7054"/>
    <cellStyle name="Percent 18 3 2 3 2" xfId="13740"/>
    <cellStyle name="Percent 18 3 2 4" xfId="11955"/>
    <cellStyle name="Percent 18 3 3" xfId="5413"/>
    <cellStyle name="Percent 18 3 3 2" xfId="9156"/>
    <cellStyle name="Percent 18 3 3 2 2" xfId="15700"/>
    <cellStyle name="Percent 18 3 3 3" xfId="7437"/>
    <cellStyle name="Percent 18 3 3 3 2" xfId="14119"/>
    <cellStyle name="Percent 18 3 3 4" xfId="12334"/>
    <cellStyle name="Percent 18 3 4" xfId="5851"/>
    <cellStyle name="Percent 18 3 4 2" xfId="9592"/>
    <cellStyle name="Percent 18 3 4 2 2" xfId="16094"/>
    <cellStyle name="Percent 18 3 4 3" xfId="7873"/>
    <cellStyle name="Percent 18 3 4 3 2" xfId="14513"/>
    <cellStyle name="Percent 18 3 4 4" xfId="12744"/>
    <cellStyle name="Percent 18 3 5" xfId="10026"/>
    <cellStyle name="Percent 18 3 5 2" xfId="16507"/>
    <cellStyle name="Percent 18 3 6" xfId="8350"/>
    <cellStyle name="Percent 18 3 6 2" xfId="14907"/>
    <cellStyle name="Percent 18 3 7" xfId="6631"/>
    <cellStyle name="Percent 18 3 7 2" xfId="13321"/>
    <cellStyle name="Percent 18 3 8" xfId="11531"/>
    <cellStyle name="Percent 18 4" xfId="4725"/>
    <cellStyle name="Percent 18 4 2" xfId="8469"/>
    <cellStyle name="Percent 18 4 2 2" xfId="15021"/>
    <cellStyle name="Percent 18 4 3" xfId="6750"/>
    <cellStyle name="Percent 18 4 3 2" xfId="13440"/>
    <cellStyle name="Percent 18 4 4" xfId="11654"/>
    <cellStyle name="Percent 18 5" xfId="5216"/>
    <cellStyle name="Percent 18 5 2" xfId="8959"/>
    <cellStyle name="Percent 18 5 2 2" xfId="15503"/>
    <cellStyle name="Percent 18 5 3" xfId="7240"/>
    <cellStyle name="Percent 18 5 3 2" xfId="13922"/>
    <cellStyle name="Percent 18 5 4" xfId="12137"/>
    <cellStyle name="Percent 18 6" xfId="5649"/>
    <cellStyle name="Percent 18 6 2" xfId="9390"/>
    <cellStyle name="Percent 18 6 2 2" xfId="15897"/>
    <cellStyle name="Percent 18 6 3" xfId="7671"/>
    <cellStyle name="Percent 18 6 3 2" xfId="14316"/>
    <cellStyle name="Percent 18 6 4" xfId="12542"/>
    <cellStyle name="Percent 18 7" xfId="9713"/>
    <cellStyle name="Percent 18 7 2" xfId="16206"/>
    <cellStyle name="Percent 18 8" xfId="8112"/>
    <cellStyle name="Percent 18 8 2" xfId="14710"/>
    <cellStyle name="Percent 18 9" xfId="6394"/>
    <cellStyle name="Percent 18 9 2" xfId="13115"/>
    <cellStyle name="Percent 19" xfId="4243"/>
    <cellStyle name="Percent 19 10" xfId="11327"/>
    <cellStyle name="Percent 19 2" xfId="4244"/>
    <cellStyle name="Percent 19 3" xfId="4588"/>
    <cellStyle name="Percent 19 3 2" xfId="5031"/>
    <cellStyle name="Percent 19 3 2 2" xfId="8774"/>
    <cellStyle name="Percent 19 3 2 2 2" xfId="15322"/>
    <cellStyle name="Percent 19 3 2 3" xfId="7055"/>
    <cellStyle name="Percent 19 3 2 3 2" xfId="13741"/>
    <cellStyle name="Percent 19 3 2 4" xfId="11956"/>
    <cellStyle name="Percent 19 3 3" xfId="5415"/>
    <cellStyle name="Percent 19 3 3 2" xfId="9158"/>
    <cellStyle name="Percent 19 3 3 2 2" xfId="15702"/>
    <cellStyle name="Percent 19 3 3 3" xfId="7439"/>
    <cellStyle name="Percent 19 3 3 3 2" xfId="14121"/>
    <cellStyle name="Percent 19 3 3 4" xfId="12336"/>
    <cellStyle name="Percent 19 3 4" xfId="5853"/>
    <cellStyle name="Percent 19 3 4 2" xfId="9594"/>
    <cellStyle name="Percent 19 3 4 2 2" xfId="16096"/>
    <cellStyle name="Percent 19 3 4 3" xfId="7875"/>
    <cellStyle name="Percent 19 3 4 3 2" xfId="14515"/>
    <cellStyle name="Percent 19 3 4 4" xfId="12746"/>
    <cellStyle name="Percent 19 3 5" xfId="10027"/>
    <cellStyle name="Percent 19 3 5 2" xfId="16508"/>
    <cellStyle name="Percent 19 3 6" xfId="8352"/>
    <cellStyle name="Percent 19 3 6 2" xfId="14909"/>
    <cellStyle name="Percent 19 3 7" xfId="6633"/>
    <cellStyle name="Percent 19 3 7 2" xfId="13323"/>
    <cellStyle name="Percent 19 3 8" xfId="11533"/>
    <cellStyle name="Percent 19 4" xfId="4735"/>
    <cellStyle name="Percent 19 4 2" xfId="8478"/>
    <cellStyle name="Percent 19 4 2 2" xfId="15030"/>
    <cellStyle name="Percent 19 4 3" xfId="6759"/>
    <cellStyle name="Percent 19 4 3 2" xfId="13449"/>
    <cellStyle name="Percent 19 4 4" xfId="11664"/>
    <cellStyle name="Percent 19 5" xfId="5218"/>
    <cellStyle name="Percent 19 5 2" xfId="8961"/>
    <cellStyle name="Percent 19 5 2 2" xfId="15505"/>
    <cellStyle name="Percent 19 5 3" xfId="7242"/>
    <cellStyle name="Percent 19 5 3 2" xfId="13924"/>
    <cellStyle name="Percent 19 5 4" xfId="12139"/>
    <cellStyle name="Percent 19 6" xfId="5651"/>
    <cellStyle name="Percent 19 6 2" xfId="9392"/>
    <cellStyle name="Percent 19 6 2 2" xfId="15899"/>
    <cellStyle name="Percent 19 6 3" xfId="7673"/>
    <cellStyle name="Percent 19 6 3 2" xfId="14318"/>
    <cellStyle name="Percent 19 6 4" xfId="12544"/>
    <cellStyle name="Percent 19 7" xfId="9723"/>
    <cellStyle name="Percent 19 7 2" xfId="16216"/>
    <cellStyle name="Percent 19 8" xfId="8114"/>
    <cellStyle name="Percent 19 8 2" xfId="14712"/>
    <cellStyle name="Percent 19 9" xfId="6396"/>
    <cellStyle name="Percent 19 9 2" xfId="13117"/>
    <cellStyle name="Percent 2" xfId="7"/>
    <cellStyle name="Percent 2 10" xfId="4687"/>
    <cellStyle name="Percent 2 10 2" xfId="8433"/>
    <cellStyle name="Percent 2 10 2 2" xfId="14985"/>
    <cellStyle name="Percent 2 10 3" xfId="6714"/>
    <cellStyle name="Percent 2 10 3 2" xfId="13404"/>
    <cellStyle name="Percent 2 10 4" xfId="11618"/>
    <cellStyle name="Percent 2 11" xfId="5077"/>
    <cellStyle name="Percent 2 11 2" xfId="8820"/>
    <cellStyle name="Percent 2 11 2 2" xfId="15368"/>
    <cellStyle name="Percent 2 11 3" xfId="7101"/>
    <cellStyle name="Percent 2 11 3 2" xfId="13787"/>
    <cellStyle name="Percent 2 11 4" xfId="12002"/>
    <cellStyle name="Percent 2 12" xfId="5514"/>
    <cellStyle name="Percent 2 12 2" xfId="9255"/>
    <cellStyle name="Percent 2 12 2 2" xfId="15762"/>
    <cellStyle name="Percent 2 12 3" xfId="7536"/>
    <cellStyle name="Percent 2 12 3 2" xfId="14181"/>
    <cellStyle name="Percent 2 12 4" xfId="12407"/>
    <cellStyle name="Percent 2 13" xfId="9667"/>
    <cellStyle name="Percent 2 13 2" xfId="16169"/>
    <cellStyle name="Percent 2 14" xfId="7935"/>
    <cellStyle name="Percent 2 14 2" xfId="14575"/>
    <cellStyle name="Percent 2 15" xfId="5914"/>
    <cellStyle name="Percent 2 15 2" xfId="12807"/>
    <cellStyle name="Percent 2 16" xfId="10246"/>
    <cellStyle name="Percent 2 2" xfId="20"/>
    <cellStyle name="Percent 2 2 10" xfId="7941"/>
    <cellStyle name="Percent 2 2 10 2" xfId="14581"/>
    <cellStyle name="Percent 2 2 11" xfId="5920"/>
    <cellStyle name="Percent 2 2 11 2" xfId="12813"/>
    <cellStyle name="Percent 2 2 12" xfId="10255"/>
    <cellStyle name="Percent 2 2 2" xfId="41"/>
    <cellStyle name="Percent 2 2 2 10" xfId="5939"/>
    <cellStyle name="Percent 2 2 2 10 2" xfId="12832"/>
    <cellStyle name="Percent 2 2 2 11" xfId="10274"/>
    <cellStyle name="Percent 2 2 2 2" xfId="4245"/>
    <cellStyle name="Percent 2 2 2 2 2" xfId="4589"/>
    <cellStyle name="Percent 2 2 2 2 2 2" xfId="5032"/>
    <cellStyle name="Percent 2 2 2 2 2 2 2" xfId="8775"/>
    <cellStyle name="Percent 2 2 2 2 2 2 2 2" xfId="15323"/>
    <cellStyle name="Percent 2 2 2 2 2 2 3" xfId="7056"/>
    <cellStyle name="Percent 2 2 2 2 2 2 3 2" xfId="13742"/>
    <cellStyle name="Percent 2 2 2 2 2 2 4" xfId="11957"/>
    <cellStyle name="Percent 2 2 2 2 2 3" xfId="5416"/>
    <cellStyle name="Percent 2 2 2 2 2 3 2" xfId="9159"/>
    <cellStyle name="Percent 2 2 2 2 2 3 2 2" xfId="15703"/>
    <cellStyle name="Percent 2 2 2 2 2 3 3" xfId="7440"/>
    <cellStyle name="Percent 2 2 2 2 2 3 3 2" xfId="14122"/>
    <cellStyle name="Percent 2 2 2 2 2 3 4" xfId="12337"/>
    <cellStyle name="Percent 2 2 2 2 2 4" xfId="5854"/>
    <cellStyle name="Percent 2 2 2 2 2 4 2" xfId="9595"/>
    <cellStyle name="Percent 2 2 2 2 2 4 2 2" xfId="16097"/>
    <cellStyle name="Percent 2 2 2 2 2 4 3" xfId="7876"/>
    <cellStyle name="Percent 2 2 2 2 2 4 3 2" xfId="14516"/>
    <cellStyle name="Percent 2 2 2 2 2 4 4" xfId="12747"/>
    <cellStyle name="Percent 2 2 2 2 2 5" xfId="10028"/>
    <cellStyle name="Percent 2 2 2 2 2 5 2" xfId="16509"/>
    <cellStyle name="Percent 2 2 2 2 2 6" xfId="8353"/>
    <cellStyle name="Percent 2 2 2 2 2 6 2" xfId="14910"/>
    <cellStyle name="Percent 2 2 2 2 2 7" xfId="6634"/>
    <cellStyle name="Percent 2 2 2 2 2 7 2" xfId="13324"/>
    <cellStyle name="Percent 2 2 2 2 2 8" xfId="11534"/>
    <cellStyle name="Percent 2 2 2 2 3" xfId="4780"/>
    <cellStyle name="Percent 2 2 2 2 3 2" xfId="8523"/>
    <cellStyle name="Percent 2 2 2 2 3 2 2" xfId="15075"/>
    <cellStyle name="Percent 2 2 2 2 3 3" xfId="6804"/>
    <cellStyle name="Percent 2 2 2 2 3 3 2" xfId="13494"/>
    <cellStyle name="Percent 2 2 2 2 3 4" xfId="11709"/>
    <cellStyle name="Percent 2 2 2 2 4" xfId="5219"/>
    <cellStyle name="Percent 2 2 2 2 4 2" xfId="8962"/>
    <cellStyle name="Percent 2 2 2 2 4 2 2" xfId="15506"/>
    <cellStyle name="Percent 2 2 2 2 4 3" xfId="7243"/>
    <cellStyle name="Percent 2 2 2 2 4 3 2" xfId="13925"/>
    <cellStyle name="Percent 2 2 2 2 4 4" xfId="12140"/>
    <cellStyle name="Percent 2 2 2 2 5" xfId="5652"/>
    <cellStyle name="Percent 2 2 2 2 5 2" xfId="9393"/>
    <cellStyle name="Percent 2 2 2 2 5 2 2" xfId="15900"/>
    <cellStyle name="Percent 2 2 2 2 5 3" xfId="7674"/>
    <cellStyle name="Percent 2 2 2 2 5 3 2" xfId="14319"/>
    <cellStyle name="Percent 2 2 2 2 5 4" xfId="12545"/>
    <cellStyle name="Percent 2 2 2 2 6" xfId="9770"/>
    <cellStyle name="Percent 2 2 2 2 6 2" xfId="16261"/>
    <cellStyle name="Percent 2 2 2 2 7" xfId="8115"/>
    <cellStyle name="Percent 2 2 2 2 7 2" xfId="14713"/>
    <cellStyle name="Percent 2 2 2 2 8" xfId="6397"/>
    <cellStyle name="Percent 2 2 2 2 8 2" xfId="13118"/>
    <cellStyle name="Percent 2 2 2 2 9" xfId="11328"/>
    <cellStyle name="Percent 2 2 2 3" xfId="4246"/>
    <cellStyle name="Percent 2 2 2 3 2" xfId="4590"/>
    <cellStyle name="Percent 2 2 2 3 2 2" xfId="5033"/>
    <cellStyle name="Percent 2 2 2 3 2 2 2" xfId="8776"/>
    <cellStyle name="Percent 2 2 2 3 2 2 2 2" xfId="15324"/>
    <cellStyle name="Percent 2 2 2 3 2 2 3" xfId="7057"/>
    <cellStyle name="Percent 2 2 2 3 2 2 3 2" xfId="13743"/>
    <cellStyle name="Percent 2 2 2 3 2 2 4" xfId="11958"/>
    <cellStyle name="Percent 2 2 2 3 2 3" xfId="5417"/>
    <cellStyle name="Percent 2 2 2 3 2 3 2" xfId="9160"/>
    <cellStyle name="Percent 2 2 2 3 2 3 2 2" xfId="15704"/>
    <cellStyle name="Percent 2 2 2 3 2 3 3" xfId="7441"/>
    <cellStyle name="Percent 2 2 2 3 2 3 3 2" xfId="14123"/>
    <cellStyle name="Percent 2 2 2 3 2 3 4" xfId="12338"/>
    <cellStyle name="Percent 2 2 2 3 2 4" xfId="5855"/>
    <cellStyle name="Percent 2 2 2 3 2 4 2" xfId="9596"/>
    <cellStyle name="Percent 2 2 2 3 2 4 2 2" xfId="16098"/>
    <cellStyle name="Percent 2 2 2 3 2 4 3" xfId="7877"/>
    <cellStyle name="Percent 2 2 2 3 2 4 3 2" xfId="14517"/>
    <cellStyle name="Percent 2 2 2 3 2 4 4" xfId="12748"/>
    <cellStyle name="Percent 2 2 2 3 2 5" xfId="10029"/>
    <cellStyle name="Percent 2 2 2 3 2 5 2" xfId="16510"/>
    <cellStyle name="Percent 2 2 2 3 2 6" xfId="8354"/>
    <cellStyle name="Percent 2 2 2 3 2 6 2" xfId="14911"/>
    <cellStyle name="Percent 2 2 2 3 2 7" xfId="6635"/>
    <cellStyle name="Percent 2 2 2 3 2 7 2" xfId="13325"/>
    <cellStyle name="Percent 2 2 2 3 2 8" xfId="11535"/>
    <cellStyle name="Percent 2 2 2 3 3" xfId="4840"/>
    <cellStyle name="Percent 2 2 2 3 3 2" xfId="8583"/>
    <cellStyle name="Percent 2 2 2 3 3 2 2" xfId="15131"/>
    <cellStyle name="Percent 2 2 2 3 3 3" xfId="6864"/>
    <cellStyle name="Percent 2 2 2 3 3 3 2" xfId="13550"/>
    <cellStyle name="Percent 2 2 2 3 3 4" xfId="11765"/>
    <cellStyle name="Percent 2 2 2 3 4" xfId="5220"/>
    <cellStyle name="Percent 2 2 2 3 4 2" xfId="8963"/>
    <cellStyle name="Percent 2 2 2 3 4 2 2" xfId="15507"/>
    <cellStyle name="Percent 2 2 2 3 4 3" xfId="7244"/>
    <cellStyle name="Percent 2 2 2 3 4 3 2" xfId="13926"/>
    <cellStyle name="Percent 2 2 2 3 4 4" xfId="12141"/>
    <cellStyle name="Percent 2 2 2 3 5" xfId="5653"/>
    <cellStyle name="Percent 2 2 2 3 5 2" xfId="9394"/>
    <cellStyle name="Percent 2 2 2 3 5 2 2" xfId="15901"/>
    <cellStyle name="Percent 2 2 2 3 5 3" xfId="7675"/>
    <cellStyle name="Percent 2 2 2 3 5 3 2" xfId="14320"/>
    <cellStyle name="Percent 2 2 2 3 5 4" xfId="12546"/>
    <cellStyle name="Percent 2 2 2 3 6" xfId="9831"/>
    <cellStyle name="Percent 2 2 2 3 6 2" xfId="16317"/>
    <cellStyle name="Percent 2 2 2 3 7" xfId="8116"/>
    <cellStyle name="Percent 2 2 2 3 7 2" xfId="14714"/>
    <cellStyle name="Percent 2 2 2 3 8" xfId="6398"/>
    <cellStyle name="Percent 2 2 2 3 8 2" xfId="13119"/>
    <cellStyle name="Percent 2 2 2 3 9" xfId="11329"/>
    <cellStyle name="Percent 2 2 2 4" xfId="4475"/>
    <cellStyle name="Percent 2 2 2 4 2" xfId="5034"/>
    <cellStyle name="Percent 2 2 2 4 2 2" xfId="8777"/>
    <cellStyle name="Percent 2 2 2 4 2 2 2" xfId="15325"/>
    <cellStyle name="Percent 2 2 2 4 2 3" xfId="7058"/>
    <cellStyle name="Percent 2 2 2 4 2 3 2" xfId="13744"/>
    <cellStyle name="Percent 2 2 2 4 2 4" xfId="11959"/>
    <cellStyle name="Percent 2 2 2 4 3" xfId="5303"/>
    <cellStyle name="Percent 2 2 2 4 3 2" xfId="9046"/>
    <cellStyle name="Percent 2 2 2 4 3 2 2" xfId="15590"/>
    <cellStyle name="Percent 2 2 2 4 3 3" xfId="7327"/>
    <cellStyle name="Percent 2 2 2 4 3 3 2" xfId="14009"/>
    <cellStyle name="Percent 2 2 2 4 3 4" xfId="12224"/>
    <cellStyle name="Percent 2 2 2 4 4" xfId="5741"/>
    <cellStyle name="Percent 2 2 2 4 4 2" xfId="9482"/>
    <cellStyle name="Percent 2 2 2 4 4 2 2" xfId="15984"/>
    <cellStyle name="Percent 2 2 2 4 4 3" xfId="7763"/>
    <cellStyle name="Percent 2 2 2 4 4 3 2" xfId="14403"/>
    <cellStyle name="Percent 2 2 2 4 4 4" xfId="12634"/>
    <cellStyle name="Percent 2 2 2 4 5" xfId="10030"/>
    <cellStyle name="Percent 2 2 2 4 5 2" xfId="16511"/>
    <cellStyle name="Percent 2 2 2 4 6" xfId="8240"/>
    <cellStyle name="Percent 2 2 2 4 6 2" xfId="14797"/>
    <cellStyle name="Percent 2 2 2 4 7" xfId="6521"/>
    <cellStyle name="Percent 2 2 2 4 7 2" xfId="13211"/>
    <cellStyle name="Percent 2 2 2 4 8" xfId="11420"/>
    <cellStyle name="Percent 2 2 2 5" xfId="4689"/>
    <cellStyle name="Percent 2 2 2 5 2" xfId="8435"/>
    <cellStyle name="Percent 2 2 2 5 2 2" xfId="14987"/>
    <cellStyle name="Percent 2 2 2 5 3" xfId="6716"/>
    <cellStyle name="Percent 2 2 2 5 3 2" xfId="13406"/>
    <cellStyle name="Percent 2 2 2 5 4" xfId="11620"/>
    <cellStyle name="Percent 2 2 2 6" xfId="5102"/>
    <cellStyle name="Percent 2 2 2 6 2" xfId="8845"/>
    <cellStyle name="Percent 2 2 2 6 2 2" xfId="15393"/>
    <cellStyle name="Percent 2 2 2 6 3" xfId="7126"/>
    <cellStyle name="Percent 2 2 2 6 3 2" xfId="13812"/>
    <cellStyle name="Percent 2 2 2 6 4" xfId="12027"/>
    <cellStyle name="Percent 2 2 2 7" xfId="5539"/>
    <cellStyle name="Percent 2 2 2 7 2" xfId="9280"/>
    <cellStyle name="Percent 2 2 2 7 2 2" xfId="15787"/>
    <cellStyle name="Percent 2 2 2 7 3" xfId="7561"/>
    <cellStyle name="Percent 2 2 2 7 3 2" xfId="14206"/>
    <cellStyle name="Percent 2 2 2 7 4" xfId="12432"/>
    <cellStyle name="Percent 2 2 2 8" xfId="9669"/>
    <cellStyle name="Percent 2 2 2 8 2" xfId="16171"/>
    <cellStyle name="Percent 2 2 2 9" xfId="7960"/>
    <cellStyle name="Percent 2 2 2 9 2" xfId="14600"/>
    <cellStyle name="Percent 2 2 3" xfId="28"/>
    <cellStyle name="Percent 2 2 3 2" xfId="4463"/>
    <cellStyle name="Percent 2 2 3 2 2" xfId="5035"/>
    <cellStyle name="Percent 2 2 3 2 2 2" xfId="8778"/>
    <cellStyle name="Percent 2 2 3 2 2 2 2" xfId="15326"/>
    <cellStyle name="Percent 2 2 3 2 2 3" xfId="7059"/>
    <cellStyle name="Percent 2 2 3 2 2 3 2" xfId="13745"/>
    <cellStyle name="Percent 2 2 3 2 2 4" xfId="11960"/>
    <cellStyle name="Percent 2 2 3 2 3" xfId="5291"/>
    <cellStyle name="Percent 2 2 3 2 3 2" xfId="9034"/>
    <cellStyle name="Percent 2 2 3 2 3 2 2" xfId="15578"/>
    <cellStyle name="Percent 2 2 3 2 3 3" xfId="7315"/>
    <cellStyle name="Percent 2 2 3 2 3 3 2" xfId="13997"/>
    <cellStyle name="Percent 2 2 3 2 3 4" xfId="12212"/>
    <cellStyle name="Percent 2 2 3 2 4" xfId="5729"/>
    <cellStyle name="Percent 2 2 3 2 4 2" xfId="9470"/>
    <cellStyle name="Percent 2 2 3 2 4 2 2" xfId="15972"/>
    <cellStyle name="Percent 2 2 3 2 4 3" xfId="7751"/>
    <cellStyle name="Percent 2 2 3 2 4 3 2" xfId="14391"/>
    <cellStyle name="Percent 2 2 3 2 4 4" xfId="12622"/>
    <cellStyle name="Percent 2 2 3 2 5" xfId="10031"/>
    <cellStyle name="Percent 2 2 3 2 5 2" xfId="16512"/>
    <cellStyle name="Percent 2 2 3 2 6" xfId="8228"/>
    <cellStyle name="Percent 2 2 3 2 6 2" xfId="14785"/>
    <cellStyle name="Percent 2 2 3 2 7" xfId="6509"/>
    <cellStyle name="Percent 2 2 3 2 7 2" xfId="13199"/>
    <cellStyle name="Percent 2 2 3 2 8" xfId="11408"/>
    <cellStyle name="Percent 2 2 3 3" xfId="4779"/>
    <cellStyle name="Percent 2 2 3 3 2" xfId="8522"/>
    <cellStyle name="Percent 2 2 3 3 2 2" xfId="15074"/>
    <cellStyle name="Percent 2 2 3 3 3" xfId="6803"/>
    <cellStyle name="Percent 2 2 3 3 3 2" xfId="13493"/>
    <cellStyle name="Percent 2 2 3 3 4" xfId="11708"/>
    <cellStyle name="Percent 2 2 3 4" xfId="5090"/>
    <cellStyle name="Percent 2 2 3 4 2" xfId="8833"/>
    <cellStyle name="Percent 2 2 3 4 2 2" xfId="15381"/>
    <cellStyle name="Percent 2 2 3 4 3" xfId="7114"/>
    <cellStyle name="Percent 2 2 3 4 3 2" xfId="13800"/>
    <cellStyle name="Percent 2 2 3 4 4" xfId="12015"/>
    <cellStyle name="Percent 2 2 3 5" xfId="5527"/>
    <cellStyle name="Percent 2 2 3 5 2" xfId="9268"/>
    <cellStyle name="Percent 2 2 3 5 2 2" xfId="15775"/>
    <cellStyle name="Percent 2 2 3 5 3" xfId="7549"/>
    <cellStyle name="Percent 2 2 3 5 3 2" xfId="14194"/>
    <cellStyle name="Percent 2 2 3 5 4" xfId="12420"/>
    <cellStyle name="Percent 2 2 3 6" xfId="9769"/>
    <cellStyle name="Percent 2 2 3 6 2" xfId="16260"/>
    <cellStyle name="Percent 2 2 3 7" xfId="7948"/>
    <cellStyle name="Percent 2 2 3 7 2" xfId="14588"/>
    <cellStyle name="Percent 2 2 3 8" xfId="5927"/>
    <cellStyle name="Percent 2 2 3 8 2" xfId="12820"/>
    <cellStyle name="Percent 2 2 3 9" xfId="10262"/>
    <cellStyle name="Percent 2 2 4" xfId="4247"/>
    <cellStyle name="Percent 2 2 4 2" xfId="4591"/>
    <cellStyle name="Percent 2 2 4 2 2" xfId="5036"/>
    <cellStyle name="Percent 2 2 4 2 2 2" xfId="8779"/>
    <cellStyle name="Percent 2 2 4 2 2 2 2" xfId="15327"/>
    <cellStyle name="Percent 2 2 4 2 2 3" xfId="7060"/>
    <cellStyle name="Percent 2 2 4 2 2 3 2" xfId="13746"/>
    <cellStyle name="Percent 2 2 4 2 2 4" xfId="11961"/>
    <cellStyle name="Percent 2 2 4 2 3" xfId="5418"/>
    <cellStyle name="Percent 2 2 4 2 3 2" xfId="9161"/>
    <cellStyle name="Percent 2 2 4 2 3 2 2" xfId="15705"/>
    <cellStyle name="Percent 2 2 4 2 3 3" xfId="7442"/>
    <cellStyle name="Percent 2 2 4 2 3 3 2" xfId="14124"/>
    <cellStyle name="Percent 2 2 4 2 3 4" xfId="12339"/>
    <cellStyle name="Percent 2 2 4 2 4" xfId="5856"/>
    <cellStyle name="Percent 2 2 4 2 4 2" xfId="9597"/>
    <cellStyle name="Percent 2 2 4 2 4 2 2" xfId="16099"/>
    <cellStyle name="Percent 2 2 4 2 4 3" xfId="7878"/>
    <cellStyle name="Percent 2 2 4 2 4 3 2" xfId="14518"/>
    <cellStyle name="Percent 2 2 4 2 4 4" xfId="12749"/>
    <cellStyle name="Percent 2 2 4 2 5" xfId="10032"/>
    <cellStyle name="Percent 2 2 4 2 5 2" xfId="16513"/>
    <cellStyle name="Percent 2 2 4 2 6" xfId="8355"/>
    <cellStyle name="Percent 2 2 4 2 6 2" xfId="14912"/>
    <cellStyle name="Percent 2 2 4 2 7" xfId="6636"/>
    <cellStyle name="Percent 2 2 4 2 7 2" xfId="13326"/>
    <cellStyle name="Percent 2 2 4 2 8" xfId="11536"/>
    <cellStyle name="Percent 2 2 4 3" xfId="4828"/>
    <cellStyle name="Percent 2 2 4 3 2" xfId="8571"/>
    <cellStyle name="Percent 2 2 4 3 2 2" xfId="15119"/>
    <cellStyle name="Percent 2 2 4 3 3" xfId="6852"/>
    <cellStyle name="Percent 2 2 4 3 3 2" xfId="13538"/>
    <cellStyle name="Percent 2 2 4 3 4" xfId="11753"/>
    <cellStyle name="Percent 2 2 4 4" xfId="5221"/>
    <cellStyle name="Percent 2 2 4 4 2" xfId="8964"/>
    <cellStyle name="Percent 2 2 4 4 2 2" xfId="15508"/>
    <cellStyle name="Percent 2 2 4 4 3" xfId="7245"/>
    <cellStyle name="Percent 2 2 4 4 3 2" xfId="13927"/>
    <cellStyle name="Percent 2 2 4 4 4" xfId="12142"/>
    <cellStyle name="Percent 2 2 4 5" xfId="5654"/>
    <cellStyle name="Percent 2 2 4 5 2" xfId="9395"/>
    <cellStyle name="Percent 2 2 4 5 2 2" xfId="15902"/>
    <cellStyle name="Percent 2 2 4 5 3" xfId="7676"/>
    <cellStyle name="Percent 2 2 4 5 3 2" xfId="14321"/>
    <cellStyle name="Percent 2 2 4 5 4" xfId="12547"/>
    <cellStyle name="Percent 2 2 4 6" xfId="9819"/>
    <cellStyle name="Percent 2 2 4 6 2" xfId="16305"/>
    <cellStyle name="Percent 2 2 4 7" xfId="8117"/>
    <cellStyle name="Percent 2 2 4 7 2" xfId="14715"/>
    <cellStyle name="Percent 2 2 4 8" xfId="6399"/>
    <cellStyle name="Percent 2 2 4 8 2" xfId="13120"/>
    <cellStyle name="Percent 2 2 4 9" xfId="11330"/>
    <cellStyle name="Percent 2 2 5" xfId="4456"/>
    <cellStyle name="Percent 2 2 5 2" xfId="5037"/>
    <cellStyle name="Percent 2 2 5 2 2" xfId="8780"/>
    <cellStyle name="Percent 2 2 5 2 2 2" xfId="15328"/>
    <cellStyle name="Percent 2 2 5 2 3" xfId="7061"/>
    <cellStyle name="Percent 2 2 5 2 3 2" xfId="13747"/>
    <cellStyle name="Percent 2 2 5 2 4" xfId="11962"/>
    <cellStyle name="Percent 2 2 5 3" xfId="5284"/>
    <cellStyle name="Percent 2 2 5 3 2" xfId="9027"/>
    <cellStyle name="Percent 2 2 5 3 2 2" xfId="15571"/>
    <cellStyle name="Percent 2 2 5 3 3" xfId="7308"/>
    <cellStyle name="Percent 2 2 5 3 3 2" xfId="13990"/>
    <cellStyle name="Percent 2 2 5 3 4" xfId="12205"/>
    <cellStyle name="Percent 2 2 5 4" xfId="5722"/>
    <cellStyle name="Percent 2 2 5 4 2" xfId="9463"/>
    <cellStyle name="Percent 2 2 5 4 2 2" xfId="15965"/>
    <cellStyle name="Percent 2 2 5 4 3" xfId="7744"/>
    <cellStyle name="Percent 2 2 5 4 3 2" xfId="14384"/>
    <cellStyle name="Percent 2 2 5 4 4" xfId="12615"/>
    <cellStyle name="Percent 2 2 5 5" xfId="10033"/>
    <cellStyle name="Percent 2 2 5 5 2" xfId="16514"/>
    <cellStyle name="Percent 2 2 5 6" xfId="8221"/>
    <cellStyle name="Percent 2 2 5 6 2" xfId="14778"/>
    <cellStyle name="Percent 2 2 5 7" xfId="6502"/>
    <cellStyle name="Percent 2 2 5 7 2" xfId="13192"/>
    <cellStyle name="Percent 2 2 5 8" xfId="11401"/>
    <cellStyle name="Percent 2 2 6" xfId="4688"/>
    <cellStyle name="Percent 2 2 6 2" xfId="8434"/>
    <cellStyle name="Percent 2 2 6 2 2" xfId="14986"/>
    <cellStyle name="Percent 2 2 6 3" xfId="6715"/>
    <cellStyle name="Percent 2 2 6 3 2" xfId="13405"/>
    <cellStyle name="Percent 2 2 6 4" xfId="11619"/>
    <cellStyle name="Percent 2 2 7" xfId="5083"/>
    <cellStyle name="Percent 2 2 7 2" xfId="8826"/>
    <cellStyle name="Percent 2 2 7 2 2" xfId="15374"/>
    <cellStyle name="Percent 2 2 7 3" xfId="7107"/>
    <cellStyle name="Percent 2 2 7 3 2" xfId="13793"/>
    <cellStyle name="Percent 2 2 7 4" xfId="12008"/>
    <cellStyle name="Percent 2 2 8" xfId="5520"/>
    <cellStyle name="Percent 2 2 8 2" xfId="9261"/>
    <cellStyle name="Percent 2 2 8 2 2" xfId="15768"/>
    <cellStyle name="Percent 2 2 8 3" xfId="7542"/>
    <cellStyle name="Percent 2 2 8 3 2" xfId="14187"/>
    <cellStyle name="Percent 2 2 8 4" xfId="12413"/>
    <cellStyle name="Percent 2 2 9" xfId="9668"/>
    <cellStyle name="Percent 2 2 9 2" xfId="16170"/>
    <cellStyle name="Percent 2 3" xfId="34"/>
    <cellStyle name="Percent 2 3 10" xfId="5933"/>
    <cellStyle name="Percent 2 3 10 2" xfId="12826"/>
    <cellStyle name="Percent 2 3 11" xfId="10268"/>
    <cellStyle name="Percent 2 3 2" xfId="4248"/>
    <cellStyle name="Percent 2 3 2 2" xfId="4592"/>
    <cellStyle name="Percent 2 3 2 2 2" xfId="5038"/>
    <cellStyle name="Percent 2 3 2 2 2 2" xfId="8781"/>
    <cellStyle name="Percent 2 3 2 2 2 2 2" xfId="15329"/>
    <cellStyle name="Percent 2 3 2 2 2 3" xfId="7062"/>
    <cellStyle name="Percent 2 3 2 2 2 3 2" xfId="13748"/>
    <cellStyle name="Percent 2 3 2 2 2 4" xfId="11963"/>
    <cellStyle name="Percent 2 3 2 2 3" xfId="5419"/>
    <cellStyle name="Percent 2 3 2 2 3 2" xfId="9162"/>
    <cellStyle name="Percent 2 3 2 2 3 2 2" xfId="15706"/>
    <cellStyle name="Percent 2 3 2 2 3 3" xfId="7443"/>
    <cellStyle name="Percent 2 3 2 2 3 3 2" xfId="14125"/>
    <cellStyle name="Percent 2 3 2 2 3 4" xfId="12340"/>
    <cellStyle name="Percent 2 3 2 2 4" xfId="5857"/>
    <cellStyle name="Percent 2 3 2 2 4 2" xfId="9598"/>
    <cellStyle name="Percent 2 3 2 2 4 2 2" xfId="16100"/>
    <cellStyle name="Percent 2 3 2 2 4 3" xfId="7879"/>
    <cellStyle name="Percent 2 3 2 2 4 3 2" xfId="14519"/>
    <cellStyle name="Percent 2 3 2 2 4 4" xfId="12750"/>
    <cellStyle name="Percent 2 3 2 2 5" xfId="10034"/>
    <cellStyle name="Percent 2 3 2 2 5 2" xfId="16515"/>
    <cellStyle name="Percent 2 3 2 2 6" xfId="8356"/>
    <cellStyle name="Percent 2 3 2 2 6 2" xfId="14913"/>
    <cellStyle name="Percent 2 3 2 2 7" xfId="6637"/>
    <cellStyle name="Percent 2 3 2 2 7 2" xfId="13327"/>
    <cellStyle name="Percent 2 3 2 2 8" xfId="11537"/>
    <cellStyle name="Percent 2 3 2 3" xfId="4781"/>
    <cellStyle name="Percent 2 3 2 3 2" xfId="8524"/>
    <cellStyle name="Percent 2 3 2 3 2 2" xfId="15076"/>
    <cellStyle name="Percent 2 3 2 3 3" xfId="6805"/>
    <cellStyle name="Percent 2 3 2 3 3 2" xfId="13495"/>
    <cellStyle name="Percent 2 3 2 3 4" xfId="11710"/>
    <cellStyle name="Percent 2 3 2 4" xfId="5222"/>
    <cellStyle name="Percent 2 3 2 4 2" xfId="8965"/>
    <cellStyle name="Percent 2 3 2 4 2 2" xfId="15509"/>
    <cellStyle name="Percent 2 3 2 4 3" xfId="7246"/>
    <cellStyle name="Percent 2 3 2 4 3 2" xfId="13928"/>
    <cellStyle name="Percent 2 3 2 4 4" xfId="12143"/>
    <cellStyle name="Percent 2 3 2 5" xfId="5655"/>
    <cellStyle name="Percent 2 3 2 5 2" xfId="9396"/>
    <cellStyle name="Percent 2 3 2 5 2 2" xfId="15903"/>
    <cellStyle name="Percent 2 3 2 5 3" xfId="7677"/>
    <cellStyle name="Percent 2 3 2 5 3 2" xfId="14322"/>
    <cellStyle name="Percent 2 3 2 5 4" xfId="12548"/>
    <cellStyle name="Percent 2 3 2 6" xfId="9771"/>
    <cellStyle name="Percent 2 3 2 6 2" xfId="16262"/>
    <cellStyle name="Percent 2 3 2 7" xfId="8118"/>
    <cellStyle name="Percent 2 3 2 7 2" xfId="14716"/>
    <cellStyle name="Percent 2 3 2 8" xfId="6400"/>
    <cellStyle name="Percent 2 3 2 8 2" xfId="13121"/>
    <cellStyle name="Percent 2 3 2 9" xfId="11331"/>
    <cellStyle name="Percent 2 3 3" xfId="4249"/>
    <cellStyle name="Percent 2 3 3 2" xfId="4593"/>
    <cellStyle name="Percent 2 3 3 2 2" xfId="5039"/>
    <cellStyle name="Percent 2 3 3 2 2 2" xfId="8782"/>
    <cellStyle name="Percent 2 3 3 2 2 2 2" xfId="15330"/>
    <cellStyle name="Percent 2 3 3 2 2 3" xfId="7063"/>
    <cellStyle name="Percent 2 3 3 2 2 3 2" xfId="13749"/>
    <cellStyle name="Percent 2 3 3 2 2 4" xfId="11964"/>
    <cellStyle name="Percent 2 3 3 2 3" xfId="5420"/>
    <cellStyle name="Percent 2 3 3 2 3 2" xfId="9163"/>
    <cellStyle name="Percent 2 3 3 2 3 2 2" xfId="15707"/>
    <cellStyle name="Percent 2 3 3 2 3 3" xfId="7444"/>
    <cellStyle name="Percent 2 3 3 2 3 3 2" xfId="14126"/>
    <cellStyle name="Percent 2 3 3 2 3 4" xfId="12341"/>
    <cellStyle name="Percent 2 3 3 2 4" xfId="5858"/>
    <cellStyle name="Percent 2 3 3 2 4 2" xfId="9599"/>
    <cellStyle name="Percent 2 3 3 2 4 2 2" xfId="16101"/>
    <cellStyle name="Percent 2 3 3 2 4 3" xfId="7880"/>
    <cellStyle name="Percent 2 3 3 2 4 3 2" xfId="14520"/>
    <cellStyle name="Percent 2 3 3 2 4 4" xfId="12751"/>
    <cellStyle name="Percent 2 3 3 2 5" xfId="10035"/>
    <cellStyle name="Percent 2 3 3 2 5 2" xfId="16516"/>
    <cellStyle name="Percent 2 3 3 2 6" xfId="8357"/>
    <cellStyle name="Percent 2 3 3 2 6 2" xfId="14914"/>
    <cellStyle name="Percent 2 3 3 2 7" xfId="6638"/>
    <cellStyle name="Percent 2 3 3 2 7 2" xfId="13328"/>
    <cellStyle name="Percent 2 3 3 2 8" xfId="11538"/>
    <cellStyle name="Percent 2 3 3 3" xfId="4834"/>
    <cellStyle name="Percent 2 3 3 3 2" xfId="8577"/>
    <cellStyle name="Percent 2 3 3 3 2 2" xfId="15125"/>
    <cellStyle name="Percent 2 3 3 3 3" xfId="6858"/>
    <cellStyle name="Percent 2 3 3 3 3 2" xfId="13544"/>
    <cellStyle name="Percent 2 3 3 3 4" xfId="11759"/>
    <cellStyle name="Percent 2 3 3 4" xfId="5223"/>
    <cellStyle name="Percent 2 3 3 4 2" xfId="8966"/>
    <cellStyle name="Percent 2 3 3 4 2 2" xfId="15510"/>
    <cellStyle name="Percent 2 3 3 4 3" xfId="7247"/>
    <cellStyle name="Percent 2 3 3 4 3 2" xfId="13929"/>
    <cellStyle name="Percent 2 3 3 4 4" xfId="12144"/>
    <cellStyle name="Percent 2 3 3 5" xfId="5656"/>
    <cellStyle name="Percent 2 3 3 5 2" xfId="9397"/>
    <cellStyle name="Percent 2 3 3 5 2 2" xfId="15904"/>
    <cellStyle name="Percent 2 3 3 5 3" xfId="7678"/>
    <cellStyle name="Percent 2 3 3 5 3 2" xfId="14323"/>
    <cellStyle name="Percent 2 3 3 5 4" xfId="12549"/>
    <cellStyle name="Percent 2 3 3 6" xfId="9825"/>
    <cellStyle name="Percent 2 3 3 6 2" xfId="16311"/>
    <cellStyle name="Percent 2 3 3 7" xfId="8119"/>
    <cellStyle name="Percent 2 3 3 7 2" xfId="14717"/>
    <cellStyle name="Percent 2 3 3 8" xfId="6401"/>
    <cellStyle name="Percent 2 3 3 8 2" xfId="13122"/>
    <cellStyle name="Percent 2 3 3 9" xfId="11332"/>
    <cellStyle name="Percent 2 3 4" xfId="4469"/>
    <cellStyle name="Percent 2 3 4 2" xfId="5040"/>
    <cellStyle name="Percent 2 3 4 2 2" xfId="8783"/>
    <cellStyle name="Percent 2 3 4 2 2 2" xfId="15331"/>
    <cellStyle name="Percent 2 3 4 2 3" xfId="7064"/>
    <cellStyle name="Percent 2 3 4 2 3 2" xfId="13750"/>
    <cellStyle name="Percent 2 3 4 2 4" xfId="11965"/>
    <cellStyle name="Percent 2 3 4 3" xfId="5297"/>
    <cellStyle name="Percent 2 3 4 3 2" xfId="9040"/>
    <cellStyle name="Percent 2 3 4 3 2 2" xfId="15584"/>
    <cellStyle name="Percent 2 3 4 3 3" xfId="7321"/>
    <cellStyle name="Percent 2 3 4 3 3 2" xfId="14003"/>
    <cellStyle name="Percent 2 3 4 3 4" xfId="12218"/>
    <cellStyle name="Percent 2 3 4 4" xfId="5735"/>
    <cellStyle name="Percent 2 3 4 4 2" xfId="9476"/>
    <cellStyle name="Percent 2 3 4 4 2 2" xfId="15978"/>
    <cellStyle name="Percent 2 3 4 4 3" xfId="7757"/>
    <cellStyle name="Percent 2 3 4 4 3 2" xfId="14397"/>
    <cellStyle name="Percent 2 3 4 4 4" xfId="12628"/>
    <cellStyle name="Percent 2 3 4 5" xfId="10036"/>
    <cellStyle name="Percent 2 3 4 5 2" xfId="16517"/>
    <cellStyle name="Percent 2 3 4 6" xfId="8234"/>
    <cellStyle name="Percent 2 3 4 6 2" xfId="14791"/>
    <cellStyle name="Percent 2 3 4 7" xfId="6515"/>
    <cellStyle name="Percent 2 3 4 7 2" xfId="13205"/>
    <cellStyle name="Percent 2 3 4 8" xfId="11414"/>
    <cellStyle name="Percent 2 3 5" xfId="4690"/>
    <cellStyle name="Percent 2 3 5 2" xfId="8436"/>
    <cellStyle name="Percent 2 3 5 2 2" xfId="14988"/>
    <cellStyle name="Percent 2 3 5 3" xfId="6717"/>
    <cellStyle name="Percent 2 3 5 3 2" xfId="13407"/>
    <cellStyle name="Percent 2 3 5 4" xfId="11621"/>
    <cellStyle name="Percent 2 3 6" xfId="5096"/>
    <cellStyle name="Percent 2 3 6 2" xfId="8839"/>
    <cellStyle name="Percent 2 3 6 2 2" xfId="15387"/>
    <cellStyle name="Percent 2 3 6 3" xfId="7120"/>
    <cellStyle name="Percent 2 3 6 3 2" xfId="13806"/>
    <cellStyle name="Percent 2 3 6 4" xfId="12021"/>
    <cellStyle name="Percent 2 3 7" xfId="5533"/>
    <cellStyle name="Percent 2 3 7 2" xfId="9274"/>
    <cellStyle name="Percent 2 3 7 2 2" xfId="15781"/>
    <cellStyle name="Percent 2 3 7 3" xfId="7555"/>
    <cellStyle name="Percent 2 3 7 3 2" xfId="14200"/>
    <cellStyle name="Percent 2 3 7 4" xfId="12426"/>
    <cellStyle name="Percent 2 3 8" xfId="9670"/>
    <cellStyle name="Percent 2 3 8 2" xfId="16172"/>
    <cellStyle name="Percent 2 3 9" xfId="7954"/>
    <cellStyle name="Percent 2 3 9 2" xfId="14594"/>
    <cellStyle name="Percent 2 4" xfId="25"/>
    <cellStyle name="Percent 2 4 2" xfId="4460"/>
    <cellStyle name="Percent 2 4 2 2" xfId="5041"/>
    <cellStyle name="Percent 2 4 2 2 2" xfId="8784"/>
    <cellStyle name="Percent 2 4 2 2 2 2" xfId="15332"/>
    <cellStyle name="Percent 2 4 2 2 3" xfId="7065"/>
    <cellStyle name="Percent 2 4 2 2 3 2" xfId="13751"/>
    <cellStyle name="Percent 2 4 2 2 4" xfId="11966"/>
    <cellStyle name="Percent 2 4 2 3" xfId="5288"/>
    <cellStyle name="Percent 2 4 2 3 2" xfId="9031"/>
    <cellStyle name="Percent 2 4 2 3 2 2" xfId="15575"/>
    <cellStyle name="Percent 2 4 2 3 3" xfId="7312"/>
    <cellStyle name="Percent 2 4 2 3 3 2" xfId="13994"/>
    <cellStyle name="Percent 2 4 2 3 4" xfId="12209"/>
    <cellStyle name="Percent 2 4 2 4" xfId="5726"/>
    <cellStyle name="Percent 2 4 2 4 2" xfId="9467"/>
    <cellStyle name="Percent 2 4 2 4 2 2" xfId="15969"/>
    <cellStyle name="Percent 2 4 2 4 3" xfId="7748"/>
    <cellStyle name="Percent 2 4 2 4 3 2" xfId="14388"/>
    <cellStyle name="Percent 2 4 2 4 4" xfId="12619"/>
    <cellStyle name="Percent 2 4 2 5" xfId="10037"/>
    <cellStyle name="Percent 2 4 2 5 2" xfId="16518"/>
    <cellStyle name="Percent 2 4 2 6" xfId="8225"/>
    <cellStyle name="Percent 2 4 2 6 2" xfId="14782"/>
    <cellStyle name="Percent 2 4 2 7" xfId="6506"/>
    <cellStyle name="Percent 2 4 2 7 2" xfId="13196"/>
    <cellStyle name="Percent 2 4 2 8" xfId="11405"/>
    <cellStyle name="Percent 2 4 3" xfId="4700"/>
    <cellStyle name="Percent 2 4 4" xfId="5087"/>
    <cellStyle name="Percent 2 4 4 2" xfId="8830"/>
    <cellStyle name="Percent 2 4 4 2 2" xfId="15378"/>
    <cellStyle name="Percent 2 4 4 3" xfId="7111"/>
    <cellStyle name="Percent 2 4 4 3 2" xfId="13797"/>
    <cellStyle name="Percent 2 4 4 4" xfId="12012"/>
    <cellStyle name="Percent 2 4 5" xfId="5524"/>
    <cellStyle name="Percent 2 4 5 2" xfId="9265"/>
    <cellStyle name="Percent 2 4 5 2 2" xfId="15772"/>
    <cellStyle name="Percent 2 4 5 3" xfId="7546"/>
    <cellStyle name="Percent 2 4 5 3 2" xfId="14191"/>
    <cellStyle name="Percent 2 4 5 4" xfId="12417"/>
    <cellStyle name="Percent 2 4 6" xfId="7945"/>
    <cellStyle name="Percent 2 4 6 2" xfId="14585"/>
    <cellStyle name="Percent 2 4 7" xfId="5924"/>
    <cellStyle name="Percent 2 4 7 2" xfId="12817"/>
    <cellStyle name="Percent 2 4 8" xfId="10259"/>
    <cellStyle name="Percent 2 5" xfId="4250"/>
    <cellStyle name="Percent 2 5 2" xfId="4594"/>
    <cellStyle name="Percent 2 5 2 2" xfId="5042"/>
    <cellStyle name="Percent 2 5 2 2 2" xfId="8785"/>
    <cellStyle name="Percent 2 5 2 2 2 2" xfId="15333"/>
    <cellStyle name="Percent 2 5 2 2 3" xfId="7066"/>
    <cellStyle name="Percent 2 5 2 2 3 2" xfId="13752"/>
    <cellStyle name="Percent 2 5 2 2 4" xfId="11967"/>
    <cellStyle name="Percent 2 5 2 3" xfId="5421"/>
    <cellStyle name="Percent 2 5 2 3 2" xfId="9164"/>
    <cellStyle name="Percent 2 5 2 3 2 2" xfId="15708"/>
    <cellStyle name="Percent 2 5 2 3 3" xfId="7445"/>
    <cellStyle name="Percent 2 5 2 3 3 2" xfId="14127"/>
    <cellStyle name="Percent 2 5 2 3 4" xfId="12342"/>
    <cellStyle name="Percent 2 5 2 4" xfId="5859"/>
    <cellStyle name="Percent 2 5 2 4 2" xfId="9600"/>
    <cellStyle name="Percent 2 5 2 4 2 2" xfId="16102"/>
    <cellStyle name="Percent 2 5 2 4 3" xfId="7881"/>
    <cellStyle name="Percent 2 5 2 4 3 2" xfId="14521"/>
    <cellStyle name="Percent 2 5 2 4 4" xfId="12752"/>
    <cellStyle name="Percent 2 5 2 5" xfId="10038"/>
    <cellStyle name="Percent 2 5 2 5 2" xfId="16519"/>
    <cellStyle name="Percent 2 5 2 6" xfId="8358"/>
    <cellStyle name="Percent 2 5 2 6 2" xfId="14915"/>
    <cellStyle name="Percent 2 5 2 7" xfId="6639"/>
    <cellStyle name="Percent 2 5 2 7 2" xfId="13329"/>
    <cellStyle name="Percent 2 5 2 8" xfId="11539"/>
    <cellStyle name="Percent 2 5 3" xfId="4778"/>
    <cellStyle name="Percent 2 5 3 2" xfId="8521"/>
    <cellStyle name="Percent 2 5 3 2 2" xfId="15073"/>
    <cellStyle name="Percent 2 5 3 3" xfId="6802"/>
    <cellStyle name="Percent 2 5 3 3 2" xfId="13492"/>
    <cellStyle name="Percent 2 5 3 4" xfId="11707"/>
    <cellStyle name="Percent 2 5 4" xfId="5224"/>
    <cellStyle name="Percent 2 5 4 2" xfId="8967"/>
    <cellStyle name="Percent 2 5 4 2 2" xfId="15511"/>
    <cellStyle name="Percent 2 5 4 3" xfId="7248"/>
    <cellStyle name="Percent 2 5 4 3 2" xfId="13930"/>
    <cellStyle name="Percent 2 5 4 4" xfId="12145"/>
    <cellStyle name="Percent 2 5 5" xfId="5657"/>
    <cellStyle name="Percent 2 5 5 2" xfId="9398"/>
    <cellStyle name="Percent 2 5 5 2 2" xfId="15905"/>
    <cellStyle name="Percent 2 5 5 3" xfId="7679"/>
    <cellStyle name="Percent 2 5 5 3 2" xfId="14324"/>
    <cellStyle name="Percent 2 5 5 4" xfId="12550"/>
    <cellStyle name="Percent 2 5 6" xfId="9768"/>
    <cellStyle name="Percent 2 5 6 2" xfId="16259"/>
    <cellStyle name="Percent 2 5 7" xfId="8120"/>
    <cellStyle name="Percent 2 5 7 2" xfId="14718"/>
    <cellStyle name="Percent 2 5 8" xfId="6402"/>
    <cellStyle name="Percent 2 5 8 2" xfId="13123"/>
    <cellStyle name="Percent 2 5 9" xfId="11333"/>
    <cellStyle name="Percent 2 6" xfId="4251"/>
    <cellStyle name="Percent 2 6 2" xfId="4595"/>
    <cellStyle name="Percent 2 6 2 2" xfId="5043"/>
    <cellStyle name="Percent 2 6 2 2 2" xfId="8786"/>
    <cellStyle name="Percent 2 6 2 2 2 2" xfId="15334"/>
    <cellStyle name="Percent 2 6 2 2 3" xfId="7067"/>
    <cellStyle name="Percent 2 6 2 2 3 2" xfId="13753"/>
    <cellStyle name="Percent 2 6 2 2 4" xfId="11968"/>
    <cellStyle name="Percent 2 6 2 3" xfId="5422"/>
    <cellStyle name="Percent 2 6 2 3 2" xfId="9165"/>
    <cellStyle name="Percent 2 6 2 3 2 2" xfId="15709"/>
    <cellStyle name="Percent 2 6 2 3 3" xfId="7446"/>
    <cellStyle name="Percent 2 6 2 3 3 2" xfId="14128"/>
    <cellStyle name="Percent 2 6 2 3 4" xfId="12343"/>
    <cellStyle name="Percent 2 6 2 4" xfId="5860"/>
    <cellStyle name="Percent 2 6 2 4 2" xfId="9601"/>
    <cellStyle name="Percent 2 6 2 4 2 2" xfId="16103"/>
    <cellStyle name="Percent 2 6 2 4 3" xfId="7882"/>
    <cellStyle name="Percent 2 6 2 4 3 2" xfId="14522"/>
    <cellStyle name="Percent 2 6 2 4 4" xfId="12753"/>
    <cellStyle name="Percent 2 6 2 5" xfId="10039"/>
    <cellStyle name="Percent 2 6 2 5 2" xfId="16520"/>
    <cellStyle name="Percent 2 6 2 6" xfId="8359"/>
    <cellStyle name="Percent 2 6 2 6 2" xfId="14916"/>
    <cellStyle name="Percent 2 6 2 7" xfId="6640"/>
    <cellStyle name="Percent 2 6 2 7 2" xfId="13330"/>
    <cellStyle name="Percent 2 6 2 8" xfId="11540"/>
    <cellStyle name="Percent 2 6 3" xfId="4825"/>
    <cellStyle name="Percent 2 6 3 2" xfId="8568"/>
    <cellStyle name="Percent 2 6 3 2 2" xfId="15116"/>
    <cellStyle name="Percent 2 6 3 3" xfId="6849"/>
    <cellStyle name="Percent 2 6 3 3 2" xfId="13535"/>
    <cellStyle name="Percent 2 6 3 4" xfId="11750"/>
    <cellStyle name="Percent 2 6 4" xfId="5225"/>
    <cellStyle name="Percent 2 6 4 2" xfId="8968"/>
    <cellStyle name="Percent 2 6 4 2 2" xfId="15512"/>
    <cellStyle name="Percent 2 6 4 3" xfId="7249"/>
    <cellStyle name="Percent 2 6 4 3 2" xfId="13931"/>
    <cellStyle name="Percent 2 6 4 4" xfId="12146"/>
    <cellStyle name="Percent 2 6 5" xfId="5658"/>
    <cellStyle name="Percent 2 6 5 2" xfId="9399"/>
    <cellStyle name="Percent 2 6 5 2 2" xfId="15906"/>
    <cellStyle name="Percent 2 6 5 3" xfId="7680"/>
    <cellStyle name="Percent 2 6 5 3 2" xfId="14325"/>
    <cellStyle name="Percent 2 6 5 4" xfId="12551"/>
    <cellStyle name="Percent 2 6 6" xfId="9816"/>
    <cellStyle name="Percent 2 6 6 2" xfId="16302"/>
    <cellStyle name="Percent 2 6 7" xfId="8121"/>
    <cellStyle name="Percent 2 6 7 2" xfId="14719"/>
    <cellStyle name="Percent 2 6 8" xfId="6403"/>
    <cellStyle name="Percent 2 6 8 2" xfId="13124"/>
    <cellStyle name="Percent 2 6 9" xfId="11334"/>
    <cellStyle name="Percent 2 7" xfId="4406"/>
    <cellStyle name="Percent 2 7 2" xfId="4620"/>
    <cellStyle name="Percent 2 7 2 2" xfId="5045"/>
    <cellStyle name="Percent 2 7 2 2 2" xfId="8788"/>
    <cellStyle name="Percent 2 7 2 2 2 2" xfId="15336"/>
    <cellStyle name="Percent 2 7 2 2 3" xfId="7069"/>
    <cellStyle name="Percent 2 7 2 2 3 2" xfId="13755"/>
    <cellStyle name="Percent 2 7 2 2 4" xfId="11970"/>
    <cellStyle name="Percent 2 7 2 3" xfId="5447"/>
    <cellStyle name="Percent 2 7 2 3 2" xfId="9190"/>
    <cellStyle name="Percent 2 7 2 3 2 2" xfId="15734"/>
    <cellStyle name="Percent 2 7 2 3 3" xfId="7471"/>
    <cellStyle name="Percent 2 7 2 3 3 2" xfId="14153"/>
    <cellStyle name="Percent 2 7 2 3 4" xfId="12368"/>
    <cellStyle name="Percent 2 7 2 4" xfId="5885"/>
    <cellStyle name="Percent 2 7 2 4 2" xfId="9626"/>
    <cellStyle name="Percent 2 7 2 4 2 2" xfId="16128"/>
    <cellStyle name="Percent 2 7 2 4 3" xfId="7907"/>
    <cellStyle name="Percent 2 7 2 4 3 2" xfId="14547"/>
    <cellStyle name="Percent 2 7 2 4 4" xfId="12778"/>
    <cellStyle name="Percent 2 7 2 5" xfId="10041"/>
    <cellStyle name="Percent 2 7 2 5 2" xfId="16522"/>
    <cellStyle name="Percent 2 7 2 6" xfId="8384"/>
    <cellStyle name="Percent 2 7 2 6 2" xfId="14941"/>
    <cellStyle name="Percent 2 7 2 7" xfId="6665"/>
    <cellStyle name="Percent 2 7 2 7 2" xfId="13355"/>
    <cellStyle name="Percent 2 7 2 8" xfId="11565"/>
    <cellStyle name="Percent 2 7 3" xfId="5044"/>
    <cellStyle name="Percent 2 7 3 2" xfId="8787"/>
    <cellStyle name="Percent 2 7 3 2 2" xfId="15335"/>
    <cellStyle name="Percent 2 7 3 3" xfId="7068"/>
    <cellStyle name="Percent 2 7 3 3 2" xfId="13754"/>
    <cellStyle name="Percent 2 7 3 4" xfId="11969"/>
    <cellStyle name="Percent 2 7 4" xfId="5250"/>
    <cellStyle name="Percent 2 7 4 2" xfId="8993"/>
    <cellStyle name="Percent 2 7 4 2 2" xfId="15537"/>
    <cellStyle name="Percent 2 7 4 3" xfId="7274"/>
    <cellStyle name="Percent 2 7 4 3 2" xfId="13956"/>
    <cellStyle name="Percent 2 7 4 4" xfId="12171"/>
    <cellStyle name="Percent 2 7 5" xfId="5688"/>
    <cellStyle name="Percent 2 7 5 2" xfId="9429"/>
    <cellStyle name="Percent 2 7 5 2 2" xfId="15931"/>
    <cellStyle name="Percent 2 7 5 3" xfId="7710"/>
    <cellStyle name="Percent 2 7 5 3 2" xfId="14350"/>
    <cellStyle name="Percent 2 7 5 4" xfId="12581"/>
    <cellStyle name="Percent 2 7 6" xfId="10040"/>
    <cellStyle name="Percent 2 7 6 2" xfId="16521"/>
    <cellStyle name="Percent 2 7 7" xfId="8187"/>
    <cellStyle name="Percent 2 7 7 2" xfId="14744"/>
    <cellStyle name="Percent 2 7 8" xfId="6468"/>
    <cellStyle name="Percent 2 7 8 2" xfId="13158"/>
    <cellStyle name="Percent 2 7 9" xfId="11364"/>
    <cellStyle name="Percent 2 8" xfId="4423"/>
    <cellStyle name="Percent 2 8 2" xfId="4632"/>
    <cellStyle name="Percent 2 8 2 2" xfId="5047"/>
    <cellStyle name="Percent 2 8 2 2 2" xfId="8790"/>
    <cellStyle name="Percent 2 8 2 2 2 2" xfId="15338"/>
    <cellStyle name="Percent 2 8 2 2 3" xfId="7071"/>
    <cellStyle name="Percent 2 8 2 2 3 2" xfId="13757"/>
    <cellStyle name="Percent 2 8 2 2 4" xfId="11972"/>
    <cellStyle name="Percent 2 8 2 3" xfId="5459"/>
    <cellStyle name="Percent 2 8 2 3 2" xfId="9202"/>
    <cellStyle name="Percent 2 8 2 3 2 2" xfId="15746"/>
    <cellStyle name="Percent 2 8 2 3 3" xfId="7483"/>
    <cellStyle name="Percent 2 8 2 3 3 2" xfId="14165"/>
    <cellStyle name="Percent 2 8 2 3 4" xfId="12380"/>
    <cellStyle name="Percent 2 8 2 4" xfId="5897"/>
    <cellStyle name="Percent 2 8 2 4 2" xfId="9638"/>
    <cellStyle name="Percent 2 8 2 4 2 2" xfId="16140"/>
    <cellStyle name="Percent 2 8 2 4 3" xfId="7919"/>
    <cellStyle name="Percent 2 8 2 4 3 2" xfId="14559"/>
    <cellStyle name="Percent 2 8 2 4 4" xfId="12790"/>
    <cellStyle name="Percent 2 8 2 5" xfId="10043"/>
    <cellStyle name="Percent 2 8 2 5 2" xfId="16524"/>
    <cellStyle name="Percent 2 8 2 6" xfId="8396"/>
    <cellStyle name="Percent 2 8 2 6 2" xfId="14953"/>
    <cellStyle name="Percent 2 8 2 7" xfId="6677"/>
    <cellStyle name="Percent 2 8 2 7 2" xfId="13367"/>
    <cellStyle name="Percent 2 8 2 8" xfId="11577"/>
    <cellStyle name="Percent 2 8 3" xfId="5046"/>
    <cellStyle name="Percent 2 8 3 2" xfId="8789"/>
    <cellStyle name="Percent 2 8 3 2 2" xfId="15337"/>
    <cellStyle name="Percent 2 8 3 3" xfId="7070"/>
    <cellStyle name="Percent 2 8 3 3 2" xfId="13756"/>
    <cellStyle name="Percent 2 8 3 4" xfId="11971"/>
    <cellStyle name="Percent 2 8 4" xfId="5262"/>
    <cellStyle name="Percent 2 8 4 2" xfId="9005"/>
    <cellStyle name="Percent 2 8 4 2 2" xfId="15549"/>
    <cellStyle name="Percent 2 8 4 3" xfId="7286"/>
    <cellStyle name="Percent 2 8 4 3 2" xfId="13968"/>
    <cellStyle name="Percent 2 8 4 4" xfId="12183"/>
    <cellStyle name="Percent 2 8 5" xfId="5700"/>
    <cellStyle name="Percent 2 8 5 2" xfId="9441"/>
    <cellStyle name="Percent 2 8 5 2 2" xfId="15943"/>
    <cellStyle name="Percent 2 8 5 3" xfId="7722"/>
    <cellStyle name="Percent 2 8 5 3 2" xfId="14362"/>
    <cellStyle name="Percent 2 8 5 4" xfId="12593"/>
    <cellStyle name="Percent 2 8 6" xfId="10042"/>
    <cellStyle name="Percent 2 8 6 2" xfId="16523"/>
    <cellStyle name="Percent 2 8 7" xfId="8199"/>
    <cellStyle name="Percent 2 8 7 2" xfId="14756"/>
    <cellStyle name="Percent 2 8 8" xfId="6480"/>
    <cellStyle name="Percent 2 8 8 2" xfId="13170"/>
    <cellStyle name="Percent 2 8 9" xfId="11378"/>
    <cellStyle name="Percent 2 9" xfId="4450"/>
    <cellStyle name="Percent 2 9 2" xfId="5048"/>
    <cellStyle name="Percent 2 9 2 2" xfId="8791"/>
    <cellStyle name="Percent 2 9 2 2 2" xfId="15339"/>
    <cellStyle name="Percent 2 9 2 3" xfId="7072"/>
    <cellStyle name="Percent 2 9 2 3 2" xfId="13758"/>
    <cellStyle name="Percent 2 9 2 4" xfId="11973"/>
    <cellStyle name="Percent 2 9 3" xfId="5278"/>
    <cellStyle name="Percent 2 9 3 2" xfId="9021"/>
    <cellStyle name="Percent 2 9 3 2 2" xfId="15565"/>
    <cellStyle name="Percent 2 9 3 3" xfId="7302"/>
    <cellStyle name="Percent 2 9 3 3 2" xfId="13984"/>
    <cellStyle name="Percent 2 9 3 4" xfId="12199"/>
    <cellStyle name="Percent 2 9 4" xfId="5716"/>
    <cellStyle name="Percent 2 9 4 2" xfId="9457"/>
    <cellStyle name="Percent 2 9 4 2 2" xfId="15959"/>
    <cellStyle name="Percent 2 9 4 3" xfId="7738"/>
    <cellStyle name="Percent 2 9 4 3 2" xfId="14378"/>
    <cellStyle name="Percent 2 9 4 4" xfId="12609"/>
    <cellStyle name="Percent 2 9 5" xfId="10044"/>
    <cellStyle name="Percent 2 9 5 2" xfId="16525"/>
    <cellStyle name="Percent 2 9 6" xfId="8215"/>
    <cellStyle name="Percent 2 9 6 2" xfId="14772"/>
    <cellStyle name="Percent 2 9 7" xfId="6496"/>
    <cellStyle name="Percent 2 9 7 2" xfId="13186"/>
    <cellStyle name="Percent 2 9 8" xfId="11395"/>
    <cellStyle name="Percent 20" xfId="4252"/>
    <cellStyle name="Percent 20 2" xfId="4596"/>
    <cellStyle name="Percent 20 2 2" xfId="5049"/>
    <cellStyle name="Percent 20 2 2 2" xfId="8792"/>
    <cellStyle name="Percent 20 2 2 2 2" xfId="15340"/>
    <cellStyle name="Percent 20 2 2 3" xfId="7073"/>
    <cellStyle name="Percent 20 2 2 3 2" xfId="13759"/>
    <cellStyle name="Percent 20 2 2 4" xfId="11974"/>
    <cellStyle name="Percent 20 2 3" xfId="5423"/>
    <cellStyle name="Percent 20 2 3 2" xfId="9166"/>
    <cellStyle name="Percent 20 2 3 2 2" xfId="15710"/>
    <cellStyle name="Percent 20 2 3 3" xfId="7447"/>
    <cellStyle name="Percent 20 2 3 3 2" xfId="14129"/>
    <cellStyle name="Percent 20 2 3 4" xfId="12344"/>
    <cellStyle name="Percent 20 2 4" xfId="5861"/>
    <cellStyle name="Percent 20 2 4 2" xfId="9602"/>
    <cellStyle name="Percent 20 2 4 2 2" xfId="16104"/>
    <cellStyle name="Percent 20 2 4 3" xfId="7883"/>
    <cellStyle name="Percent 20 2 4 3 2" xfId="14523"/>
    <cellStyle name="Percent 20 2 4 4" xfId="12754"/>
    <cellStyle name="Percent 20 2 5" xfId="10045"/>
    <cellStyle name="Percent 20 2 5 2" xfId="16526"/>
    <cellStyle name="Percent 20 2 6" xfId="8360"/>
    <cellStyle name="Percent 20 2 6 2" xfId="14917"/>
    <cellStyle name="Percent 20 2 7" xfId="6641"/>
    <cellStyle name="Percent 20 2 7 2" xfId="13331"/>
    <cellStyle name="Percent 20 2 8" xfId="11541"/>
    <cellStyle name="Percent 20 3" xfId="4736"/>
    <cellStyle name="Percent 20 3 2" xfId="8479"/>
    <cellStyle name="Percent 20 3 2 2" xfId="15031"/>
    <cellStyle name="Percent 20 3 3" xfId="6760"/>
    <cellStyle name="Percent 20 3 3 2" xfId="13450"/>
    <cellStyle name="Percent 20 3 4" xfId="11665"/>
    <cellStyle name="Percent 20 4" xfId="5226"/>
    <cellStyle name="Percent 20 4 2" xfId="8969"/>
    <cellStyle name="Percent 20 4 2 2" xfId="15513"/>
    <cellStyle name="Percent 20 4 3" xfId="7250"/>
    <cellStyle name="Percent 20 4 3 2" xfId="13932"/>
    <cellStyle name="Percent 20 4 4" xfId="12147"/>
    <cellStyle name="Percent 20 5" xfId="5659"/>
    <cellStyle name="Percent 20 5 2" xfId="9400"/>
    <cellStyle name="Percent 20 5 2 2" xfId="15907"/>
    <cellStyle name="Percent 20 5 3" xfId="7681"/>
    <cellStyle name="Percent 20 5 3 2" xfId="14326"/>
    <cellStyle name="Percent 20 5 4" xfId="12552"/>
    <cellStyle name="Percent 20 6" xfId="9724"/>
    <cellStyle name="Percent 20 6 2" xfId="16217"/>
    <cellStyle name="Percent 20 7" xfId="8122"/>
    <cellStyle name="Percent 20 7 2" xfId="14720"/>
    <cellStyle name="Percent 20 8" xfId="6404"/>
    <cellStyle name="Percent 20 8 2" xfId="13125"/>
    <cellStyle name="Percent 20 9" xfId="11335"/>
    <cellStyle name="Percent 21" xfId="4253"/>
    <cellStyle name="Percent 21 2" xfId="4597"/>
    <cellStyle name="Percent 21 2 2" xfId="5050"/>
    <cellStyle name="Percent 21 2 2 2" xfId="8793"/>
    <cellStyle name="Percent 21 2 2 2 2" xfId="15341"/>
    <cellStyle name="Percent 21 2 2 3" xfId="7074"/>
    <cellStyle name="Percent 21 2 2 3 2" xfId="13760"/>
    <cellStyle name="Percent 21 2 2 4" xfId="11975"/>
    <cellStyle name="Percent 21 2 3" xfId="5424"/>
    <cellStyle name="Percent 21 2 3 2" xfId="9167"/>
    <cellStyle name="Percent 21 2 3 2 2" xfId="15711"/>
    <cellStyle name="Percent 21 2 3 3" xfId="7448"/>
    <cellStyle name="Percent 21 2 3 3 2" xfId="14130"/>
    <cellStyle name="Percent 21 2 3 4" xfId="12345"/>
    <cellStyle name="Percent 21 2 4" xfId="5862"/>
    <cellStyle name="Percent 21 2 4 2" xfId="9603"/>
    <cellStyle name="Percent 21 2 4 2 2" xfId="16105"/>
    <cellStyle name="Percent 21 2 4 3" xfId="7884"/>
    <cellStyle name="Percent 21 2 4 3 2" xfId="14524"/>
    <cellStyle name="Percent 21 2 4 4" xfId="12755"/>
    <cellStyle name="Percent 21 2 5" xfId="10046"/>
    <cellStyle name="Percent 21 2 5 2" xfId="16527"/>
    <cellStyle name="Percent 21 2 6" xfId="8361"/>
    <cellStyle name="Percent 21 2 6 2" xfId="14918"/>
    <cellStyle name="Percent 21 2 7" xfId="6642"/>
    <cellStyle name="Percent 21 2 7 2" xfId="13332"/>
    <cellStyle name="Percent 21 2 8" xfId="11542"/>
    <cellStyle name="Percent 21 3" xfId="4738"/>
    <cellStyle name="Percent 21 3 2" xfId="8481"/>
    <cellStyle name="Percent 21 3 2 2" xfId="15033"/>
    <cellStyle name="Percent 21 3 3" xfId="6762"/>
    <cellStyle name="Percent 21 3 3 2" xfId="13452"/>
    <cellStyle name="Percent 21 3 4" xfId="11667"/>
    <cellStyle name="Percent 21 4" xfId="5227"/>
    <cellStyle name="Percent 21 4 2" xfId="8970"/>
    <cellStyle name="Percent 21 4 2 2" xfId="15514"/>
    <cellStyle name="Percent 21 4 3" xfId="7251"/>
    <cellStyle name="Percent 21 4 3 2" xfId="13933"/>
    <cellStyle name="Percent 21 4 4" xfId="12148"/>
    <cellStyle name="Percent 21 5" xfId="5660"/>
    <cellStyle name="Percent 21 5 2" xfId="9401"/>
    <cellStyle name="Percent 21 5 2 2" xfId="15908"/>
    <cellStyle name="Percent 21 5 3" xfId="7682"/>
    <cellStyle name="Percent 21 5 3 2" xfId="14327"/>
    <cellStyle name="Percent 21 5 4" xfId="12553"/>
    <cellStyle name="Percent 21 6" xfId="9726"/>
    <cellStyle name="Percent 21 6 2" xfId="16219"/>
    <cellStyle name="Percent 21 7" xfId="8123"/>
    <cellStyle name="Percent 21 7 2" xfId="14721"/>
    <cellStyle name="Percent 21 8" xfId="6405"/>
    <cellStyle name="Percent 21 8 2" xfId="13126"/>
    <cellStyle name="Percent 21 9" xfId="11336"/>
    <cellStyle name="Percent 22" xfId="4254"/>
    <cellStyle name="Percent 22 2" xfId="4598"/>
    <cellStyle name="Percent 22 2 2" xfId="5051"/>
    <cellStyle name="Percent 22 2 2 2" xfId="8794"/>
    <cellStyle name="Percent 22 2 2 2 2" xfId="15342"/>
    <cellStyle name="Percent 22 2 2 3" xfId="7075"/>
    <cellStyle name="Percent 22 2 2 3 2" xfId="13761"/>
    <cellStyle name="Percent 22 2 2 4" xfId="11976"/>
    <cellStyle name="Percent 22 2 3" xfId="5425"/>
    <cellStyle name="Percent 22 2 3 2" xfId="9168"/>
    <cellStyle name="Percent 22 2 3 2 2" xfId="15712"/>
    <cellStyle name="Percent 22 2 3 3" xfId="7449"/>
    <cellStyle name="Percent 22 2 3 3 2" xfId="14131"/>
    <cellStyle name="Percent 22 2 3 4" xfId="12346"/>
    <cellStyle name="Percent 22 2 4" xfId="5863"/>
    <cellStyle name="Percent 22 2 4 2" xfId="9604"/>
    <cellStyle name="Percent 22 2 4 2 2" xfId="16106"/>
    <cellStyle name="Percent 22 2 4 3" xfId="7885"/>
    <cellStyle name="Percent 22 2 4 3 2" xfId="14525"/>
    <cellStyle name="Percent 22 2 4 4" xfId="12756"/>
    <cellStyle name="Percent 22 2 5" xfId="10047"/>
    <cellStyle name="Percent 22 2 5 2" xfId="16528"/>
    <cellStyle name="Percent 22 2 6" xfId="8362"/>
    <cellStyle name="Percent 22 2 6 2" xfId="14919"/>
    <cellStyle name="Percent 22 2 7" xfId="6643"/>
    <cellStyle name="Percent 22 2 7 2" xfId="13333"/>
    <cellStyle name="Percent 22 2 8" xfId="11543"/>
    <cellStyle name="Percent 22 3" xfId="4740"/>
    <cellStyle name="Percent 22 3 2" xfId="8483"/>
    <cellStyle name="Percent 22 3 2 2" xfId="15035"/>
    <cellStyle name="Percent 22 3 3" xfId="6764"/>
    <cellStyle name="Percent 22 3 3 2" xfId="13454"/>
    <cellStyle name="Percent 22 3 4" xfId="11669"/>
    <cellStyle name="Percent 22 4" xfId="5228"/>
    <cellStyle name="Percent 22 4 2" xfId="8971"/>
    <cellStyle name="Percent 22 4 2 2" xfId="15515"/>
    <cellStyle name="Percent 22 4 3" xfId="7252"/>
    <cellStyle name="Percent 22 4 3 2" xfId="13934"/>
    <cellStyle name="Percent 22 4 4" xfId="12149"/>
    <cellStyle name="Percent 22 5" xfId="5661"/>
    <cellStyle name="Percent 22 5 2" xfId="9402"/>
    <cellStyle name="Percent 22 5 2 2" xfId="15909"/>
    <cellStyle name="Percent 22 5 3" xfId="7683"/>
    <cellStyle name="Percent 22 5 3 2" xfId="14328"/>
    <cellStyle name="Percent 22 5 4" xfId="12554"/>
    <cellStyle name="Percent 22 6" xfId="9728"/>
    <cellStyle name="Percent 22 6 2" xfId="16221"/>
    <cellStyle name="Percent 22 7" xfId="8124"/>
    <cellStyle name="Percent 22 7 2" xfId="14722"/>
    <cellStyle name="Percent 22 8" xfId="6406"/>
    <cellStyle name="Percent 22 8 2" xfId="13127"/>
    <cellStyle name="Percent 22 9" xfId="11337"/>
    <cellStyle name="Percent 23" xfId="4255"/>
    <cellStyle name="Percent 23 2" xfId="4599"/>
    <cellStyle name="Percent 23 2 2" xfId="5052"/>
    <cellStyle name="Percent 23 2 2 2" xfId="8795"/>
    <cellStyle name="Percent 23 2 2 2 2" xfId="15343"/>
    <cellStyle name="Percent 23 2 2 3" xfId="7076"/>
    <cellStyle name="Percent 23 2 2 3 2" xfId="13762"/>
    <cellStyle name="Percent 23 2 2 4" xfId="11977"/>
    <cellStyle name="Percent 23 2 3" xfId="5426"/>
    <cellStyle name="Percent 23 2 3 2" xfId="9169"/>
    <cellStyle name="Percent 23 2 3 2 2" xfId="15713"/>
    <cellStyle name="Percent 23 2 3 3" xfId="7450"/>
    <cellStyle name="Percent 23 2 3 3 2" xfId="14132"/>
    <cellStyle name="Percent 23 2 3 4" xfId="12347"/>
    <cellStyle name="Percent 23 2 4" xfId="5864"/>
    <cellStyle name="Percent 23 2 4 2" xfId="9605"/>
    <cellStyle name="Percent 23 2 4 2 2" xfId="16107"/>
    <cellStyle name="Percent 23 2 4 3" xfId="7886"/>
    <cellStyle name="Percent 23 2 4 3 2" xfId="14526"/>
    <cellStyle name="Percent 23 2 4 4" xfId="12757"/>
    <cellStyle name="Percent 23 2 5" xfId="10048"/>
    <cellStyle name="Percent 23 2 5 2" xfId="16529"/>
    <cellStyle name="Percent 23 2 6" xfId="8363"/>
    <cellStyle name="Percent 23 2 6 2" xfId="14920"/>
    <cellStyle name="Percent 23 2 7" xfId="6644"/>
    <cellStyle name="Percent 23 2 7 2" xfId="13334"/>
    <cellStyle name="Percent 23 2 8" xfId="11544"/>
    <cellStyle name="Percent 23 3" xfId="4742"/>
    <cellStyle name="Percent 23 3 2" xfId="8485"/>
    <cellStyle name="Percent 23 3 2 2" xfId="15037"/>
    <cellStyle name="Percent 23 3 3" xfId="6766"/>
    <cellStyle name="Percent 23 3 3 2" xfId="13456"/>
    <cellStyle name="Percent 23 3 4" xfId="11671"/>
    <cellStyle name="Percent 23 4" xfId="5229"/>
    <cellStyle name="Percent 23 4 2" xfId="8972"/>
    <cellStyle name="Percent 23 4 2 2" xfId="15516"/>
    <cellStyle name="Percent 23 4 3" xfId="7253"/>
    <cellStyle name="Percent 23 4 3 2" xfId="13935"/>
    <cellStyle name="Percent 23 4 4" xfId="12150"/>
    <cellStyle name="Percent 23 5" xfId="5662"/>
    <cellStyle name="Percent 23 5 2" xfId="9403"/>
    <cellStyle name="Percent 23 5 2 2" xfId="15910"/>
    <cellStyle name="Percent 23 5 3" xfId="7684"/>
    <cellStyle name="Percent 23 5 3 2" xfId="14329"/>
    <cellStyle name="Percent 23 5 4" xfId="12555"/>
    <cellStyle name="Percent 23 6" xfId="9730"/>
    <cellStyle name="Percent 23 6 2" xfId="16223"/>
    <cellStyle name="Percent 23 7" xfId="8125"/>
    <cellStyle name="Percent 23 7 2" xfId="14723"/>
    <cellStyle name="Percent 23 8" xfId="6407"/>
    <cellStyle name="Percent 23 8 2" xfId="13128"/>
    <cellStyle name="Percent 23 9" xfId="11338"/>
    <cellStyle name="Percent 24" xfId="4256"/>
    <cellStyle name="Percent 24 2" xfId="4600"/>
    <cellStyle name="Percent 24 2 2" xfId="5053"/>
    <cellStyle name="Percent 24 2 2 2" xfId="8796"/>
    <cellStyle name="Percent 24 2 2 2 2" xfId="15344"/>
    <cellStyle name="Percent 24 2 2 3" xfId="7077"/>
    <cellStyle name="Percent 24 2 2 3 2" xfId="13763"/>
    <cellStyle name="Percent 24 2 2 4" xfId="11978"/>
    <cellStyle name="Percent 24 2 3" xfId="5427"/>
    <cellStyle name="Percent 24 2 3 2" xfId="9170"/>
    <cellStyle name="Percent 24 2 3 2 2" xfId="15714"/>
    <cellStyle name="Percent 24 2 3 3" xfId="7451"/>
    <cellStyle name="Percent 24 2 3 3 2" xfId="14133"/>
    <cellStyle name="Percent 24 2 3 4" xfId="12348"/>
    <cellStyle name="Percent 24 2 4" xfId="5865"/>
    <cellStyle name="Percent 24 2 4 2" xfId="9606"/>
    <cellStyle name="Percent 24 2 4 2 2" xfId="16108"/>
    <cellStyle name="Percent 24 2 4 3" xfId="7887"/>
    <cellStyle name="Percent 24 2 4 3 2" xfId="14527"/>
    <cellStyle name="Percent 24 2 4 4" xfId="12758"/>
    <cellStyle name="Percent 24 2 5" xfId="10049"/>
    <cellStyle name="Percent 24 2 5 2" xfId="16530"/>
    <cellStyle name="Percent 24 2 6" xfId="8364"/>
    <cellStyle name="Percent 24 2 6 2" xfId="14921"/>
    <cellStyle name="Percent 24 2 7" xfId="6645"/>
    <cellStyle name="Percent 24 2 7 2" xfId="13335"/>
    <cellStyle name="Percent 24 2 8" xfId="11545"/>
    <cellStyle name="Percent 24 3" xfId="4744"/>
    <cellStyle name="Percent 24 3 2" xfId="8487"/>
    <cellStyle name="Percent 24 3 2 2" xfId="15039"/>
    <cellStyle name="Percent 24 3 3" xfId="6768"/>
    <cellStyle name="Percent 24 3 3 2" xfId="13458"/>
    <cellStyle name="Percent 24 3 4" xfId="11673"/>
    <cellStyle name="Percent 24 4" xfId="5230"/>
    <cellStyle name="Percent 24 4 2" xfId="8973"/>
    <cellStyle name="Percent 24 4 2 2" xfId="15517"/>
    <cellStyle name="Percent 24 4 3" xfId="7254"/>
    <cellStyle name="Percent 24 4 3 2" xfId="13936"/>
    <cellStyle name="Percent 24 4 4" xfId="12151"/>
    <cellStyle name="Percent 24 5" xfId="5663"/>
    <cellStyle name="Percent 24 5 2" xfId="9404"/>
    <cellStyle name="Percent 24 5 2 2" xfId="15911"/>
    <cellStyle name="Percent 24 5 3" xfId="7685"/>
    <cellStyle name="Percent 24 5 3 2" xfId="14330"/>
    <cellStyle name="Percent 24 5 4" xfId="12556"/>
    <cellStyle name="Percent 24 6" xfId="9732"/>
    <cellStyle name="Percent 24 6 2" xfId="16225"/>
    <cellStyle name="Percent 24 7" xfId="8126"/>
    <cellStyle name="Percent 24 7 2" xfId="14724"/>
    <cellStyle name="Percent 24 8" xfId="6408"/>
    <cellStyle name="Percent 24 8 2" xfId="13129"/>
    <cellStyle name="Percent 24 9" xfId="11339"/>
    <cellStyle name="Percent 25" xfId="4257"/>
    <cellStyle name="Percent 25 2" xfId="4601"/>
    <cellStyle name="Percent 25 2 2" xfId="5054"/>
    <cellStyle name="Percent 25 2 2 2" xfId="8797"/>
    <cellStyle name="Percent 25 2 2 2 2" xfId="15345"/>
    <cellStyle name="Percent 25 2 2 3" xfId="7078"/>
    <cellStyle name="Percent 25 2 2 3 2" xfId="13764"/>
    <cellStyle name="Percent 25 2 2 4" xfId="11979"/>
    <cellStyle name="Percent 25 2 3" xfId="5428"/>
    <cellStyle name="Percent 25 2 3 2" xfId="9171"/>
    <cellStyle name="Percent 25 2 3 2 2" xfId="15715"/>
    <cellStyle name="Percent 25 2 3 3" xfId="7452"/>
    <cellStyle name="Percent 25 2 3 3 2" xfId="14134"/>
    <cellStyle name="Percent 25 2 3 4" xfId="12349"/>
    <cellStyle name="Percent 25 2 4" xfId="5866"/>
    <cellStyle name="Percent 25 2 4 2" xfId="9607"/>
    <cellStyle name="Percent 25 2 4 2 2" xfId="16109"/>
    <cellStyle name="Percent 25 2 4 3" xfId="7888"/>
    <cellStyle name="Percent 25 2 4 3 2" xfId="14528"/>
    <cellStyle name="Percent 25 2 4 4" xfId="12759"/>
    <cellStyle name="Percent 25 2 5" xfId="10050"/>
    <cellStyle name="Percent 25 2 5 2" xfId="16531"/>
    <cellStyle name="Percent 25 2 6" xfId="8365"/>
    <cellStyle name="Percent 25 2 6 2" xfId="14922"/>
    <cellStyle name="Percent 25 2 7" xfId="6646"/>
    <cellStyle name="Percent 25 2 7 2" xfId="13336"/>
    <cellStyle name="Percent 25 2 8" xfId="11546"/>
    <cellStyle name="Percent 25 3" xfId="4746"/>
    <cellStyle name="Percent 25 3 2" xfId="8489"/>
    <cellStyle name="Percent 25 3 2 2" xfId="15041"/>
    <cellStyle name="Percent 25 3 3" xfId="6770"/>
    <cellStyle name="Percent 25 3 3 2" xfId="13460"/>
    <cellStyle name="Percent 25 3 4" xfId="11675"/>
    <cellStyle name="Percent 25 4" xfId="5231"/>
    <cellStyle name="Percent 25 4 2" xfId="8974"/>
    <cellStyle name="Percent 25 4 2 2" xfId="15518"/>
    <cellStyle name="Percent 25 4 3" xfId="7255"/>
    <cellStyle name="Percent 25 4 3 2" xfId="13937"/>
    <cellStyle name="Percent 25 4 4" xfId="12152"/>
    <cellStyle name="Percent 25 5" xfId="5664"/>
    <cellStyle name="Percent 25 5 2" xfId="9405"/>
    <cellStyle name="Percent 25 5 2 2" xfId="15912"/>
    <cellStyle name="Percent 25 5 3" xfId="7686"/>
    <cellStyle name="Percent 25 5 3 2" xfId="14331"/>
    <cellStyle name="Percent 25 5 4" xfId="12557"/>
    <cellStyle name="Percent 25 6" xfId="9734"/>
    <cellStyle name="Percent 25 6 2" xfId="16227"/>
    <cellStyle name="Percent 25 7" xfId="8127"/>
    <cellStyle name="Percent 25 7 2" xfId="14725"/>
    <cellStyle name="Percent 25 8" xfId="6409"/>
    <cellStyle name="Percent 25 8 2" xfId="13130"/>
    <cellStyle name="Percent 25 9" xfId="11340"/>
    <cellStyle name="Percent 26" xfId="4258"/>
    <cellStyle name="Percent 26 2" xfId="4602"/>
    <cellStyle name="Percent 26 2 2" xfId="5055"/>
    <cellStyle name="Percent 26 2 2 2" xfId="8798"/>
    <cellStyle name="Percent 26 2 2 2 2" xfId="15346"/>
    <cellStyle name="Percent 26 2 2 3" xfId="7079"/>
    <cellStyle name="Percent 26 2 2 3 2" xfId="13765"/>
    <cellStyle name="Percent 26 2 2 4" xfId="11980"/>
    <cellStyle name="Percent 26 2 3" xfId="5429"/>
    <cellStyle name="Percent 26 2 3 2" xfId="9172"/>
    <cellStyle name="Percent 26 2 3 2 2" xfId="15716"/>
    <cellStyle name="Percent 26 2 3 3" xfId="7453"/>
    <cellStyle name="Percent 26 2 3 3 2" xfId="14135"/>
    <cellStyle name="Percent 26 2 3 4" xfId="12350"/>
    <cellStyle name="Percent 26 2 4" xfId="5867"/>
    <cellStyle name="Percent 26 2 4 2" xfId="9608"/>
    <cellStyle name="Percent 26 2 4 2 2" xfId="16110"/>
    <cellStyle name="Percent 26 2 4 3" xfId="7889"/>
    <cellStyle name="Percent 26 2 4 3 2" xfId="14529"/>
    <cellStyle name="Percent 26 2 4 4" xfId="12760"/>
    <cellStyle name="Percent 26 2 5" xfId="10051"/>
    <cellStyle name="Percent 26 2 5 2" xfId="16532"/>
    <cellStyle name="Percent 26 2 6" xfId="8366"/>
    <cellStyle name="Percent 26 2 6 2" xfId="14923"/>
    <cellStyle name="Percent 26 2 7" xfId="6647"/>
    <cellStyle name="Percent 26 2 7 2" xfId="13337"/>
    <cellStyle name="Percent 26 2 8" xfId="11547"/>
    <cellStyle name="Percent 26 3" xfId="4748"/>
    <cellStyle name="Percent 26 3 2" xfId="8491"/>
    <cellStyle name="Percent 26 3 2 2" xfId="15043"/>
    <cellStyle name="Percent 26 3 3" xfId="6772"/>
    <cellStyle name="Percent 26 3 3 2" xfId="13462"/>
    <cellStyle name="Percent 26 3 4" xfId="11677"/>
    <cellStyle name="Percent 26 4" xfId="5232"/>
    <cellStyle name="Percent 26 4 2" xfId="8975"/>
    <cellStyle name="Percent 26 4 2 2" xfId="15519"/>
    <cellStyle name="Percent 26 4 3" xfId="7256"/>
    <cellStyle name="Percent 26 4 3 2" xfId="13938"/>
    <cellStyle name="Percent 26 4 4" xfId="12153"/>
    <cellStyle name="Percent 26 5" xfId="5665"/>
    <cellStyle name="Percent 26 5 2" xfId="9406"/>
    <cellStyle name="Percent 26 5 2 2" xfId="15913"/>
    <cellStyle name="Percent 26 5 3" xfId="7687"/>
    <cellStyle name="Percent 26 5 3 2" xfId="14332"/>
    <cellStyle name="Percent 26 5 4" xfId="12558"/>
    <cellStyle name="Percent 26 6" xfId="9736"/>
    <cellStyle name="Percent 26 6 2" xfId="16229"/>
    <cellStyle name="Percent 26 7" xfId="8128"/>
    <cellStyle name="Percent 26 7 2" xfId="14726"/>
    <cellStyle name="Percent 26 8" xfId="6410"/>
    <cellStyle name="Percent 26 8 2" xfId="13131"/>
    <cellStyle name="Percent 26 9" xfId="11341"/>
    <cellStyle name="Percent 27" xfId="4259"/>
    <cellStyle name="Percent 27 2" xfId="4603"/>
    <cellStyle name="Percent 27 2 2" xfId="5056"/>
    <cellStyle name="Percent 27 2 2 2" xfId="8799"/>
    <cellStyle name="Percent 27 2 2 2 2" xfId="15347"/>
    <cellStyle name="Percent 27 2 2 3" xfId="7080"/>
    <cellStyle name="Percent 27 2 2 3 2" xfId="13766"/>
    <cellStyle name="Percent 27 2 2 4" xfId="11981"/>
    <cellStyle name="Percent 27 2 3" xfId="5430"/>
    <cellStyle name="Percent 27 2 3 2" xfId="9173"/>
    <cellStyle name="Percent 27 2 3 2 2" xfId="15717"/>
    <cellStyle name="Percent 27 2 3 3" xfId="7454"/>
    <cellStyle name="Percent 27 2 3 3 2" xfId="14136"/>
    <cellStyle name="Percent 27 2 3 4" xfId="12351"/>
    <cellStyle name="Percent 27 2 4" xfId="5868"/>
    <cellStyle name="Percent 27 2 4 2" xfId="9609"/>
    <cellStyle name="Percent 27 2 4 2 2" xfId="16111"/>
    <cellStyle name="Percent 27 2 4 3" xfId="7890"/>
    <cellStyle name="Percent 27 2 4 3 2" xfId="14530"/>
    <cellStyle name="Percent 27 2 4 4" xfId="12761"/>
    <cellStyle name="Percent 27 2 5" xfId="10052"/>
    <cellStyle name="Percent 27 2 5 2" xfId="16533"/>
    <cellStyle name="Percent 27 2 6" xfId="8367"/>
    <cellStyle name="Percent 27 2 6 2" xfId="14924"/>
    <cellStyle name="Percent 27 2 7" xfId="6648"/>
    <cellStyle name="Percent 27 2 7 2" xfId="13338"/>
    <cellStyle name="Percent 27 2 8" xfId="11548"/>
    <cellStyle name="Percent 27 3" xfId="4751"/>
    <cellStyle name="Percent 27 3 2" xfId="8494"/>
    <cellStyle name="Percent 27 3 2 2" xfId="15046"/>
    <cellStyle name="Percent 27 3 3" xfId="6775"/>
    <cellStyle name="Percent 27 3 3 2" xfId="13465"/>
    <cellStyle name="Percent 27 3 4" xfId="11680"/>
    <cellStyle name="Percent 27 4" xfId="5233"/>
    <cellStyle name="Percent 27 4 2" xfId="8976"/>
    <cellStyle name="Percent 27 4 2 2" xfId="15520"/>
    <cellStyle name="Percent 27 4 3" xfId="7257"/>
    <cellStyle name="Percent 27 4 3 2" xfId="13939"/>
    <cellStyle name="Percent 27 4 4" xfId="12154"/>
    <cellStyle name="Percent 27 5" xfId="5666"/>
    <cellStyle name="Percent 27 5 2" xfId="9407"/>
    <cellStyle name="Percent 27 5 2 2" xfId="15914"/>
    <cellStyle name="Percent 27 5 3" xfId="7688"/>
    <cellStyle name="Percent 27 5 3 2" xfId="14333"/>
    <cellStyle name="Percent 27 5 4" xfId="12559"/>
    <cellStyle name="Percent 27 6" xfId="9739"/>
    <cellStyle name="Percent 27 6 2" xfId="16232"/>
    <cellStyle name="Percent 27 7" xfId="8129"/>
    <cellStyle name="Percent 27 7 2" xfId="14727"/>
    <cellStyle name="Percent 27 8" xfId="6411"/>
    <cellStyle name="Percent 27 8 2" xfId="13132"/>
    <cellStyle name="Percent 27 9" xfId="11342"/>
    <cellStyle name="Percent 28" xfId="4260"/>
    <cellStyle name="Percent 28 2" xfId="4604"/>
    <cellStyle name="Percent 28 2 2" xfId="5057"/>
    <cellStyle name="Percent 28 2 2 2" xfId="8800"/>
    <cellStyle name="Percent 28 2 2 2 2" xfId="15348"/>
    <cellStyle name="Percent 28 2 2 3" xfId="7081"/>
    <cellStyle name="Percent 28 2 2 3 2" xfId="13767"/>
    <cellStyle name="Percent 28 2 2 4" xfId="11982"/>
    <cellStyle name="Percent 28 2 3" xfId="5431"/>
    <cellStyle name="Percent 28 2 3 2" xfId="9174"/>
    <cellStyle name="Percent 28 2 3 2 2" xfId="15718"/>
    <cellStyle name="Percent 28 2 3 3" xfId="7455"/>
    <cellStyle name="Percent 28 2 3 3 2" xfId="14137"/>
    <cellStyle name="Percent 28 2 3 4" xfId="12352"/>
    <cellStyle name="Percent 28 2 4" xfId="5869"/>
    <cellStyle name="Percent 28 2 4 2" xfId="9610"/>
    <cellStyle name="Percent 28 2 4 2 2" xfId="16112"/>
    <cellStyle name="Percent 28 2 4 3" xfId="7891"/>
    <cellStyle name="Percent 28 2 4 3 2" xfId="14531"/>
    <cellStyle name="Percent 28 2 4 4" xfId="12762"/>
    <cellStyle name="Percent 28 2 5" xfId="10053"/>
    <cellStyle name="Percent 28 2 5 2" xfId="16534"/>
    <cellStyle name="Percent 28 2 6" xfId="8368"/>
    <cellStyle name="Percent 28 2 6 2" xfId="14925"/>
    <cellStyle name="Percent 28 2 7" xfId="6649"/>
    <cellStyle name="Percent 28 2 7 2" xfId="13339"/>
    <cellStyle name="Percent 28 2 8" xfId="11549"/>
    <cellStyle name="Percent 28 3" xfId="4752"/>
    <cellStyle name="Percent 28 3 2" xfId="8495"/>
    <cellStyle name="Percent 28 3 2 2" xfId="15047"/>
    <cellStyle name="Percent 28 3 3" xfId="6776"/>
    <cellStyle name="Percent 28 3 3 2" xfId="13466"/>
    <cellStyle name="Percent 28 3 4" xfId="11681"/>
    <cellStyle name="Percent 28 4" xfId="5234"/>
    <cellStyle name="Percent 28 4 2" xfId="8977"/>
    <cellStyle name="Percent 28 4 2 2" xfId="15521"/>
    <cellStyle name="Percent 28 4 3" xfId="7258"/>
    <cellStyle name="Percent 28 4 3 2" xfId="13940"/>
    <cellStyle name="Percent 28 4 4" xfId="12155"/>
    <cellStyle name="Percent 28 5" xfId="5667"/>
    <cellStyle name="Percent 28 5 2" xfId="9408"/>
    <cellStyle name="Percent 28 5 2 2" xfId="15915"/>
    <cellStyle name="Percent 28 5 3" xfId="7689"/>
    <cellStyle name="Percent 28 5 3 2" xfId="14334"/>
    <cellStyle name="Percent 28 5 4" xfId="12560"/>
    <cellStyle name="Percent 28 6" xfId="9740"/>
    <cellStyle name="Percent 28 6 2" xfId="16233"/>
    <cellStyle name="Percent 28 7" xfId="8130"/>
    <cellStyle name="Percent 28 7 2" xfId="14728"/>
    <cellStyle name="Percent 28 8" xfId="6412"/>
    <cellStyle name="Percent 28 8 2" xfId="13133"/>
    <cellStyle name="Percent 28 9" xfId="11343"/>
    <cellStyle name="Percent 29" xfId="4261"/>
    <cellStyle name="Percent 29 2" xfId="4605"/>
    <cellStyle name="Percent 29 2 2" xfId="5058"/>
    <cellStyle name="Percent 29 2 2 2" xfId="8801"/>
    <cellStyle name="Percent 29 2 2 2 2" xfId="15349"/>
    <cellStyle name="Percent 29 2 2 3" xfId="7082"/>
    <cellStyle name="Percent 29 2 2 3 2" xfId="13768"/>
    <cellStyle name="Percent 29 2 2 4" xfId="11983"/>
    <cellStyle name="Percent 29 2 3" xfId="5432"/>
    <cellStyle name="Percent 29 2 3 2" xfId="9175"/>
    <cellStyle name="Percent 29 2 3 2 2" xfId="15719"/>
    <cellStyle name="Percent 29 2 3 3" xfId="7456"/>
    <cellStyle name="Percent 29 2 3 3 2" xfId="14138"/>
    <cellStyle name="Percent 29 2 3 4" xfId="12353"/>
    <cellStyle name="Percent 29 2 4" xfId="5870"/>
    <cellStyle name="Percent 29 2 4 2" xfId="9611"/>
    <cellStyle name="Percent 29 2 4 2 2" xfId="16113"/>
    <cellStyle name="Percent 29 2 4 3" xfId="7892"/>
    <cellStyle name="Percent 29 2 4 3 2" xfId="14532"/>
    <cellStyle name="Percent 29 2 4 4" xfId="12763"/>
    <cellStyle name="Percent 29 2 5" xfId="10054"/>
    <cellStyle name="Percent 29 2 5 2" xfId="16535"/>
    <cellStyle name="Percent 29 2 6" xfId="8369"/>
    <cellStyle name="Percent 29 2 6 2" xfId="14926"/>
    <cellStyle name="Percent 29 2 7" xfId="6650"/>
    <cellStyle name="Percent 29 2 7 2" xfId="13340"/>
    <cellStyle name="Percent 29 2 8" xfId="11550"/>
    <cellStyle name="Percent 29 3" xfId="4820"/>
    <cellStyle name="Percent 29 3 2" xfId="8563"/>
    <cellStyle name="Percent 29 3 2 2" xfId="15111"/>
    <cellStyle name="Percent 29 3 3" xfId="6844"/>
    <cellStyle name="Percent 29 3 3 2" xfId="13530"/>
    <cellStyle name="Percent 29 3 4" xfId="11745"/>
    <cellStyle name="Percent 29 4" xfId="5235"/>
    <cellStyle name="Percent 29 4 2" xfId="8978"/>
    <cellStyle name="Percent 29 4 2 2" xfId="15522"/>
    <cellStyle name="Percent 29 4 3" xfId="7259"/>
    <cellStyle name="Percent 29 4 3 2" xfId="13941"/>
    <cellStyle name="Percent 29 4 4" xfId="12156"/>
    <cellStyle name="Percent 29 5" xfId="5668"/>
    <cellStyle name="Percent 29 5 2" xfId="9409"/>
    <cellStyle name="Percent 29 5 2 2" xfId="15916"/>
    <cellStyle name="Percent 29 5 3" xfId="7690"/>
    <cellStyle name="Percent 29 5 3 2" xfId="14335"/>
    <cellStyle name="Percent 29 5 4" xfId="12561"/>
    <cellStyle name="Percent 29 6" xfId="9811"/>
    <cellStyle name="Percent 29 6 2" xfId="16297"/>
    <cellStyle name="Percent 29 7" xfId="8131"/>
    <cellStyle name="Percent 29 7 2" xfId="14729"/>
    <cellStyle name="Percent 29 8" xfId="6413"/>
    <cellStyle name="Percent 29 8 2" xfId="13134"/>
    <cellStyle name="Percent 29 9" xfId="11344"/>
    <cellStyle name="Percent 3" xfId="4262"/>
    <cellStyle name="Percent 30" xfId="4447"/>
    <cellStyle name="Percent 30 2" xfId="4645"/>
    <cellStyle name="Percent 30 2 2" xfId="5059"/>
    <cellStyle name="Percent 30 2 2 2" xfId="8802"/>
    <cellStyle name="Percent 30 2 2 2 2" xfId="15350"/>
    <cellStyle name="Percent 30 2 2 3" xfId="7083"/>
    <cellStyle name="Percent 30 2 2 3 2" xfId="13769"/>
    <cellStyle name="Percent 30 2 2 4" xfId="11984"/>
    <cellStyle name="Percent 30 2 3" xfId="5472"/>
    <cellStyle name="Percent 30 2 3 2" xfId="9215"/>
    <cellStyle name="Percent 30 2 3 2 2" xfId="15759"/>
    <cellStyle name="Percent 30 2 3 3" xfId="7496"/>
    <cellStyle name="Percent 30 2 3 3 2" xfId="14178"/>
    <cellStyle name="Percent 30 2 3 4" xfId="12393"/>
    <cellStyle name="Percent 30 2 4" xfId="5910"/>
    <cellStyle name="Percent 30 2 4 2" xfId="9651"/>
    <cellStyle name="Percent 30 2 4 2 2" xfId="16153"/>
    <cellStyle name="Percent 30 2 4 3" xfId="7932"/>
    <cellStyle name="Percent 30 2 4 3 2" xfId="14572"/>
    <cellStyle name="Percent 30 2 4 4" xfId="12803"/>
    <cellStyle name="Percent 30 2 5" xfId="10055"/>
    <cellStyle name="Percent 30 2 5 2" xfId="16536"/>
    <cellStyle name="Percent 30 2 6" xfId="8409"/>
    <cellStyle name="Percent 30 2 6 2" xfId="14966"/>
    <cellStyle name="Percent 30 2 7" xfId="6690"/>
    <cellStyle name="Percent 30 2 7 2" xfId="13380"/>
    <cellStyle name="Percent 30 2 8" xfId="11590"/>
    <cellStyle name="Percent 30 3" xfId="4847"/>
    <cellStyle name="Percent 30 3 2" xfId="8590"/>
    <cellStyle name="Percent 30 3 2 2" xfId="15138"/>
    <cellStyle name="Percent 30 3 3" xfId="6871"/>
    <cellStyle name="Percent 30 3 3 2" xfId="13557"/>
    <cellStyle name="Percent 30 3 4" xfId="11772"/>
    <cellStyle name="Percent 30 4" xfId="5275"/>
    <cellStyle name="Percent 30 4 2" xfId="9018"/>
    <cellStyle name="Percent 30 4 2 2" xfId="15562"/>
    <cellStyle name="Percent 30 4 3" xfId="7299"/>
    <cellStyle name="Percent 30 4 3 2" xfId="13981"/>
    <cellStyle name="Percent 30 4 4" xfId="12196"/>
    <cellStyle name="Percent 30 5" xfId="5713"/>
    <cellStyle name="Percent 30 5 2" xfId="9454"/>
    <cellStyle name="Percent 30 5 2 2" xfId="15956"/>
    <cellStyle name="Percent 30 5 3" xfId="7735"/>
    <cellStyle name="Percent 30 5 3 2" xfId="14375"/>
    <cellStyle name="Percent 30 5 4" xfId="12606"/>
    <cellStyle name="Percent 30 6" xfId="9838"/>
    <cellStyle name="Percent 30 6 2" xfId="16324"/>
    <cellStyle name="Percent 30 7" xfId="8212"/>
    <cellStyle name="Percent 30 7 2" xfId="14769"/>
    <cellStyle name="Percent 30 8" xfId="6493"/>
    <cellStyle name="Percent 30 8 2" xfId="13183"/>
    <cellStyle name="Percent 30 9" xfId="11392"/>
    <cellStyle name="Percent 31" xfId="4655"/>
    <cellStyle name="Percent 32" xfId="4656"/>
    <cellStyle name="Percent 33" xfId="4657"/>
    <cellStyle name="Percent 34" xfId="4658"/>
    <cellStyle name="Percent 35" xfId="4659"/>
    <cellStyle name="Percent 36" xfId="4660"/>
    <cellStyle name="Percent 37" xfId="4661"/>
    <cellStyle name="Percent 38" xfId="4662"/>
    <cellStyle name="Percent 39" xfId="4669"/>
    <cellStyle name="Percent 39 2" xfId="5073"/>
    <cellStyle name="Percent 39 2 2" xfId="8816"/>
    <cellStyle name="Percent 39 2 2 2" xfId="15364"/>
    <cellStyle name="Percent 39 2 3" xfId="7097"/>
    <cellStyle name="Percent 39 2 3 2" xfId="13783"/>
    <cellStyle name="Percent 39 2 4" xfId="11998"/>
    <cellStyle name="Percent 39 3" xfId="10069"/>
    <cellStyle name="Percent 39 3 2" xfId="16550"/>
    <cellStyle name="Percent 39 4" xfId="8416"/>
    <cellStyle name="Percent 39 4 2" xfId="14968"/>
    <cellStyle name="Percent 39 5" xfId="6697"/>
    <cellStyle name="Percent 39 5 2" xfId="13387"/>
    <cellStyle name="Percent 39 6" xfId="11601"/>
    <cellStyle name="Percent 4" xfId="4263"/>
    <cellStyle name="Percent 4 10" xfId="11345"/>
    <cellStyle name="Percent 4 2" xfId="4264"/>
    <cellStyle name="Percent 4 2 2" xfId="4607"/>
    <cellStyle name="Percent 4 2 2 2" xfId="5060"/>
    <cellStyle name="Percent 4 2 2 2 2" xfId="8803"/>
    <cellStyle name="Percent 4 2 2 2 2 2" xfId="15351"/>
    <cellStyle name="Percent 4 2 2 2 3" xfId="7084"/>
    <cellStyle name="Percent 4 2 2 2 3 2" xfId="13770"/>
    <cellStyle name="Percent 4 2 2 2 4" xfId="11985"/>
    <cellStyle name="Percent 4 2 2 3" xfId="5434"/>
    <cellStyle name="Percent 4 2 2 3 2" xfId="9177"/>
    <cellStyle name="Percent 4 2 2 3 2 2" xfId="15721"/>
    <cellStyle name="Percent 4 2 2 3 3" xfId="7458"/>
    <cellStyle name="Percent 4 2 2 3 3 2" xfId="14140"/>
    <cellStyle name="Percent 4 2 2 3 4" xfId="12355"/>
    <cellStyle name="Percent 4 2 2 4" xfId="5872"/>
    <cellStyle name="Percent 4 2 2 4 2" xfId="9613"/>
    <cellStyle name="Percent 4 2 2 4 2 2" xfId="16115"/>
    <cellStyle name="Percent 4 2 2 4 3" xfId="7894"/>
    <cellStyle name="Percent 4 2 2 4 3 2" xfId="14534"/>
    <cellStyle name="Percent 4 2 2 4 4" xfId="12765"/>
    <cellStyle name="Percent 4 2 2 5" xfId="10056"/>
    <cellStyle name="Percent 4 2 2 5 2" xfId="16537"/>
    <cellStyle name="Percent 4 2 2 6" xfId="8371"/>
    <cellStyle name="Percent 4 2 2 6 2" xfId="14928"/>
    <cellStyle name="Percent 4 2 2 7" xfId="6652"/>
    <cellStyle name="Percent 4 2 2 7 2" xfId="13342"/>
    <cellStyle name="Percent 4 2 2 8" xfId="11552"/>
    <cellStyle name="Percent 4 2 3" xfId="4813"/>
    <cellStyle name="Percent 4 2 3 2" xfId="8556"/>
    <cellStyle name="Percent 4 2 3 2 2" xfId="15108"/>
    <cellStyle name="Percent 4 2 3 3" xfId="6837"/>
    <cellStyle name="Percent 4 2 3 3 2" xfId="13527"/>
    <cellStyle name="Percent 4 2 3 4" xfId="11742"/>
    <cellStyle name="Percent 4 2 4" xfId="5237"/>
    <cellStyle name="Percent 4 2 4 2" xfId="8980"/>
    <cellStyle name="Percent 4 2 4 2 2" xfId="15524"/>
    <cellStyle name="Percent 4 2 4 3" xfId="7261"/>
    <cellStyle name="Percent 4 2 4 3 2" xfId="13943"/>
    <cellStyle name="Percent 4 2 4 4" xfId="12158"/>
    <cellStyle name="Percent 4 2 5" xfId="5670"/>
    <cellStyle name="Percent 4 2 5 2" xfId="9411"/>
    <cellStyle name="Percent 4 2 5 2 2" xfId="15918"/>
    <cellStyle name="Percent 4 2 5 3" xfId="7692"/>
    <cellStyle name="Percent 4 2 5 3 2" xfId="14337"/>
    <cellStyle name="Percent 4 2 5 4" xfId="12563"/>
    <cellStyle name="Percent 4 2 6" xfId="9803"/>
    <cellStyle name="Percent 4 2 6 2" xfId="16294"/>
    <cellStyle name="Percent 4 2 7" xfId="8133"/>
    <cellStyle name="Percent 4 2 7 2" xfId="14731"/>
    <cellStyle name="Percent 4 2 8" xfId="6415"/>
    <cellStyle name="Percent 4 2 8 2" xfId="13136"/>
    <cellStyle name="Percent 4 2 9" xfId="11346"/>
    <cellStyle name="Percent 4 3" xfId="4606"/>
    <cellStyle name="Percent 4 3 2" xfId="5061"/>
    <cellStyle name="Percent 4 3 2 2" xfId="8804"/>
    <cellStyle name="Percent 4 3 2 2 2" xfId="15352"/>
    <cellStyle name="Percent 4 3 2 3" xfId="7085"/>
    <cellStyle name="Percent 4 3 2 3 2" xfId="13771"/>
    <cellStyle name="Percent 4 3 2 4" xfId="11986"/>
    <cellStyle name="Percent 4 3 3" xfId="5433"/>
    <cellStyle name="Percent 4 3 3 2" xfId="9176"/>
    <cellStyle name="Percent 4 3 3 2 2" xfId="15720"/>
    <cellStyle name="Percent 4 3 3 3" xfId="7457"/>
    <cellStyle name="Percent 4 3 3 3 2" xfId="14139"/>
    <cellStyle name="Percent 4 3 3 4" xfId="12354"/>
    <cellStyle name="Percent 4 3 4" xfId="5871"/>
    <cellStyle name="Percent 4 3 4 2" xfId="9612"/>
    <cellStyle name="Percent 4 3 4 2 2" xfId="16114"/>
    <cellStyle name="Percent 4 3 4 3" xfId="7893"/>
    <cellStyle name="Percent 4 3 4 3 2" xfId="14533"/>
    <cellStyle name="Percent 4 3 4 4" xfId="12764"/>
    <cellStyle name="Percent 4 3 5" xfId="10057"/>
    <cellStyle name="Percent 4 3 5 2" xfId="16538"/>
    <cellStyle name="Percent 4 3 6" xfId="8370"/>
    <cellStyle name="Percent 4 3 6 2" xfId="14927"/>
    <cellStyle name="Percent 4 3 7" xfId="6651"/>
    <cellStyle name="Percent 4 3 7 2" xfId="13341"/>
    <cellStyle name="Percent 4 3 8" xfId="11551"/>
    <cellStyle name="Percent 4 4" xfId="4731"/>
    <cellStyle name="Percent 4 4 2" xfId="8475"/>
    <cellStyle name="Percent 4 4 2 2" xfId="15027"/>
    <cellStyle name="Percent 4 4 3" xfId="6756"/>
    <cellStyle name="Percent 4 4 3 2" xfId="13446"/>
    <cellStyle name="Percent 4 4 4" xfId="11660"/>
    <cellStyle name="Percent 4 5" xfId="5236"/>
    <cellStyle name="Percent 4 5 2" xfId="8979"/>
    <cellStyle name="Percent 4 5 2 2" xfId="15523"/>
    <cellStyle name="Percent 4 5 3" xfId="7260"/>
    <cellStyle name="Percent 4 5 3 2" xfId="13942"/>
    <cellStyle name="Percent 4 5 4" xfId="12157"/>
    <cellStyle name="Percent 4 6" xfId="5669"/>
    <cellStyle name="Percent 4 6 2" xfId="9410"/>
    <cellStyle name="Percent 4 6 2 2" xfId="15917"/>
    <cellStyle name="Percent 4 6 3" xfId="7691"/>
    <cellStyle name="Percent 4 6 3 2" xfId="14336"/>
    <cellStyle name="Percent 4 6 4" xfId="12562"/>
    <cellStyle name="Percent 4 7" xfId="9719"/>
    <cellStyle name="Percent 4 7 2" xfId="16212"/>
    <cellStyle name="Percent 4 8" xfId="8132"/>
    <cellStyle name="Percent 4 8 2" xfId="14730"/>
    <cellStyle name="Percent 4 9" xfId="6414"/>
    <cellStyle name="Percent 4 9 2" xfId="13135"/>
    <cellStyle name="Percent 5" xfId="4265"/>
    <cellStyle name="Percent 5 10" xfId="11347"/>
    <cellStyle name="Percent 5 2" xfId="4266"/>
    <cellStyle name="Percent 5 2 2" xfId="4609"/>
    <cellStyle name="Percent 5 2 2 2" xfId="5062"/>
    <cellStyle name="Percent 5 2 2 2 2" xfId="8805"/>
    <cellStyle name="Percent 5 2 2 2 2 2" xfId="15353"/>
    <cellStyle name="Percent 5 2 2 2 3" xfId="7086"/>
    <cellStyle name="Percent 5 2 2 2 3 2" xfId="13772"/>
    <cellStyle name="Percent 5 2 2 2 4" xfId="11987"/>
    <cellStyle name="Percent 5 2 2 3" xfId="5436"/>
    <cellStyle name="Percent 5 2 2 3 2" xfId="9179"/>
    <cellStyle name="Percent 5 2 2 3 2 2" xfId="15723"/>
    <cellStyle name="Percent 5 2 2 3 3" xfId="7460"/>
    <cellStyle name="Percent 5 2 2 3 3 2" xfId="14142"/>
    <cellStyle name="Percent 5 2 2 3 4" xfId="12357"/>
    <cellStyle name="Percent 5 2 2 4" xfId="5874"/>
    <cellStyle name="Percent 5 2 2 4 2" xfId="9615"/>
    <cellStyle name="Percent 5 2 2 4 2 2" xfId="16117"/>
    <cellStyle name="Percent 5 2 2 4 3" xfId="7896"/>
    <cellStyle name="Percent 5 2 2 4 3 2" xfId="14536"/>
    <cellStyle name="Percent 5 2 2 4 4" xfId="12767"/>
    <cellStyle name="Percent 5 2 2 5" xfId="10058"/>
    <cellStyle name="Percent 5 2 2 5 2" xfId="16539"/>
    <cellStyle name="Percent 5 2 2 6" xfId="8373"/>
    <cellStyle name="Percent 5 2 2 6 2" xfId="14930"/>
    <cellStyle name="Percent 5 2 2 7" xfId="6654"/>
    <cellStyle name="Percent 5 2 2 7 2" xfId="13344"/>
    <cellStyle name="Percent 5 2 2 8" xfId="11554"/>
    <cellStyle name="Percent 5 2 3" xfId="4812"/>
    <cellStyle name="Percent 5 2 3 2" xfId="8555"/>
    <cellStyle name="Percent 5 2 3 2 2" xfId="15107"/>
    <cellStyle name="Percent 5 2 3 3" xfId="6836"/>
    <cellStyle name="Percent 5 2 3 3 2" xfId="13526"/>
    <cellStyle name="Percent 5 2 3 4" xfId="11741"/>
    <cellStyle name="Percent 5 2 4" xfId="5239"/>
    <cellStyle name="Percent 5 2 4 2" xfId="8982"/>
    <cellStyle name="Percent 5 2 4 2 2" xfId="15526"/>
    <cellStyle name="Percent 5 2 4 3" xfId="7263"/>
    <cellStyle name="Percent 5 2 4 3 2" xfId="13945"/>
    <cellStyle name="Percent 5 2 4 4" xfId="12160"/>
    <cellStyle name="Percent 5 2 5" xfId="5672"/>
    <cellStyle name="Percent 5 2 5 2" xfId="9413"/>
    <cellStyle name="Percent 5 2 5 2 2" xfId="15920"/>
    <cellStyle name="Percent 5 2 5 3" xfId="7694"/>
    <cellStyle name="Percent 5 2 5 3 2" xfId="14339"/>
    <cellStyle name="Percent 5 2 5 4" xfId="12565"/>
    <cellStyle name="Percent 5 2 6" xfId="9802"/>
    <cellStyle name="Percent 5 2 6 2" xfId="16293"/>
    <cellStyle name="Percent 5 2 7" xfId="8135"/>
    <cellStyle name="Percent 5 2 7 2" xfId="14733"/>
    <cellStyle name="Percent 5 2 8" xfId="6417"/>
    <cellStyle name="Percent 5 2 8 2" xfId="13138"/>
    <cellStyle name="Percent 5 2 9" xfId="11348"/>
    <cellStyle name="Percent 5 3" xfId="4608"/>
    <cellStyle name="Percent 5 3 2" xfId="5063"/>
    <cellStyle name="Percent 5 3 2 2" xfId="8806"/>
    <cellStyle name="Percent 5 3 2 2 2" xfId="15354"/>
    <cellStyle name="Percent 5 3 2 3" xfId="7087"/>
    <cellStyle name="Percent 5 3 2 3 2" xfId="13773"/>
    <cellStyle name="Percent 5 3 2 4" xfId="11988"/>
    <cellStyle name="Percent 5 3 3" xfId="5435"/>
    <cellStyle name="Percent 5 3 3 2" xfId="9178"/>
    <cellStyle name="Percent 5 3 3 2 2" xfId="15722"/>
    <cellStyle name="Percent 5 3 3 3" xfId="7459"/>
    <cellStyle name="Percent 5 3 3 3 2" xfId="14141"/>
    <cellStyle name="Percent 5 3 3 4" xfId="12356"/>
    <cellStyle name="Percent 5 3 4" xfId="5873"/>
    <cellStyle name="Percent 5 3 4 2" xfId="9614"/>
    <cellStyle name="Percent 5 3 4 2 2" xfId="16116"/>
    <cellStyle name="Percent 5 3 4 3" xfId="7895"/>
    <cellStyle name="Percent 5 3 4 3 2" xfId="14535"/>
    <cellStyle name="Percent 5 3 4 4" xfId="12766"/>
    <cellStyle name="Percent 5 3 5" xfId="10059"/>
    <cellStyle name="Percent 5 3 5 2" xfId="16540"/>
    <cellStyle name="Percent 5 3 6" xfId="8372"/>
    <cellStyle name="Percent 5 3 6 2" xfId="14929"/>
    <cellStyle name="Percent 5 3 7" xfId="6653"/>
    <cellStyle name="Percent 5 3 7 2" xfId="13343"/>
    <cellStyle name="Percent 5 3 8" xfId="11553"/>
    <cellStyle name="Percent 5 4" xfId="4730"/>
    <cellStyle name="Percent 5 4 2" xfId="8474"/>
    <cellStyle name="Percent 5 4 2 2" xfId="15026"/>
    <cellStyle name="Percent 5 4 3" xfId="6755"/>
    <cellStyle name="Percent 5 4 3 2" xfId="13445"/>
    <cellStyle name="Percent 5 4 4" xfId="11659"/>
    <cellStyle name="Percent 5 5" xfId="5238"/>
    <cellStyle name="Percent 5 5 2" xfId="8981"/>
    <cellStyle name="Percent 5 5 2 2" xfId="15525"/>
    <cellStyle name="Percent 5 5 3" xfId="7262"/>
    <cellStyle name="Percent 5 5 3 2" xfId="13944"/>
    <cellStyle name="Percent 5 5 4" xfId="12159"/>
    <cellStyle name="Percent 5 6" xfId="5671"/>
    <cellStyle name="Percent 5 6 2" xfId="9412"/>
    <cellStyle name="Percent 5 6 2 2" xfId="15919"/>
    <cellStyle name="Percent 5 6 3" xfId="7693"/>
    <cellStyle name="Percent 5 6 3 2" xfId="14338"/>
    <cellStyle name="Percent 5 6 4" xfId="12564"/>
    <cellStyle name="Percent 5 7" xfId="9718"/>
    <cellStyle name="Percent 5 7 2" xfId="16211"/>
    <cellStyle name="Percent 5 8" xfId="8134"/>
    <cellStyle name="Percent 5 8 2" xfId="14732"/>
    <cellStyle name="Percent 5 9" xfId="6416"/>
    <cellStyle name="Percent 5 9 2" xfId="13137"/>
    <cellStyle name="Percent 6" xfId="4267"/>
    <cellStyle name="Percent 6 10" xfId="11349"/>
    <cellStyle name="Percent 6 2" xfId="4268"/>
    <cellStyle name="Percent 6 2 2" xfId="4611"/>
    <cellStyle name="Percent 6 2 2 2" xfId="5064"/>
    <cellStyle name="Percent 6 2 2 2 2" xfId="8807"/>
    <cellStyle name="Percent 6 2 2 2 2 2" xfId="15355"/>
    <cellStyle name="Percent 6 2 2 2 3" xfId="7088"/>
    <cellStyle name="Percent 6 2 2 2 3 2" xfId="13774"/>
    <cellStyle name="Percent 6 2 2 2 4" xfId="11989"/>
    <cellStyle name="Percent 6 2 2 3" xfId="5438"/>
    <cellStyle name="Percent 6 2 2 3 2" xfId="9181"/>
    <cellStyle name="Percent 6 2 2 3 2 2" xfId="15725"/>
    <cellStyle name="Percent 6 2 2 3 3" xfId="7462"/>
    <cellStyle name="Percent 6 2 2 3 3 2" xfId="14144"/>
    <cellStyle name="Percent 6 2 2 3 4" xfId="12359"/>
    <cellStyle name="Percent 6 2 2 4" xfId="5876"/>
    <cellStyle name="Percent 6 2 2 4 2" xfId="9617"/>
    <cellStyle name="Percent 6 2 2 4 2 2" xfId="16119"/>
    <cellStyle name="Percent 6 2 2 4 3" xfId="7898"/>
    <cellStyle name="Percent 6 2 2 4 3 2" xfId="14538"/>
    <cellStyle name="Percent 6 2 2 4 4" xfId="12769"/>
    <cellStyle name="Percent 6 2 2 5" xfId="10060"/>
    <cellStyle name="Percent 6 2 2 5 2" xfId="16541"/>
    <cellStyle name="Percent 6 2 2 6" xfId="8375"/>
    <cellStyle name="Percent 6 2 2 6 2" xfId="14932"/>
    <cellStyle name="Percent 6 2 2 7" xfId="6656"/>
    <cellStyle name="Percent 6 2 2 7 2" xfId="13346"/>
    <cellStyle name="Percent 6 2 2 8" xfId="11556"/>
    <cellStyle name="Percent 6 2 3" xfId="4783"/>
    <cellStyle name="Percent 6 2 3 2" xfId="8526"/>
    <cellStyle name="Percent 6 2 3 2 2" xfId="15078"/>
    <cellStyle name="Percent 6 2 3 3" xfId="6807"/>
    <cellStyle name="Percent 6 2 3 3 2" xfId="13497"/>
    <cellStyle name="Percent 6 2 3 4" xfId="11712"/>
    <cellStyle name="Percent 6 2 4" xfId="5241"/>
    <cellStyle name="Percent 6 2 4 2" xfId="8984"/>
    <cellStyle name="Percent 6 2 4 2 2" xfId="15528"/>
    <cellStyle name="Percent 6 2 4 3" xfId="7265"/>
    <cellStyle name="Percent 6 2 4 3 2" xfId="13947"/>
    <cellStyle name="Percent 6 2 4 4" xfId="12162"/>
    <cellStyle name="Percent 6 2 5" xfId="5674"/>
    <cellStyle name="Percent 6 2 5 2" xfId="9415"/>
    <cellStyle name="Percent 6 2 5 2 2" xfId="15922"/>
    <cellStyle name="Percent 6 2 5 3" xfId="7696"/>
    <cellStyle name="Percent 6 2 5 3 2" xfId="14341"/>
    <cellStyle name="Percent 6 2 5 4" xfId="12567"/>
    <cellStyle name="Percent 6 2 6" xfId="9773"/>
    <cellStyle name="Percent 6 2 6 2" xfId="16264"/>
    <cellStyle name="Percent 6 2 7" xfId="8137"/>
    <cellStyle name="Percent 6 2 7 2" xfId="14735"/>
    <cellStyle name="Percent 6 2 8" xfId="6419"/>
    <cellStyle name="Percent 6 2 8 2" xfId="13140"/>
    <cellStyle name="Percent 6 2 9" xfId="11350"/>
    <cellStyle name="Percent 6 3" xfId="4610"/>
    <cellStyle name="Percent 6 3 2" xfId="5065"/>
    <cellStyle name="Percent 6 3 2 2" xfId="8808"/>
    <cellStyle name="Percent 6 3 2 2 2" xfId="15356"/>
    <cellStyle name="Percent 6 3 2 3" xfId="7089"/>
    <cellStyle name="Percent 6 3 2 3 2" xfId="13775"/>
    <cellStyle name="Percent 6 3 2 4" xfId="11990"/>
    <cellStyle name="Percent 6 3 3" xfId="5437"/>
    <cellStyle name="Percent 6 3 3 2" xfId="9180"/>
    <cellStyle name="Percent 6 3 3 2 2" xfId="15724"/>
    <cellStyle name="Percent 6 3 3 3" xfId="7461"/>
    <cellStyle name="Percent 6 3 3 3 2" xfId="14143"/>
    <cellStyle name="Percent 6 3 3 4" xfId="12358"/>
    <cellStyle name="Percent 6 3 4" xfId="5875"/>
    <cellStyle name="Percent 6 3 4 2" xfId="9616"/>
    <cellStyle name="Percent 6 3 4 2 2" xfId="16118"/>
    <cellStyle name="Percent 6 3 4 3" xfId="7897"/>
    <cellStyle name="Percent 6 3 4 3 2" xfId="14537"/>
    <cellStyle name="Percent 6 3 4 4" xfId="12768"/>
    <cellStyle name="Percent 6 3 5" xfId="10061"/>
    <cellStyle name="Percent 6 3 5 2" xfId="16542"/>
    <cellStyle name="Percent 6 3 6" xfId="8374"/>
    <cellStyle name="Percent 6 3 6 2" xfId="14931"/>
    <cellStyle name="Percent 6 3 7" xfId="6655"/>
    <cellStyle name="Percent 6 3 7 2" xfId="13345"/>
    <cellStyle name="Percent 6 3 8" xfId="11555"/>
    <cellStyle name="Percent 6 4" xfId="4701"/>
    <cellStyle name="Percent 6 4 2" xfId="8445"/>
    <cellStyle name="Percent 6 4 2 2" xfId="14997"/>
    <cellStyle name="Percent 6 4 3" xfId="6726"/>
    <cellStyle name="Percent 6 4 3 2" xfId="13416"/>
    <cellStyle name="Percent 6 4 4" xfId="11630"/>
    <cellStyle name="Percent 6 5" xfId="5240"/>
    <cellStyle name="Percent 6 5 2" xfId="8983"/>
    <cellStyle name="Percent 6 5 2 2" xfId="15527"/>
    <cellStyle name="Percent 6 5 3" xfId="7264"/>
    <cellStyle name="Percent 6 5 3 2" xfId="13946"/>
    <cellStyle name="Percent 6 5 4" xfId="12161"/>
    <cellStyle name="Percent 6 6" xfId="5673"/>
    <cellStyle name="Percent 6 6 2" xfId="9414"/>
    <cellStyle name="Percent 6 6 2 2" xfId="15921"/>
    <cellStyle name="Percent 6 6 3" xfId="7695"/>
    <cellStyle name="Percent 6 6 3 2" xfId="14340"/>
    <cellStyle name="Percent 6 6 4" xfId="12566"/>
    <cellStyle name="Percent 6 7" xfId="9689"/>
    <cellStyle name="Percent 6 7 2" xfId="16182"/>
    <cellStyle name="Percent 6 8" xfId="8136"/>
    <cellStyle name="Percent 6 8 2" xfId="14734"/>
    <cellStyle name="Percent 6 9" xfId="6418"/>
    <cellStyle name="Percent 6 9 2" xfId="13139"/>
    <cellStyle name="Percent 7" xfId="4269"/>
    <cellStyle name="Percent 7 10" xfId="11351"/>
    <cellStyle name="Percent 7 2" xfId="4270"/>
    <cellStyle name="Percent 7 2 2" xfId="4613"/>
    <cellStyle name="Percent 7 2 2 2" xfId="5066"/>
    <cellStyle name="Percent 7 2 2 2 2" xfId="8809"/>
    <cellStyle name="Percent 7 2 2 2 2 2" xfId="15357"/>
    <cellStyle name="Percent 7 2 2 2 3" xfId="7090"/>
    <cellStyle name="Percent 7 2 2 2 3 2" xfId="13776"/>
    <cellStyle name="Percent 7 2 2 2 4" xfId="11991"/>
    <cellStyle name="Percent 7 2 2 3" xfId="5440"/>
    <cellStyle name="Percent 7 2 2 3 2" xfId="9183"/>
    <cellStyle name="Percent 7 2 2 3 2 2" xfId="15727"/>
    <cellStyle name="Percent 7 2 2 3 3" xfId="7464"/>
    <cellStyle name="Percent 7 2 2 3 3 2" xfId="14146"/>
    <cellStyle name="Percent 7 2 2 3 4" xfId="12361"/>
    <cellStyle name="Percent 7 2 2 4" xfId="5878"/>
    <cellStyle name="Percent 7 2 2 4 2" xfId="9619"/>
    <cellStyle name="Percent 7 2 2 4 2 2" xfId="16121"/>
    <cellStyle name="Percent 7 2 2 4 3" xfId="7900"/>
    <cellStyle name="Percent 7 2 2 4 3 2" xfId="14540"/>
    <cellStyle name="Percent 7 2 2 4 4" xfId="12771"/>
    <cellStyle name="Percent 7 2 2 5" xfId="10062"/>
    <cellStyle name="Percent 7 2 2 5 2" xfId="16543"/>
    <cellStyle name="Percent 7 2 2 6" xfId="8377"/>
    <cellStyle name="Percent 7 2 2 6 2" xfId="14934"/>
    <cellStyle name="Percent 7 2 2 7" xfId="6658"/>
    <cellStyle name="Percent 7 2 2 7 2" xfId="13348"/>
    <cellStyle name="Percent 7 2 2 8" xfId="11558"/>
    <cellStyle name="Percent 7 2 3" xfId="4786"/>
    <cellStyle name="Percent 7 2 3 2" xfId="8529"/>
    <cellStyle name="Percent 7 2 3 2 2" xfId="15081"/>
    <cellStyle name="Percent 7 2 3 3" xfId="6810"/>
    <cellStyle name="Percent 7 2 3 3 2" xfId="13500"/>
    <cellStyle name="Percent 7 2 3 4" xfId="11715"/>
    <cellStyle name="Percent 7 2 4" xfId="5243"/>
    <cellStyle name="Percent 7 2 4 2" xfId="8986"/>
    <cellStyle name="Percent 7 2 4 2 2" xfId="15530"/>
    <cellStyle name="Percent 7 2 4 3" xfId="7267"/>
    <cellStyle name="Percent 7 2 4 3 2" xfId="13949"/>
    <cellStyle name="Percent 7 2 4 4" xfId="12164"/>
    <cellStyle name="Percent 7 2 5" xfId="5676"/>
    <cellStyle name="Percent 7 2 5 2" xfId="9417"/>
    <cellStyle name="Percent 7 2 5 2 2" xfId="15924"/>
    <cellStyle name="Percent 7 2 5 3" xfId="7698"/>
    <cellStyle name="Percent 7 2 5 3 2" xfId="14343"/>
    <cellStyle name="Percent 7 2 5 4" xfId="12569"/>
    <cellStyle name="Percent 7 2 6" xfId="9776"/>
    <cellStyle name="Percent 7 2 6 2" xfId="16267"/>
    <cellStyle name="Percent 7 2 7" xfId="8139"/>
    <cellStyle name="Percent 7 2 7 2" xfId="14737"/>
    <cellStyle name="Percent 7 2 8" xfId="6421"/>
    <cellStyle name="Percent 7 2 8 2" xfId="13142"/>
    <cellStyle name="Percent 7 2 9" xfId="11352"/>
    <cellStyle name="Percent 7 3" xfId="4612"/>
    <cellStyle name="Percent 7 3 2" xfId="5067"/>
    <cellStyle name="Percent 7 3 2 2" xfId="8810"/>
    <cellStyle name="Percent 7 3 2 2 2" xfId="15358"/>
    <cellStyle name="Percent 7 3 2 3" xfId="7091"/>
    <cellStyle name="Percent 7 3 2 3 2" xfId="13777"/>
    <cellStyle name="Percent 7 3 2 4" xfId="11992"/>
    <cellStyle name="Percent 7 3 3" xfId="5439"/>
    <cellStyle name="Percent 7 3 3 2" xfId="9182"/>
    <cellStyle name="Percent 7 3 3 2 2" xfId="15726"/>
    <cellStyle name="Percent 7 3 3 3" xfId="7463"/>
    <cellStyle name="Percent 7 3 3 3 2" xfId="14145"/>
    <cellStyle name="Percent 7 3 3 4" xfId="12360"/>
    <cellStyle name="Percent 7 3 4" xfId="5877"/>
    <cellStyle name="Percent 7 3 4 2" xfId="9618"/>
    <cellStyle name="Percent 7 3 4 2 2" xfId="16120"/>
    <cellStyle name="Percent 7 3 4 3" xfId="7899"/>
    <cellStyle name="Percent 7 3 4 3 2" xfId="14539"/>
    <cellStyle name="Percent 7 3 4 4" xfId="12770"/>
    <cellStyle name="Percent 7 3 5" xfId="10063"/>
    <cellStyle name="Percent 7 3 5 2" xfId="16544"/>
    <cellStyle name="Percent 7 3 6" xfId="8376"/>
    <cellStyle name="Percent 7 3 6 2" xfId="14933"/>
    <cellStyle name="Percent 7 3 7" xfId="6657"/>
    <cellStyle name="Percent 7 3 7 2" xfId="13347"/>
    <cellStyle name="Percent 7 3 8" xfId="11557"/>
    <cellStyle name="Percent 7 4" xfId="4704"/>
    <cellStyle name="Percent 7 4 2" xfId="8448"/>
    <cellStyle name="Percent 7 4 2 2" xfId="15000"/>
    <cellStyle name="Percent 7 4 3" xfId="6729"/>
    <cellStyle name="Percent 7 4 3 2" xfId="13419"/>
    <cellStyle name="Percent 7 4 4" xfId="11633"/>
    <cellStyle name="Percent 7 5" xfId="5242"/>
    <cellStyle name="Percent 7 5 2" xfId="8985"/>
    <cellStyle name="Percent 7 5 2 2" xfId="15529"/>
    <cellStyle name="Percent 7 5 3" xfId="7266"/>
    <cellStyle name="Percent 7 5 3 2" xfId="13948"/>
    <cellStyle name="Percent 7 5 4" xfId="12163"/>
    <cellStyle name="Percent 7 6" xfId="5675"/>
    <cellStyle name="Percent 7 6 2" xfId="9416"/>
    <cellStyle name="Percent 7 6 2 2" xfId="15923"/>
    <cellStyle name="Percent 7 6 3" xfId="7697"/>
    <cellStyle name="Percent 7 6 3 2" xfId="14342"/>
    <cellStyle name="Percent 7 6 4" xfId="12568"/>
    <cellStyle name="Percent 7 7" xfId="9692"/>
    <cellStyle name="Percent 7 7 2" xfId="16185"/>
    <cellStyle name="Percent 7 8" xfId="8138"/>
    <cellStyle name="Percent 7 8 2" xfId="14736"/>
    <cellStyle name="Percent 7 9" xfId="6420"/>
    <cellStyle name="Percent 7 9 2" xfId="13141"/>
    <cellStyle name="Percent 8" xfId="4271"/>
    <cellStyle name="Percent 8 10" xfId="11353"/>
    <cellStyle name="Percent 8 2" xfId="4272"/>
    <cellStyle name="Percent 8 2 2" xfId="4615"/>
    <cellStyle name="Percent 8 2 2 2" xfId="5068"/>
    <cellStyle name="Percent 8 2 2 2 2" xfId="8811"/>
    <cellStyle name="Percent 8 2 2 2 2 2" xfId="15359"/>
    <cellStyle name="Percent 8 2 2 2 3" xfId="7092"/>
    <cellStyle name="Percent 8 2 2 2 3 2" xfId="13778"/>
    <cellStyle name="Percent 8 2 2 2 4" xfId="11993"/>
    <cellStyle name="Percent 8 2 2 3" xfId="5442"/>
    <cellStyle name="Percent 8 2 2 3 2" xfId="9185"/>
    <cellStyle name="Percent 8 2 2 3 2 2" xfId="15729"/>
    <cellStyle name="Percent 8 2 2 3 3" xfId="7466"/>
    <cellStyle name="Percent 8 2 2 3 3 2" xfId="14148"/>
    <cellStyle name="Percent 8 2 2 3 4" xfId="12363"/>
    <cellStyle name="Percent 8 2 2 4" xfId="5880"/>
    <cellStyle name="Percent 8 2 2 4 2" xfId="9621"/>
    <cellStyle name="Percent 8 2 2 4 2 2" xfId="16123"/>
    <cellStyle name="Percent 8 2 2 4 3" xfId="7902"/>
    <cellStyle name="Percent 8 2 2 4 3 2" xfId="14542"/>
    <cellStyle name="Percent 8 2 2 4 4" xfId="12773"/>
    <cellStyle name="Percent 8 2 2 5" xfId="10064"/>
    <cellStyle name="Percent 8 2 2 5 2" xfId="16545"/>
    <cellStyle name="Percent 8 2 2 6" xfId="8379"/>
    <cellStyle name="Percent 8 2 2 6 2" xfId="14936"/>
    <cellStyle name="Percent 8 2 2 7" xfId="6660"/>
    <cellStyle name="Percent 8 2 2 7 2" xfId="13350"/>
    <cellStyle name="Percent 8 2 2 8" xfId="11560"/>
    <cellStyle name="Percent 8 2 3" xfId="4788"/>
    <cellStyle name="Percent 8 2 3 2" xfId="8531"/>
    <cellStyle name="Percent 8 2 3 2 2" xfId="15083"/>
    <cellStyle name="Percent 8 2 3 3" xfId="6812"/>
    <cellStyle name="Percent 8 2 3 3 2" xfId="13502"/>
    <cellStyle name="Percent 8 2 3 4" xfId="11717"/>
    <cellStyle name="Percent 8 2 4" xfId="5245"/>
    <cellStyle name="Percent 8 2 4 2" xfId="8988"/>
    <cellStyle name="Percent 8 2 4 2 2" xfId="15532"/>
    <cellStyle name="Percent 8 2 4 3" xfId="7269"/>
    <cellStyle name="Percent 8 2 4 3 2" xfId="13951"/>
    <cellStyle name="Percent 8 2 4 4" xfId="12166"/>
    <cellStyle name="Percent 8 2 5" xfId="5678"/>
    <cellStyle name="Percent 8 2 5 2" xfId="9419"/>
    <cellStyle name="Percent 8 2 5 2 2" xfId="15926"/>
    <cellStyle name="Percent 8 2 5 3" xfId="7700"/>
    <cellStyle name="Percent 8 2 5 3 2" xfId="14345"/>
    <cellStyle name="Percent 8 2 5 4" xfId="12571"/>
    <cellStyle name="Percent 8 2 6" xfId="9778"/>
    <cellStyle name="Percent 8 2 6 2" xfId="16269"/>
    <cellStyle name="Percent 8 2 7" xfId="8141"/>
    <cellStyle name="Percent 8 2 7 2" xfId="14739"/>
    <cellStyle name="Percent 8 2 8" xfId="6423"/>
    <cellStyle name="Percent 8 2 8 2" xfId="13144"/>
    <cellStyle name="Percent 8 2 9" xfId="11354"/>
    <cellStyle name="Percent 8 3" xfId="4614"/>
    <cellStyle name="Percent 8 3 2" xfId="5069"/>
    <cellStyle name="Percent 8 3 2 2" xfId="8812"/>
    <cellStyle name="Percent 8 3 2 2 2" xfId="15360"/>
    <cellStyle name="Percent 8 3 2 3" xfId="7093"/>
    <cellStyle name="Percent 8 3 2 3 2" xfId="13779"/>
    <cellStyle name="Percent 8 3 2 4" xfId="11994"/>
    <cellStyle name="Percent 8 3 3" xfId="5441"/>
    <cellStyle name="Percent 8 3 3 2" xfId="9184"/>
    <cellStyle name="Percent 8 3 3 2 2" xfId="15728"/>
    <cellStyle name="Percent 8 3 3 3" xfId="7465"/>
    <cellStyle name="Percent 8 3 3 3 2" xfId="14147"/>
    <cellStyle name="Percent 8 3 3 4" xfId="12362"/>
    <cellStyle name="Percent 8 3 4" xfId="5879"/>
    <cellStyle name="Percent 8 3 4 2" xfId="9620"/>
    <cellStyle name="Percent 8 3 4 2 2" xfId="16122"/>
    <cellStyle name="Percent 8 3 4 3" xfId="7901"/>
    <cellStyle name="Percent 8 3 4 3 2" xfId="14541"/>
    <cellStyle name="Percent 8 3 4 4" xfId="12772"/>
    <cellStyle name="Percent 8 3 5" xfId="10065"/>
    <cellStyle name="Percent 8 3 5 2" xfId="16546"/>
    <cellStyle name="Percent 8 3 6" xfId="8378"/>
    <cellStyle name="Percent 8 3 6 2" xfId="14935"/>
    <cellStyle name="Percent 8 3 7" xfId="6659"/>
    <cellStyle name="Percent 8 3 7 2" xfId="13349"/>
    <cellStyle name="Percent 8 3 8" xfId="11559"/>
    <cellStyle name="Percent 8 4" xfId="4706"/>
    <cellStyle name="Percent 8 4 2" xfId="8450"/>
    <cellStyle name="Percent 8 4 2 2" xfId="15002"/>
    <cellStyle name="Percent 8 4 3" xfId="6731"/>
    <cellStyle name="Percent 8 4 3 2" xfId="13421"/>
    <cellStyle name="Percent 8 4 4" xfId="11635"/>
    <cellStyle name="Percent 8 5" xfId="5244"/>
    <cellStyle name="Percent 8 5 2" xfId="8987"/>
    <cellStyle name="Percent 8 5 2 2" xfId="15531"/>
    <cellStyle name="Percent 8 5 3" xfId="7268"/>
    <cellStyle name="Percent 8 5 3 2" xfId="13950"/>
    <cellStyle name="Percent 8 5 4" xfId="12165"/>
    <cellStyle name="Percent 8 6" xfId="5677"/>
    <cellStyle name="Percent 8 6 2" xfId="9418"/>
    <cellStyle name="Percent 8 6 2 2" xfId="15925"/>
    <cellStyle name="Percent 8 6 3" xfId="7699"/>
    <cellStyle name="Percent 8 6 3 2" xfId="14344"/>
    <cellStyle name="Percent 8 6 4" xfId="12570"/>
    <cellStyle name="Percent 8 7" xfId="9694"/>
    <cellStyle name="Percent 8 7 2" xfId="16187"/>
    <cellStyle name="Percent 8 8" xfId="8140"/>
    <cellStyle name="Percent 8 8 2" xfId="14738"/>
    <cellStyle name="Percent 8 9" xfId="6422"/>
    <cellStyle name="Percent 8 9 2" xfId="13143"/>
    <cellStyle name="Percent 9" xfId="4273"/>
    <cellStyle name="Percent 9 10" xfId="11355"/>
    <cellStyle name="Percent 9 2" xfId="4274"/>
    <cellStyle name="Percent 9 2 2" xfId="4617"/>
    <cellStyle name="Percent 9 2 2 2" xfId="5070"/>
    <cellStyle name="Percent 9 2 2 2 2" xfId="8813"/>
    <cellStyle name="Percent 9 2 2 2 2 2" xfId="15361"/>
    <cellStyle name="Percent 9 2 2 2 3" xfId="7094"/>
    <cellStyle name="Percent 9 2 2 2 3 2" xfId="13780"/>
    <cellStyle name="Percent 9 2 2 2 4" xfId="11995"/>
    <cellStyle name="Percent 9 2 2 3" xfId="5444"/>
    <cellStyle name="Percent 9 2 2 3 2" xfId="9187"/>
    <cellStyle name="Percent 9 2 2 3 2 2" xfId="15731"/>
    <cellStyle name="Percent 9 2 2 3 3" xfId="7468"/>
    <cellStyle name="Percent 9 2 2 3 3 2" xfId="14150"/>
    <cellStyle name="Percent 9 2 2 3 4" xfId="12365"/>
    <cellStyle name="Percent 9 2 2 4" xfId="5882"/>
    <cellStyle name="Percent 9 2 2 4 2" xfId="9623"/>
    <cellStyle name="Percent 9 2 2 4 2 2" xfId="16125"/>
    <cellStyle name="Percent 9 2 2 4 3" xfId="7904"/>
    <cellStyle name="Percent 9 2 2 4 3 2" xfId="14544"/>
    <cellStyle name="Percent 9 2 2 4 4" xfId="12775"/>
    <cellStyle name="Percent 9 2 2 5" xfId="10066"/>
    <cellStyle name="Percent 9 2 2 5 2" xfId="16547"/>
    <cellStyle name="Percent 9 2 2 6" xfId="8381"/>
    <cellStyle name="Percent 9 2 2 6 2" xfId="14938"/>
    <cellStyle name="Percent 9 2 2 7" xfId="6662"/>
    <cellStyle name="Percent 9 2 2 7 2" xfId="13352"/>
    <cellStyle name="Percent 9 2 2 8" xfId="11562"/>
    <cellStyle name="Percent 9 2 3" xfId="4789"/>
    <cellStyle name="Percent 9 2 3 2" xfId="8532"/>
    <cellStyle name="Percent 9 2 3 2 2" xfId="15084"/>
    <cellStyle name="Percent 9 2 3 3" xfId="6813"/>
    <cellStyle name="Percent 9 2 3 3 2" xfId="13503"/>
    <cellStyle name="Percent 9 2 3 4" xfId="11718"/>
    <cellStyle name="Percent 9 2 4" xfId="5247"/>
    <cellStyle name="Percent 9 2 4 2" xfId="8990"/>
    <cellStyle name="Percent 9 2 4 2 2" xfId="15534"/>
    <cellStyle name="Percent 9 2 4 3" xfId="7271"/>
    <cellStyle name="Percent 9 2 4 3 2" xfId="13953"/>
    <cellStyle name="Percent 9 2 4 4" xfId="12168"/>
    <cellStyle name="Percent 9 2 5" xfId="5680"/>
    <cellStyle name="Percent 9 2 5 2" xfId="9421"/>
    <cellStyle name="Percent 9 2 5 2 2" xfId="15928"/>
    <cellStyle name="Percent 9 2 5 3" xfId="7702"/>
    <cellStyle name="Percent 9 2 5 3 2" xfId="14347"/>
    <cellStyle name="Percent 9 2 5 4" xfId="12573"/>
    <cellStyle name="Percent 9 2 6" xfId="9779"/>
    <cellStyle name="Percent 9 2 6 2" xfId="16270"/>
    <cellStyle name="Percent 9 2 7" xfId="8143"/>
    <cellStyle name="Percent 9 2 7 2" xfId="14741"/>
    <cellStyle name="Percent 9 2 8" xfId="6425"/>
    <cellStyle name="Percent 9 2 8 2" xfId="13146"/>
    <cellStyle name="Percent 9 2 9" xfId="11356"/>
    <cellStyle name="Percent 9 3" xfId="4616"/>
    <cellStyle name="Percent 9 3 2" xfId="5071"/>
    <cellStyle name="Percent 9 3 2 2" xfId="8814"/>
    <cellStyle name="Percent 9 3 2 2 2" xfId="15362"/>
    <cellStyle name="Percent 9 3 2 3" xfId="7095"/>
    <cellStyle name="Percent 9 3 2 3 2" xfId="13781"/>
    <cellStyle name="Percent 9 3 2 4" xfId="11996"/>
    <cellStyle name="Percent 9 3 3" xfId="5443"/>
    <cellStyle name="Percent 9 3 3 2" xfId="9186"/>
    <cellStyle name="Percent 9 3 3 2 2" xfId="15730"/>
    <cellStyle name="Percent 9 3 3 3" xfId="7467"/>
    <cellStyle name="Percent 9 3 3 3 2" xfId="14149"/>
    <cellStyle name="Percent 9 3 3 4" xfId="12364"/>
    <cellStyle name="Percent 9 3 4" xfId="5881"/>
    <cellStyle name="Percent 9 3 4 2" xfId="9622"/>
    <cellStyle name="Percent 9 3 4 2 2" xfId="16124"/>
    <cellStyle name="Percent 9 3 4 3" xfId="7903"/>
    <cellStyle name="Percent 9 3 4 3 2" xfId="14543"/>
    <cellStyle name="Percent 9 3 4 4" xfId="12774"/>
    <cellStyle name="Percent 9 3 5" xfId="10067"/>
    <cellStyle name="Percent 9 3 5 2" xfId="16548"/>
    <cellStyle name="Percent 9 3 6" xfId="8380"/>
    <cellStyle name="Percent 9 3 6 2" xfId="14937"/>
    <cellStyle name="Percent 9 3 7" xfId="6661"/>
    <cellStyle name="Percent 9 3 7 2" xfId="13351"/>
    <cellStyle name="Percent 9 3 8" xfId="11561"/>
    <cellStyle name="Percent 9 4" xfId="4707"/>
    <cellStyle name="Percent 9 4 2" xfId="8451"/>
    <cellStyle name="Percent 9 4 2 2" xfId="15003"/>
    <cellStyle name="Percent 9 4 3" xfId="6732"/>
    <cellStyle name="Percent 9 4 3 2" xfId="13422"/>
    <cellStyle name="Percent 9 4 4" xfId="11636"/>
    <cellStyle name="Percent 9 5" xfId="5246"/>
    <cellStyle name="Percent 9 5 2" xfId="8989"/>
    <cellStyle name="Percent 9 5 2 2" xfId="15533"/>
    <cellStyle name="Percent 9 5 3" xfId="7270"/>
    <cellStyle name="Percent 9 5 3 2" xfId="13952"/>
    <cellStyle name="Percent 9 5 4" xfId="12167"/>
    <cellStyle name="Percent 9 6" xfId="5679"/>
    <cellStyle name="Percent 9 6 2" xfId="9420"/>
    <cellStyle name="Percent 9 6 2 2" xfId="15927"/>
    <cellStyle name="Percent 9 6 3" xfId="7701"/>
    <cellStyle name="Percent 9 6 3 2" xfId="14346"/>
    <cellStyle name="Percent 9 6 4" xfId="12572"/>
    <cellStyle name="Percent 9 7" xfId="9695"/>
    <cellStyle name="Percent 9 7 2" xfId="16188"/>
    <cellStyle name="Percent 9 8" xfId="8142"/>
    <cellStyle name="Percent 9 8 2" xfId="14740"/>
    <cellStyle name="Percent 9 9" xfId="6424"/>
    <cellStyle name="Percent 9 9 2" xfId="13145"/>
    <cellStyle name="Percent2" xfId="4275"/>
    <cellStyle name="percnt" xfId="4276"/>
    <cellStyle name="PGavStandard" xfId="4277"/>
    <cellStyle name="phasing" xfId="4278"/>
    <cellStyle name="point variable" xfId="4279"/>
    <cellStyle name="Print" xfId="4280"/>
    <cellStyle name="RangeName" xfId="4281"/>
    <cellStyle name="Ratio" xfId="4282"/>
    <cellStyle name="RISKbigPercent" xfId="4283"/>
    <cellStyle name="RISKblandrEdge" xfId="4284"/>
    <cellStyle name="RISKblCorner" xfId="4285"/>
    <cellStyle name="RISKbottomEdge" xfId="4286"/>
    <cellStyle name="RISKbrCorner" xfId="4287"/>
    <cellStyle name="RISKdarkBoxed" xfId="4288"/>
    <cellStyle name="RISKdarkBoxed 2" xfId="4289"/>
    <cellStyle name="RISKdarkBoxed 2 2" xfId="5474"/>
    <cellStyle name="RISKdarkBoxed 2 2 2" xfId="9217"/>
    <cellStyle name="RISKdarkBoxed 2 2 2 2" xfId="6228"/>
    <cellStyle name="RISKdarkBoxed 2 2 2 2 2" xfId="12953"/>
    <cellStyle name="RISKdarkBoxed 2 2 3" xfId="7498"/>
    <cellStyle name="RISKdarkBoxed 2 3" xfId="8146"/>
    <cellStyle name="RISKdarkBoxed 2 3 2" xfId="6169"/>
    <cellStyle name="RISKdarkBoxed 2 3 2 2" xfId="12894"/>
    <cellStyle name="RISKdarkBoxed 2 4" xfId="6427"/>
    <cellStyle name="RISKdarkBoxed 3" xfId="5473"/>
    <cellStyle name="RISKdarkBoxed 3 2" xfId="9216"/>
    <cellStyle name="RISKdarkBoxed 3 2 2" xfId="6227"/>
    <cellStyle name="RISKdarkBoxed 3 2 2 2" xfId="12952"/>
    <cellStyle name="RISKdarkBoxed 3 3" xfId="7497"/>
    <cellStyle name="RISKdarkBoxed 4" xfId="8145"/>
    <cellStyle name="RISKdarkBoxed 4 2" xfId="6168"/>
    <cellStyle name="RISKdarkBoxed 4 2 2" xfId="12893"/>
    <cellStyle name="RISKdarkBoxed 5" xfId="6426"/>
    <cellStyle name="RISKdarkShade" xfId="4290"/>
    <cellStyle name="RISKdbottomEdge" xfId="4291"/>
    <cellStyle name="RISKdrightEdge" xfId="4292"/>
    <cellStyle name="RISKdurationTime" xfId="4293"/>
    <cellStyle name="RISKinNumber" xfId="4294"/>
    <cellStyle name="RISKlandrEdge" xfId="4295"/>
    <cellStyle name="RISKleftEdge" xfId="4296"/>
    <cellStyle name="RISKlightBoxed" xfId="4297"/>
    <cellStyle name="RISKlightBoxed 2" xfId="10141"/>
    <cellStyle name="RISKltandbEdge" xfId="4298"/>
    <cellStyle name="RISKltandbEdge 2" xfId="4299"/>
    <cellStyle name="RISKltandbEdge 2 2" xfId="5476"/>
    <cellStyle name="RISKltandbEdge 2 2 2" xfId="9219"/>
    <cellStyle name="RISKltandbEdge 2 2 2 2" xfId="6230"/>
    <cellStyle name="RISKltandbEdge 2 2 2 2 2" xfId="12955"/>
    <cellStyle name="RISKltandbEdge 2 2 3" xfId="7500"/>
    <cellStyle name="RISKltandbEdge 2 3" xfId="8148"/>
    <cellStyle name="RISKltandbEdge 2 3 2" xfId="6171"/>
    <cellStyle name="RISKltandbEdge 2 3 2 2" xfId="12896"/>
    <cellStyle name="RISKltandbEdge 2 4" xfId="6429"/>
    <cellStyle name="RISKltandbEdge 3" xfId="5475"/>
    <cellStyle name="RISKltandbEdge 3 2" xfId="9218"/>
    <cellStyle name="RISKltandbEdge 3 2 2" xfId="6229"/>
    <cellStyle name="RISKltandbEdge 3 2 2 2" xfId="12954"/>
    <cellStyle name="RISKltandbEdge 3 3" xfId="7499"/>
    <cellStyle name="RISKltandbEdge 4" xfId="8147"/>
    <cellStyle name="RISKltandbEdge 4 2" xfId="6170"/>
    <cellStyle name="RISKltandbEdge 4 2 2" xfId="12895"/>
    <cellStyle name="RISKltandbEdge 5" xfId="6428"/>
    <cellStyle name="RISKnormBoxed" xfId="4300"/>
    <cellStyle name="RISKnormBoxed 2" xfId="10142"/>
    <cellStyle name="RISKnormCenter" xfId="4301"/>
    <cellStyle name="RISKnormHeading" xfId="4302"/>
    <cellStyle name="RISKnormItal" xfId="4303"/>
    <cellStyle name="RISKnormLabel" xfId="4304"/>
    <cellStyle name="RISKnormShade" xfId="4305"/>
    <cellStyle name="RISKnormTitle" xfId="4306"/>
    <cellStyle name="RISKoutNumber" xfId="4307"/>
    <cellStyle name="RISKrightEdge" xfId="4308"/>
    <cellStyle name="RISKrtandbEdge" xfId="4309"/>
    <cellStyle name="RISKrtandbEdge 2" xfId="4310"/>
    <cellStyle name="RISKrtandbEdge 2 2" xfId="5478"/>
    <cellStyle name="RISKrtandbEdge 2 2 2" xfId="9221"/>
    <cellStyle name="RISKrtandbEdge 2 2 2 2" xfId="6232"/>
    <cellStyle name="RISKrtandbEdge 2 2 2 2 2" xfId="12957"/>
    <cellStyle name="RISKrtandbEdge 2 2 3" xfId="7502"/>
    <cellStyle name="RISKrtandbEdge 2 3" xfId="8150"/>
    <cellStyle name="RISKrtandbEdge 2 3 2" xfId="6173"/>
    <cellStyle name="RISKrtandbEdge 2 3 2 2" xfId="12898"/>
    <cellStyle name="RISKrtandbEdge 2 4" xfId="6431"/>
    <cellStyle name="RISKrtandbEdge 3" xfId="5477"/>
    <cellStyle name="RISKrtandbEdge 3 2" xfId="9220"/>
    <cellStyle name="RISKrtandbEdge 3 2 2" xfId="6231"/>
    <cellStyle name="RISKrtandbEdge 3 2 2 2" xfId="12956"/>
    <cellStyle name="RISKrtandbEdge 3 3" xfId="7501"/>
    <cellStyle name="RISKrtandbEdge 4" xfId="8149"/>
    <cellStyle name="RISKrtandbEdge 4 2" xfId="6172"/>
    <cellStyle name="RISKrtandbEdge 4 2 2" xfId="12897"/>
    <cellStyle name="RISKrtandbEdge 5" xfId="6430"/>
    <cellStyle name="RISKssTime" xfId="4311"/>
    <cellStyle name="RISKtandbEdge" xfId="4312"/>
    <cellStyle name="RISKtandbEdge 2" xfId="4313"/>
    <cellStyle name="RISKtandbEdge 2 2" xfId="5480"/>
    <cellStyle name="RISKtandbEdge 2 2 2" xfId="9223"/>
    <cellStyle name="RISKtandbEdge 2 2 2 2" xfId="6234"/>
    <cellStyle name="RISKtandbEdge 2 2 2 2 2" xfId="12959"/>
    <cellStyle name="RISKtandbEdge 2 2 3" xfId="7504"/>
    <cellStyle name="RISKtandbEdge 2 3" xfId="8152"/>
    <cellStyle name="RISKtandbEdge 2 3 2" xfId="6175"/>
    <cellStyle name="RISKtandbEdge 2 3 2 2" xfId="12900"/>
    <cellStyle name="RISKtandbEdge 2 4" xfId="6433"/>
    <cellStyle name="RISKtandbEdge 3" xfId="5479"/>
    <cellStyle name="RISKtandbEdge 3 2" xfId="9222"/>
    <cellStyle name="RISKtandbEdge 3 2 2" xfId="6233"/>
    <cellStyle name="RISKtandbEdge 3 2 2 2" xfId="12958"/>
    <cellStyle name="RISKtandbEdge 3 3" xfId="7503"/>
    <cellStyle name="RISKtandbEdge 4" xfId="8151"/>
    <cellStyle name="RISKtandbEdge 4 2" xfId="6174"/>
    <cellStyle name="RISKtandbEdge 4 2 2" xfId="12899"/>
    <cellStyle name="RISKtandbEdge 5" xfId="6432"/>
    <cellStyle name="RISKtlandrEdge" xfId="4314"/>
    <cellStyle name="RISKtlandrEdge 2" xfId="4315"/>
    <cellStyle name="RISKtlandrEdge 2 2" xfId="5482"/>
    <cellStyle name="RISKtlandrEdge 2 2 2" xfId="9225"/>
    <cellStyle name="RISKtlandrEdge 2 2 2 2" xfId="6236"/>
    <cellStyle name="RISKtlandrEdge 2 2 2 2 2" xfId="12961"/>
    <cellStyle name="RISKtlandrEdge 2 2 3" xfId="7506"/>
    <cellStyle name="RISKtlandrEdge 2 3" xfId="8154"/>
    <cellStyle name="RISKtlandrEdge 2 3 2" xfId="6177"/>
    <cellStyle name="RISKtlandrEdge 2 3 2 2" xfId="12902"/>
    <cellStyle name="RISKtlandrEdge 2 4" xfId="6435"/>
    <cellStyle name="RISKtlandrEdge 3" xfId="5481"/>
    <cellStyle name="RISKtlandrEdge 3 2" xfId="9224"/>
    <cellStyle name="RISKtlandrEdge 3 2 2" xfId="6235"/>
    <cellStyle name="RISKtlandrEdge 3 2 2 2" xfId="12960"/>
    <cellStyle name="RISKtlandrEdge 3 3" xfId="7505"/>
    <cellStyle name="RISKtlandrEdge 4" xfId="8153"/>
    <cellStyle name="RISKtlandrEdge 4 2" xfId="6176"/>
    <cellStyle name="RISKtlandrEdge 4 2 2" xfId="12901"/>
    <cellStyle name="RISKtlandrEdge 5" xfId="6434"/>
    <cellStyle name="RISKtlCorner" xfId="4316"/>
    <cellStyle name="RISKtlCorner 2" xfId="4317"/>
    <cellStyle name="RISKtlCorner 2 2" xfId="5484"/>
    <cellStyle name="RISKtlCorner 2 2 2" xfId="9227"/>
    <cellStyle name="RISKtlCorner 2 2 2 2" xfId="6238"/>
    <cellStyle name="RISKtlCorner 2 2 2 2 2" xfId="12963"/>
    <cellStyle name="RISKtlCorner 2 2 3" xfId="7508"/>
    <cellStyle name="RISKtlCorner 2 3" xfId="8156"/>
    <cellStyle name="RISKtlCorner 2 3 2" xfId="6179"/>
    <cellStyle name="RISKtlCorner 2 3 2 2" xfId="12904"/>
    <cellStyle name="RISKtlCorner 2 4" xfId="6437"/>
    <cellStyle name="RISKtlCorner 3" xfId="5483"/>
    <cellStyle name="RISKtlCorner 3 2" xfId="9226"/>
    <cellStyle name="RISKtlCorner 3 2 2" xfId="6237"/>
    <cellStyle name="RISKtlCorner 3 2 2 2" xfId="12962"/>
    <cellStyle name="RISKtlCorner 3 3" xfId="7507"/>
    <cellStyle name="RISKtlCorner 4" xfId="8155"/>
    <cellStyle name="RISKtlCorner 4 2" xfId="6178"/>
    <cellStyle name="RISKtlCorner 4 2 2" xfId="12903"/>
    <cellStyle name="RISKtlCorner 5" xfId="6436"/>
    <cellStyle name="RISKtopEdge" xfId="4318"/>
    <cellStyle name="RISKtopEdge 2" xfId="4319"/>
    <cellStyle name="RISKtopEdge 2 2" xfId="5486"/>
    <cellStyle name="RISKtopEdge 2 2 2" xfId="9229"/>
    <cellStyle name="RISKtopEdge 2 2 2 2" xfId="6240"/>
    <cellStyle name="RISKtopEdge 2 2 2 2 2" xfId="12965"/>
    <cellStyle name="RISKtopEdge 2 2 3" xfId="7510"/>
    <cellStyle name="RISKtopEdge 2 3" xfId="8158"/>
    <cellStyle name="RISKtopEdge 2 3 2" xfId="6181"/>
    <cellStyle name="RISKtopEdge 2 3 2 2" xfId="12906"/>
    <cellStyle name="RISKtopEdge 2 4" xfId="6439"/>
    <cellStyle name="RISKtopEdge 3" xfId="5485"/>
    <cellStyle name="RISKtopEdge 3 2" xfId="9228"/>
    <cellStyle name="RISKtopEdge 3 2 2" xfId="6239"/>
    <cellStyle name="RISKtopEdge 3 2 2 2" xfId="12964"/>
    <cellStyle name="RISKtopEdge 3 3" xfId="7509"/>
    <cellStyle name="RISKtopEdge 4" xfId="8157"/>
    <cellStyle name="RISKtopEdge 4 2" xfId="6180"/>
    <cellStyle name="RISKtopEdge 4 2 2" xfId="12905"/>
    <cellStyle name="RISKtopEdge 5" xfId="6438"/>
    <cellStyle name="RISKtrCorner" xfId="4320"/>
    <cellStyle name="RISKtrCorner 2" xfId="4321"/>
    <cellStyle name="RISKtrCorner 2 2" xfId="5488"/>
    <cellStyle name="RISKtrCorner 2 2 2" xfId="9231"/>
    <cellStyle name="RISKtrCorner 2 2 2 2" xfId="6242"/>
    <cellStyle name="RISKtrCorner 2 2 2 2 2" xfId="12967"/>
    <cellStyle name="RISKtrCorner 2 2 3" xfId="7512"/>
    <cellStyle name="RISKtrCorner 2 3" xfId="8160"/>
    <cellStyle name="RISKtrCorner 2 3 2" xfId="6183"/>
    <cellStyle name="RISKtrCorner 2 3 2 2" xfId="12908"/>
    <cellStyle name="RISKtrCorner 2 4" xfId="6441"/>
    <cellStyle name="RISKtrCorner 3" xfId="5487"/>
    <cellStyle name="RISKtrCorner 3 2" xfId="9230"/>
    <cellStyle name="RISKtrCorner 3 2 2" xfId="6241"/>
    <cellStyle name="RISKtrCorner 3 2 2 2" xfId="12966"/>
    <cellStyle name="RISKtrCorner 3 3" xfId="7511"/>
    <cellStyle name="RISKtrCorner 4" xfId="8159"/>
    <cellStyle name="RISKtrCorner 4 2" xfId="6182"/>
    <cellStyle name="RISKtrCorner 4 2 2" xfId="12907"/>
    <cellStyle name="RISKtrCorner 5" xfId="6440"/>
    <cellStyle name="Sect_Title" xfId="4322"/>
    <cellStyle name="Section Heading" xfId="4323"/>
    <cellStyle name="Section Title no wrap" xfId="4324"/>
    <cellStyle name="Section Title wrap" xfId="4325"/>
    <cellStyle name="sheet background" xfId="4326"/>
    <cellStyle name="Sheet Title" xfId="4327"/>
    <cellStyle name="Sheet_Title" xfId="4328"/>
    <cellStyle name="Sous-Total" xfId="4329"/>
    <cellStyle name="Standard_RESULTS" xfId="4330"/>
    <cellStyle name="Std_%" xfId="4331"/>
    <cellStyle name="String point input" xfId="4332"/>
    <cellStyle name="stu" xfId="4333"/>
    <cellStyle name="Style 1" xfId="4334"/>
    <cellStyle name="Sub Heading 1" xfId="4335"/>
    <cellStyle name="Sub Heading 2" xfId="4336"/>
    <cellStyle name="Sub Heading 3" xfId="4337"/>
    <cellStyle name="Sub_sub_title" xfId="4338"/>
    <cellStyle name="Subheading" xfId="4339"/>
    <cellStyle name="SubHeading1" xfId="4340"/>
    <cellStyle name="SubHeading2" xfId="4341"/>
    <cellStyle name="Subsection Heading" xfId="4342"/>
    <cellStyle name="Sub-section heading" xfId="4343"/>
    <cellStyle name="subtitle" xfId="4344"/>
    <cellStyle name="subtotal" xfId="4345"/>
    <cellStyle name="Sub-Total" xfId="4346"/>
    <cellStyle name="subtotal 10" xfId="7977"/>
    <cellStyle name="Sub-Total 10" xfId="7967"/>
    <cellStyle name="subtotal 10 2" xfId="6139"/>
    <cellStyle name="Sub-Total 10 2" xfId="6131"/>
    <cellStyle name="subtotal 10 2 2" xfId="12864"/>
    <cellStyle name="Sub-Total 10 2 2" xfId="12856"/>
    <cellStyle name="subtotal 11" xfId="7968"/>
    <cellStyle name="Sub-Total 11" xfId="7973"/>
    <cellStyle name="subtotal 11 2" xfId="6132"/>
    <cellStyle name="Sub-Total 11 2" xfId="6135"/>
    <cellStyle name="subtotal 11 2 2" xfId="12857"/>
    <cellStyle name="Sub-Total 11 2 2" xfId="12860"/>
    <cellStyle name="subtotal 12" xfId="7972"/>
    <cellStyle name="Sub-Total 12" xfId="10103"/>
    <cellStyle name="subtotal 12 2" xfId="6134"/>
    <cellStyle name="Sub-Total 12 2" xfId="10205"/>
    <cellStyle name="subtotal 12 2 2" xfId="12859"/>
    <cellStyle name="Sub-Total 12 2 2" xfId="16590"/>
    <cellStyle name="subtotal 13" xfId="10093"/>
    <cellStyle name="Sub-Total 13" xfId="6443"/>
    <cellStyle name="subtotal 13 2" xfId="10195"/>
    <cellStyle name="subtotal 13 2 2" xfId="16580"/>
    <cellStyle name="subtotal 14" xfId="6442"/>
    <cellStyle name="Sub-Total 14" xfId="10144"/>
    <cellStyle name="subtotal 15" xfId="10143"/>
    <cellStyle name="Sub-Total 15" xfId="5946"/>
    <cellStyle name="Sub-Total 15 2" xfId="12834"/>
    <cellStyle name="subtotal 16" xfId="5945"/>
    <cellStyle name="Sub-Total 16" xfId="11358"/>
    <cellStyle name="subtotal 16 2" xfId="12833"/>
    <cellStyle name="subtotal 17" xfId="11357"/>
    <cellStyle name="subtotal 2" xfId="4347"/>
    <cellStyle name="Sub-Total 2" xfId="4348"/>
    <cellStyle name="subtotal 2 10" xfId="8163"/>
    <cellStyle name="Sub-Total 2 10" xfId="7974"/>
    <cellStyle name="subtotal 2 10 2" xfId="6186"/>
    <cellStyle name="Sub-Total 2 10 2" xfId="6136"/>
    <cellStyle name="subtotal 2 10 2 2" xfId="12911"/>
    <cellStyle name="Sub-Total 2 10 2 2" xfId="12861"/>
    <cellStyle name="subtotal 2 11" xfId="6444"/>
    <cellStyle name="Sub-Total 2 11" xfId="10083"/>
    <cellStyle name="subtotal 2 11 2" xfId="13147"/>
    <cellStyle name="Sub-Total 2 11 2" xfId="10185"/>
    <cellStyle name="Sub-Total 2 11 2 2" xfId="16570"/>
    <cellStyle name="subtotal 2 12" xfId="10145"/>
    <cellStyle name="Sub-Total 2 12" xfId="6445"/>
    <cellStyle name="subtotal 2 12 2" xfId="16552"/>
    <cellStyle name="Sub-Total 2 13" xfId="10146"/>
    <cellStyle name="Sub-Total 2 14" xfId="5947"/>
    <cellStyle name="Sub-Total 2 14 2" xfId="12835"/>
    <cellStyle name="Sub-Total 2 15" xfId="11359"/>
    <cellStyle name="subtotal 2 2" xfId="4349"/>
    <cellStyle name="Sub-Total 2 2" xfId="5492"/>
    <cellStyle name="subtotal 2 2 10" xfId="7975"/>
    <cellStyle name="subtotal 2 2 10 2" xfId="6137"/>
    <cellStyle name="subtotal 2 2 10 2 2" xfId="12862"/>
    <cellStyle name="subtotal 2 2 11" xfId="10091"/>
    <cellStyle name="subtotal 2 2 11 2" xfId="10193"/>
    <cellStyle name="subtotal 2 2 11 2 2" xfId="16578"/>
    <cellStyle name="subtotal 2 2 12" xfId="6446"/>
    <cellStyle name="subtotal 2 2 13" xfId="10147"/>
    <cellStyle name="subtotal 2 2 14" xfId="5948"/>
    <cellStyle name="subtotal 2 2 14 2" xfId="12836"/>
    <cellStyle name="subtotal 2 2 15" xfId="11360"/>
    <cellStyle name="subtotal 2 2 2" xfId="5493"/>
    <cellStyle name="Sub-Total 2 2 2" xfId="9235"/>
    <cellStyle name="subtotal 2 2 2 2" xfId="9236"/>
    <cellStyle name="Sub-Total 2 2 2 2" xfId="6246"/>
    <cellStyle name="subtotal 2 2 2 2 2" xfId="6247"/>
    <cellStyle name="Sub-Total 2 2 2 2 2" xfId="12971"/>
    <cellStyle name="subtotal 2 2 2 2 2 2" xfId="12972"/>
    <cellStyle name="subtotal 2 2 2 3" xfId="7517"/>
    <cellStyle name="subtotal 2 2 2 4" xfId="10162"/>
    <cellStyle name="subtotal 2 2 2 5" xfId="12398"/>
    <cellStyle name="subtotal 2 2 3" xfId="5684"/>
    <cellStyle name="Sub-Total 2 2 3" xfId="7516"/>
    <cellStyle name="subtotal 2 2 3 2" xfId="9425"/>
    <cellStyle name="subtotal 2 2 3 2 2" xfId="6267"/>
    <cellStyle name="subtotal 2 2 3 2 2 2" xfId="12992"/>
    <cellStyle name="subtotal 2 2 3 3" xfId="7706"/>
    <cellStyle name="subtotal 2 2 3 4" xfId="10170"/>
    <cellStyle name="subtotal 2 2 3 5" xfId="12577"/>
    <cellStyle name="subtotal 2 2 4" xfId="9805"/>
    <cellStyle name="Sub-Total 2 2 4" xfId="10161"/>
    <cellStyle name="subtotal 2 2 4 2" xfId="10119"/>
    <cellStyle name="subtotal 2 2 4 2 2" xfId="10221"/>
    <cellStyle name="subtotal 2 2 4 2 2 2" xfId="16606"/>
    <cellStyle name="subtotal 2 2 4 3" xfId="6367"/>
    <cellStyle name="subtotal 2 2 4 3 2" xfId="13090"/>
    <cellStyle name="subtotal 2 2 5" xfId="10073"/>
    <cellStyle name="Sub-Total 2 2 5" xfId="12397"/>
    <cellStyle name="subtotal 2 2 5 2" xfId="10134"/>
    <cellStyle name="subtotal 2 2 5 2 2" xfId="10236"/>
    <cellStyle name="subtotal 2 2 5 2 2 2" xfId="16621"/>
    <cellStyle name="subtotal 2 2 5 3" xfId="10175"/>
    <cellStyle name="subtotal 2 2 5 3 2" xfId="16560"/>
    <cellStyle name="subtotal 2 2 6" xfId="8165"/>
    <cellStyle name="subtotal 2 2 6 2" xfId="6188"/>
    <cellStyle name="subtotal 2 2 6 2 2" xfId="12913"/>
    <cellStyle name="subtotal 2 2 7" xfId="10080"/>
    <cellStyle name="subtotal 2 2 7 2" xfId="10182"/>
    <cellStyle name="subtotal 2 2 7 2 2" xfId="16567"/>
    <cellStyle name="subtotal 2 2 8" xfId="7980"/>
    <cellStyle name="subtotal 2 2 8 2" xfId="6142"/>
    <cellStyle name="subtotal 2 2 8 2 2" xfId="12867"/>
    <cellStyle name="subtotal 2 2 9" xfId="7965"/>
    <cellStyle name="subtotal 2 2 9 2" xfId="6129"/>
    <cellStyle name="subtotal 2 2 9 2 2" xfId="12854"/>
    <cellStyle name="subtotal 2 3" xfId="4663"/>
    <cellStyle name="Sub-Total 2 3" xfId="5683"/>
    <cellStyle name="subtotal 2 3 2" xfId="5506"/>
    <cellStyle name="Sub-Total 2 3 2" xfId="9424"/>
    <cellStyle name="subtotal 2 3 2 10" xfId="6120"/>
    <cellStyle name="subtotal 2 3 2 10 2" xfId="12845"/>
    <cellStyle name="subtotal 2 3 2 11" xfId="12400"/>
    <cellStyle name="subtotal 2 3 2 2" xfId="9248"/>
    <cellStyle name="Sub-Total 2 3 2 2" xfId="6266"/>
    <cellStyle name="subtotal 2 3 2 2 2" xfId="6259"/>
    <cellStyle name="Sub-Total 2 3 2 2 2" xfId="12991"/>
    <cellStyle name="subtotal 2 3 2 2 2 2" xfId="12984"/>
    <cellStyle name="subtotal 2 3 2 3" xfId="10097"/>
    <cellStyle name="subtotal 2 3 2 3 2" xfId="10199"/>
    <cellStyle name="subtotal 2 3 2 3 2 2" xfId="16584"/>
    <cellStyle name="subtotal 2 3 2 4" xfId="7995"/>
    <cellStyle name="subtotal 2 3 2 4 2" xfId="6151"/>
    <cellStyle name="subtotal 2 3 2 4 2 2" xfId="12876"/>
    <cellStyle name="subtotal 2 3 2 5" xfId="7963"/>
    <cellStyle name="subtotal 2 3 2 5 2" xfId="6127"/>
    <cellStyle name="subtotal 2 3 2 5 2 2" xfId="12852"/>
    <cellStyle name="subtotal 2 3 2 6" xfId="8144"/>
    <cellStyle name="subtotal 2 3 2 6 2" xfId="6167"/>
    <cellStyle name="subtotal 2 3 2 6 2 2" xfId="12892"/>
    <cellStyle name="subtotal 2 3 2 7" xfId="10094"/>
    <cellStyle name="subtotal 2 3 2 7 2" xfId="10196"/>
    <cellStyle name="subtotal 2 3 2 7 2 2" xfId="16581"/>
    <cellStyle name="subtotal 2 3 2 8" xfId="7529"/>
    <cellStyle name="subtotal 2 3 2 9" xfId="10164"/>
    <cellStyle name="subtotal 2 3 3" xfId="9840"/>
    <cellStyle name="Sub-Total 2 3 3" xfId="7705"/>
    <cellStyle name="subtotal 2 3 3 2" xfId="10125"/>
    <cellStyle name="subtotal 2 3 3 2 2" xfId="10227"/>
    <cellStyle name="subtotal 2 3 3 2 2 2" xfId="16612"/>
    <cellStyle name="subtotal 2 3 3 3" xfId="6374"/>
    <cellStyle name="subtotal 2 3 3 3 2" xfId="13095"/>
    <cellStyle name="subtotal 2 3 4" xfId="8410"/>
    <cellStyle name="Sub-Total 2 3 4" xfId="10169"/>
    <cellStyle name="subtotal 2 3 4 2" xfId="6208"/>
    <cellStyle name="subtotal 2 3 4 2 2" xfId="12933"/>
    <cellStyle name="subtotal 2 3 5" xfId="6691"/>
    <cellStyle name="Sub-Total 2 3 5" xfId="12576"/>
    <cellStyle name="subtotal 2 3 5 2" xfId="13381"/>
    <cellStyle name="subtotal 2 3 6" xfId="10153"/>
    <cellStyle name="subtotal 2 3 6 2" xfId="16553"/>
    <cellStyle name="subtotal 2 4" xfId="4664"/>
    <cellStyle name="Sub-Total 2 4" xfId="9743"/>
    <cellStyle name="subtotal 2 4 2" xfId="5507"/>
    <cellStyle name="Sub-Total 2 4 2" xfId="10115"/>
    <cellStyle name="subtotal 2 4 2 10" xfId="6121"/>
    <cellStyle name="subtotal 2 4 2 10 2" xfId="12846"/>
    <cellStyle name="subtotal 2 4 2 11" xfId="12401"/>
    <cellStyle name="subtotal 2 4 2 2" xfId="9249"/>
    <cellStyle name="Sub-Total 2 4 2 2" xfId="10217"/>
    <cellStyle name="subtotal 2 4 2 2 2" xfId="6260"/>
    <cellStyle name="Sub-Total 2 4 2 2 2" xfId="16602"/>
    <cellStyle name="subtotal 2 4 2 2 2 2" xfId="12985"/>
    <cellStyle name="subtotal 2 4 2 3" xfId="10098"/>
    <cellStyle name="subtotal 2 4 2 3 2" xfId="10200"/>
    <cellStyle name="subtotal 2 4 2 3 2 2" xfId="16585"/>
    <cellStyle name="subtotal 2 4 2 4" xfId="7996"/>
    <cellStyle name="subtotal 2 4 2 4 2" xfId="6152"/>
    <cellStyle name="subtotal 2 4 2 4 2 2" xfId="12877"/>
    <cellStyle name="subtotal 2 4 2 5" xfId="7962"/>
    <cellStyle name="subtotal 2 4 2 5 2" xfId="6126"/>
    <cellStyle name="subtotal 2 4 2 5 2 2" xfId="12851"/>
    <cellStyle name="subtotal 2 4 2 6" xfId="7982"/>
    <cellStyle name="subtotal 2 4 2 6 2" xfId="6144"/>
    <cellStyle name="subtotal 2 4 2 6 2 2" xfId="12869"/>
    <cellStyle name="subtotal 2 4 2 7" xfId="10092"/>
    <cellStyle name="subtotal 2 4 2 7 2" xfId="10194"/>
    <cellStyle name="subtotal 2 4 2 7 2 2" xfId="16579"/>
    <cellStyle name="subtotal 2 4 2 8" xfId="7530"/>
    <cellStyle name="subtotal 2 4 2 9" xfId="10165"/>
    <cellStyle name="subtotal 2 4 3" xfId="9841"/>
    <cellStyle name="Sub-Total 2 4 3" xfId="8016"/>
    <cellStyle name="subtotal 2 4 3 2" xfId="10126"/>
    <cellStyle name="Sub-Total 2 4 3 2" xfId="6162"/>
    <cellStyle name="subtotal 2 4 3 2 2" xfId="10228"/>
    <cellStyle name="Sub-Total 2 4 3 2 2" xfId="12887"/>
    <cellStyle name="subtotal 2 4 3 2 2 2" xfId="16613"/>
    <cellStyle name="subtotal 2 4 3 3" xfId="10131"/>
    <cellStyle name="subtotal 2 4 3 3 2" xfId="10233"/>
    <cellStyle name="subtotal 2 4 3 3 2 2" xfId="16618"/>
    <cellStyle name="subtotal 2 4 3 4" xfId="7984"/>
    <cellStyle name="subtotal 2 4 3 4 2" xfId="6146"/>
    <cellStyle name="subtotal 2 4 3 4 2 2" xfId="12871"/>
    <cellStyle name="subtotal 2 4 3 5" xfId="10130"/>
    <cellStyle name="subtotal 2 4 3 5 2" xfId="10232"/>
    <cellStyle name="subtotal 2 4 3 5 2 2" xfId="16617"/>
    <cellStyle name="subtotal 2 4 3 6" xfId="6375"/>
    <cellStyle name="subtotal 2 4 3 6 2" xfId="13096"/>
    <cellStyle name="subtotal 2 4 4" xfId="8411"/>
    <cellStyle name="Sub-Total 2 4 4" xfId="10124"/>
    <cellStyle name="subtotal 2 4 4 2" xfId="6209"/>
    <cellStyle name="Sub-Total 2 4 4 2" xfId="10226"/>
    <cellStyle name="subtotal 2 4 4 2 2" xfId="12934"/>
    <cellStyle name="Sub-Total 2 4 4 2 2" xfId="16611"/>
    <cellStyle name="subtotal 2 4 5" xfId="6692"/>
    <cellStyle name="Sub-Total 2 4 5" xfId="8000"/>
    <cellStyle name="subtotal 2 4 5 2" xfId="13382"/>
    <cellStyle name="Sub-Total 2 4 5 2" xfId="6156"/>
    <cellStyle name="Sub-Total 2 4 5 2 2" xfId="12881"/>
    <cellStyle name="subtotal 2 4 6" xfId="10154"/>
    <cellStyle name="Sub-Total 2 4 6" xfId="10090"/>
    <cellStyle name="subtotal 2 4 6 2" xfId="16554"/>
    <cellStyle name="Sub-Total 2 4 6 2" xfId="10192"/>
    <cellStyle name="Sub-Total 2 4 6 2 2" xfId="16577"/>
    <cellStyle name="Sub-Total 2 4 7" xfId="6290"/>
    <cellStyle name="Sub-Total 2 4 7 2" xfId="13013"/>
    <cellStyle name="subtotal 2 5" xfId="4665"/>
    <cellStyle name="Sub-Total 2 5" xfId="10071"/>
    <cellStyle name="subtotal 2 5 2" xfId="5508"/>
    <cellStyle name="Sub-Total 2 5 2" xfId="10132"/>
    <cellStyle name="subtotal 2 5 2 10" xfId="6122"/>
    <cellStyle name="subtotal 2 5 2 10 2" xfId="12847"/>
    <cellStyle name="subtotal 2 5 2 11" xfId="12402"/>
    <cellStyle name="subtotal 2 5 2 2" xfId="9250"/>
    <cellStyle name="Sub-Total 2 5 2 2" xfId="10234"/>
    <cellStyle name="subtotal 2 5 2 2 2" xfId="6261"/>
    <cellStyle name="Sub-Total 2 5 2 2 2" xfId="16619"/>
    <cellStyle name="subtotal 2 5 2 2 2 2" xfId="12986"/>
    <cellStyle name="subtotal 2 5 2 3" xfId="10099"/>
    <cellStyle name="subtotal 2 5 2 3 2" xfId="10201"/>
    <cellStyle name="subtotal 2 5 2 3 2 2" xfId="16586"/>
    <cellStyle name="subtotal 2 5 2 4" xfId="7997"/>
    <cellStyle name="subtotal 2 5 2 4 2" xfId="6153"/>
    <cellStyle name="subtotal 2 5 2 4 2 2" xfId="12878"/>
    <cellStyle name="subtotal 2 5 2 5" xfId="7961"/>
    <cellStyle name="subtotal 2 5 2 5 2" xfId="6125"/>
    <cellStyle name="subtotal 2 5 2 5 2 2" xfId="12850"/>
    <cellStyle name="subtotal 2 5 2 6" xfId="7983"/>
    <cellStyle name="subtotal 2 5 2 6 2" xfId="6145"/>
    <cellStyle name="subtotal 2 5 2 6 2 2" xfId="12870"/>
    <cellStyle name="subtotal 2 5 2 7" xfId="10076"/>
    <cellStyle name="subtotal 2 5 2 7 2" xfId="10178"/>
    <cellStyle name="subtotal 2 5 2 7 2 2" xfId="16563"/>
    <cellStyle name="subtotal 2 5 2 8" xfId="7531"/>
    <cellStyle name="subtotal 2 5 2 9" xfId="10166"/>
    <cellStyle name="subtotal 2 5 3" xfId="9842"/>
    <cellStyle name="Sub-Total 2 5 3" xfId="10135"/>
    <cellStyle name="subtotal 2 5 3 2" xfId="10127"/>
    <cellStyle name="Sub-Total 2 5 3 2" xfId="10237"/>
    <cellStyle name="subtotal 2 5 3 2 2" xfId="10229"/>
    <cellStyle name="Sub-Total 2 5 3 2 2" xfId="16622"/>
    <cellStyle name="subtotal 2 5 3 2 2 2" xfId="16614"/>
    <cellStyle name="subtotal 2 5 3 3" xfId="10084"/>
    <cellStyle name="subtotal 2 5 3 3 2" xfId="10186"/>
    <cellStyle name="subtotal 2 5 3 3 2 2" xfId="16571"/>
    <cellStyle name="subtotal 2 5 3 4" xfId="7990"/>
    <cellStyle name="subtotal 2 5 3 4 2" xfId="6148"/>
    <cellStyle name="subtotal 2 5 3 4 2 2" xfId="12873"/>
    <cellStyle name="subtotal 2 5 3 5" xfId="10137"/>
    <cellStyle name="subtotal 2 5 3 5 2" xfId="10239"/>
    <cellStyle name="subtotal 2 5 3 5 2 2" xfId="16624"/>
    <cellStyle name="subtotal 2 5 3 6" xfId="6376"/>
    <cellStyle name="subtotal 2 5 3 6 2" xfId="13097"/>
    <cellStyle name="subtotal 2 5 4" xfId="8412"/>
    <cellStyle name="Sub-Total 2 5 4" xfId="10138"/>
    <cellStyle name="subtotal 2 5 4 2" xfId="6210"/>
    <cellStyle name="Sub-Total 2 5 4 2" xfId="10240"/>
    <cellStyle name="subtotal 2 5 4 2 2" xfId="12935"/>
    <cellStyle name="Sub-Total 2 5 4 2 2" xfId="16625"/>
    <cellStyle name="subtotal 2 5 5" xfId="6693"/>
    <cellStyle name="Sub-Total 2 5 5" xfId="10139"/>
    <cellStyle name="subtotal 2 5 5 2" xfId="13383"/>
    <cellStyle name="Sub-Total 2 5 5 2" xfId="10241"/>
    <cellStyle name="Sub-Total 2 5 5 2 2" xfId="16626"/>
    <cellStyle name="subtotal 2 5 6" xfId="10155"/>
    <cellStyle name="Sub-Total 2 5 6" xfId="10140"/>
    <cellStyle name="subtotal 2 5 6 2" xfId="16555"/>
    <cellStyle name="Sub-Total 2 5 6 2" xfId="10242"/>
    <cellStyle name="Sub-Total 2 5 6 2 2" xfId="16627"/>
    <cellStyle name="Sub-Total 2 5 7" xfId="10173"/>
    <cellStyle name="Sub-Total 2 5 7 2" xfId="16558"/>
    <cellStyle name="subtotal 2 6" xfId="4666"/>
    <cellStyle name="Sub-Total 2 6" xfId="8164"/>
    <cellStyle name="subtotal 2 6 2" xfId="5509"/>
    <cellStyle name="Sub-Total 2 6 2" xfId="6187"/>
    <cellStyle name="subtotal 2 6 2 2" xfId="9251"/>
    <cellStyle name="Sub-Total 2 6 2 2" xfId="12912"/>
    <cellStyle name="subtotal 2 6 2 2 2" xfId="6262"/>
    <cellStyle name="subtotal 2 6 2 2 2 2" xfId="12987"/>
    <cellStyle name="subtotal 2 6 2 3" xfId="10100"/>
    <cellStyle name="subtotal 2 6 2 3 2" xfId="10202"/>
    <cellStyle name="subtotal 2 6 2 3 2 2" xfId="16587"/>
    <cellStyle name="subtotal 2 6 2 4" xfId="7532"/>
    <cellStyle name="subtotal 2 6 2 5" xfId="6123"/>
    <cellStyle name="subtotal 2 6 2 5 2" xfId="12848"/>
    <cellStyle name="subtotal 2 6 2 6" xfId="12403"/>
    <cellStyle name="subtotal 2 6 3" xfId="9843"/>
    <cellStyle name="subtotal 2 6 3 2" xfId="10128"/>
    <cellStyle name="subtotal 2 6 3 2 2" xfId="10230"/>
    <cellStyle name="subtotal 2 6 3 2 2 2" xfId="16615"/>
    <cellStyle name="subtotal 2 6 3 3" xfId="5911"/>
    <cellStyle name="subtotal 2 6 3 3 2" xfId="12804"/>
    <cellStyle name="subtotal 2 6 4" xfId="8413"/>
    <cellStyle name="subtotal 2 6 4 2" xfId="6211"/>
    <cellStyle name="subtotal 2 6 4 2 2" xfId="12936"/>
    <cellStyle name="subtotal 2 6 5" xfId="6694"/>
    <cellStyle name="subtotal 2 6 5 2" xfId="13384"/>
    <cellStyle name="subtotal 2 6 6" xfId="10156"/>
    <cellStyle name="subtotal 2 6 6 2" xfId="16556"/>
    <cellStyle name="subtotal 2 7" xfId="4667"/>
    <cellStyle name="Sub-Total 2 7" xfId="10079"/>
    <cellStyle name="subtotal 2 7 2" xfId="5510"/>
    <cellStyle name="Sub-Total 2 7 2" xfId="10181"/>
    <cellStyle name="subtotal 2 7 2 2" xfId="9252"/>
    <cellStyle name="Sub-Total 2 7 2 2" xfId="16566"/>
    <cellStyle name="subtotal 2 7 2 2 2" xfId="6263"/>
    <cellStyle name="subtotal 2 7 2 2 2 2" xfId="12988"/>
    <cellStyle name="subtotal 2 7 2 3" xfId="10101"/>
    <cellStyle name="subtotal 2 7 2 3 2" xfId="10203"/>
    <cellStyle name="subtotal 2 7 2 3 2 2" xfId="16588"/>
    <cellStyle name="subtotal 2 7 2 4" xfId="7533"/>
    <cellStyle name="subtotal 2 7 2 5" xfId="6124"/>
    <cellStyle name="subtotal 2 7 2 5 2" xfId="12849"/>
    <cellStyle name="subtotal 2 7 2 6" xfId="12404"/>
    <cellStyle name="subtotal 2 7 3" xfId="9844"/>
    <cellStyle name="subtotal 2 7 3 2" xfId="10129"/>
    <cellStyle name="subtotal 2 7 3 2 2" xfId="10231"/>
    <cellStyle name="subtotal 2 7 3 2 2 2" xfId="16616"/>
    <cellStyle name="subtotal 2 7 3 3" xfId="6377"/>
    <cellStyle name="subtotal 2 7 3 3 2" xfId="13098"/>
    <cellStyle name="subtotal 2 7 4" xfId="8414"/>
    <cellStyle name="subtotal 2 7 4 2" xfId="6212"/>
    <cellStyle name="subtotal 2 7 4 2 2" xfId="12937"/>
    <cellStyle name="subtotal 2 7 5" xfId="6695"/>
    <cellStyle name="subtotal 2 7 5 2" xfId="13385"/>
    <cellStyle name="subtotal 2 7 6" xfId="10157"/>
    <cellStyle name="subtotal 2 7 6 2" xfId="16557"/>
    <cellStyle name="subtotal 2 8" xfId="5491"/>
    <cellStyle name="Sub-Total 2 8" xfId="7979"/>
    <cellStyle name="subtotal 2 8 10" xfId="12396"/>
    <cellStyle name="subtotal 2 8 2" xfId="9234"/>
    <cellStyle name="Sub-Total 2 8 2" xfId="6141"/>
    <cellStyle name="subtotal 2 8 2 2" xfId="6245"/>
    <cellStyle name="Sub-Total 2 8 2 2" xfId="12866"/>
    <cellStyle name="subtotal 2 8 2 2 2" xfId="12970"/>
    <cellStyle name="subtotal 2 8 3" xfId="10096"/>
    <cellStyle name="subtotal 2 8 3 2" xfId="10198"/>
    <cellStyle name="subtotal 2 8 3 2 2" xfId="16583"/>
    <cellStyle name="subtotal 2 8 4" xfId="10118"/>
    <cellStyle name="subtotal 2 8 4 2" xfId="10220"/>
    <cellStyle name="subtotal 2 8 4 2 2" xfId="16605"/>
    <cellStyle name="subtotal 2 8 5" xfId="7999"/>
    <cellStyle name="subtotal 2 8 5 2" xfId="6155"/>
    <cellStyle name="subtotal 2 8 5 2 2" xfId="12880"/>
    <cellStyle name="subtotal 2 8 6" xfId="10117"/>
    <cellStyle name="subtotal 2 8 6 2" xfId="10219"/>
    <cellStyle name="subtotal 2 8 6 2 2" xfId="16604"/>
    <cellStyle name="subtotal 2 8 7" xfId="7515"/>
    <cellStyle name="subtotal 2 8 8" xfId="10160"/>
    <cellStyle name="subtotal 2 8 9" xfId="6119"/>
    <cellStyle name="subtotal 2 8 9 2" xfId="12844"/>
    <cellStyle name="subtotal 2 9" xfId="9684"/>
    <cellStyle name="Sub-Total 2 9" xfId="7966"/>
    <cellStyle name="subtotal 2 9 2" xfId="10108"/>
    <cellStyle name="Sub-Total 2 9 2" xfId="6130"/>
    <cellStyle name="subtotal 2 9 2 2" xfId="10210"/>
    <cellStyle name="Sub-Total 2 9 2 2" xfId="12855"/>
    <cellStyle name="subtotal 2 9 2 2 2" xfId="16595"/>
    <cellStyle name="subtotal 2 9 3" xfId="8001"/>
    <cellStyle name="subtotal 2 9 3 2" xfId="6157"/>
    <cellStyle name="subtotal 2 9 3 2 2" xfId="12882"/>
    <cellStyle name="subtotal 2 9 4" xfId="7969"/>
    <cellStyle name="subtotal 2 9 4 2" xfId="6133"/>
    <cellStyle name="subtotal 2 9 4 2 2" xfId="12858"/>
    <cellStyle name="subtotal 2 9 5" xfId="6285"/>
    <cellStyle name="subtotal 2 9 5 2" xfId="13008"/>
    <cellStyle name="subtotal 3" xfId="4350"/>
    <cellStyle name="Sub-Total 3" xfId="5490"/>
    <cellStyle name="subtotal 3 10" xfId="7976"/>
    <cellStyle name="subtotal 3 10 2" xfId="6138"/>
    <cellStyle name="subtotal 3 10 2 2" xfId="12863"/>
    <cellStyle name="subtotal 3 11" xfId="10102"/>
    <cellStyle name="subtotal 3 11 2" xfId="10204"/>
    <cellStyle name="subtotal 3 11 2 2" xfId="16589"/>
    <cellStyle name="subtotal 3 12" xfId="6447"/>
    <cellStyle name="subtotal 3 13" xfId="10148"/>
    <cellStyle name="subtotal 3 14" xfId="5949"/>
    <cellStyle name="subtotal 3 14 2" xfId="12837"/>
    <cellStyle name="subtotal 3 15" xfId="11361"/>
    <cellStyle name="subtotal 3 2" xfId="5494"/>
    <cellStyle name="Sub-Total 3 2" xfId="9233"/>
    <cellStyle name="subtotal 3 2 2" xfId="9237"/>
    <cellStyle name="Sub-Total 3 2 2" xfId="6244"/>
    <cellStyle name="subtotal 3 2 2 2" xfId="6248"/>
    <cellStyle name="Sub-Total 3 2 2 2" xfId="12969"/>
    <cellStyle name="subtotal 3 2 2 2 2" xfId="12973"/>
    <cellStyle name="subtotal 3 2 3" xfId="7518"/>
    <cellStyle name="subtotal 3 2 4" xfId="10163"/>
    <cellStyle name="subtotal 3 2 5" xfId="12399"/>
    <cellStyle name="subtotal 3 3" xfId="5685"/>
    <cellStyle name="Sub-Total 3 3" xfId="7514"/>
    <cellStyle name="subtotal 3 3 2" xfId="9426"/>
    <cellStyle name="subtotal 3 3 2 2" xfId="6268"/>
    <cellStyle name="subtotal 3 3 2 2 2" xfId="12993"/>
    <cellStyle name="subtotal 3 3 3" xfId="7707"/>
    <cellStyle name="subtotal 3 3 4" xfId="10171"/>
    <cellStyle name="subtotal 3 3 5" xfId="12578"/>
    <cellStyle name="subtotal 3 4" xfId="9744"/>
    <cellStyle name="Sub-Total 3 4" xfId="10159"/>
    <cellStyle name="subtotal 3 4 2" xfId="10116"/>
    <cellStyle name="subtotal 3 4 2 2" xfId="10218"/>
    <cellStyle name="subtotal 3 4 2 2 2" xfId="16603"/>
    <cellStyle name="subtotal 3 4 3" xfId="6291"/>
    <cellStyle name="subtotal 3 4 3 2" xfId="13014"/>
    <cellStyle name="subtotal 3 5" xfId="10072"/>
    <cellStyle name="Sub-Total 3 5" xfId="12395"/>
    <cellStyle name="subtotal 3 5 2" xfId="10133"/>
    <cellStyle name="subtotal 3 5 2 2" xfId="10235"/>
    <cellStyle name="subtotal 3 5 2 2 2" xfId="16620"/>
    <cellStyle name="subtotal 3 5 3" xfId="10174"/>
    <cellStyle name="subtotal 3 5 3 2" xfId="16559"/>
    <cellStyle name="subtotal 3 6" xfId="8166"/>
    <cellStyle name="subtotal 3 6 2" xfId="6189"/>
    <cellStyle name="subtotal 3 6 2 2" xfId="12914"/>
    <cellStyle name="subtotal 3 7" xfId="10081"/>
    <cellStyle name="subtotal 3 7 2" xfId="10183"/>
    <cellStyle name="subtotal 3 7 2 2" xfId="16568"/>
    <cellStyle name="subtotal 3 8" xfId="7981"/>
    <cellStyle name="subtotal 3 8 2" xfId="6143"/>
    <cellStyle name="subtotal 3 8 2 2" xfId="12868"/>
    <cellStyle name="subtotal 3 9" xfId="7964"/>
    <cellStyle name="subtotal 3 9 2" xfId="6128"/>
    <cellStyle name="subtotal 3 9 2 2" xfId="12853"/>
    <cellStyle name="subtotal 4" xfId="5489"/>
    <cellStyle name="Sub-Total 4" xfId="5682"/>
    <cellStyle name="subtotal 4 2" xfId="9232"/>
    <cellStyle name="Sub-Total 4 2" xfId="9423"/>
    <cellStyle name="subtotal 4 2 2" xfId="6243"/>
    <cellStyle name="Sub-Total 4 2 2" xfId="6265"/>
    <cellStyle name="subtotal 4 2 2 2" xfId="12968"/>
    <cellStyle name="Sub-Total 4 2 2 2" xfId="12990"/>
    <cellStyle name="subtotal 4 3" xfId="7513"/>
    <cellStyle name="Sub-Total 4 3" xfId="7704"/>
    <cellStyle name="subtotal 4 4" xfId="10158"/>
    <cellStyle name="Sub-Total 4 4" xfId="10168"/>
    <cellStyle name="subtotal 4 5" xfId="12394"/>
    <cellStyle name="Sub-Total 4 5" xfId="12575"/>
    <cellStyle name="subtotal 5" xfId="5681"/>
    <cellStyle name="Sub-Total 5" xfId="9683"/>
    <cellStyle name="subtotal 5 2" xfId="9422"/>
    <cellStyle name="Sub-Total 5 2" xfId="10107"/>
    <cellStyle name="subtotal 5 2 2" xfId="6264"/>
    <cellStyle name="Sub-Total 5 2 2" xfId="10209"/>
    <cellStyle name="subtotal 5 2 2 2" xfId="12989"/>
    <cellStyle name="Sub-Total 5 2 2 2" xfId="16594"/>
    <cellStyle name="subtotal 5 3" xfId="7703"/>
    <cellStyle name="Sub-Total 5 3" xfId="8005"/>
    <cellStyle name="Sub-Total 5 3 2" xfId="6161"/>
    <cellStyle name="Sub-Total 5 3 2 2" xfId="12886"/>
    <cellStyle name="subtotal 5 4" xfId="10167"/>
    <cellStyle name="Sub-Total 5 4" xfId="10075"/>
    <cellStyle name="Sub-Total 5 4 2" xfId="10177"/>
    <cellStyle name="Sub-Total 5 4 2 2" xfId="16562"/>
    <cellStyle name="subtotal 5 5" xfId="12574"/>
    <cellStyle name="Sub-Total 5 5" xfId="7998"/>
    <cellStyle name="Sub-Total 5 5 2" xfId="6154"/>
    <cellStyle name="Sub-Total 5 5 2 2" xfId="12879"/>
    <cellStyle name="Sub-Total 5 6" xfId="10082"/>
    <cellStyle name="Sub-Total 5 6 2" xfId="10184"/>
    <cellStyle name="Sub-Total 5 6 2 2" xfId="16569"/>
    <cellStyle name="Sub-Total 5 7" xfId="6284"/>
    <cellStyle name="Sub-Total 5 7 2" xfId="13007"/>
    <cellStyle name="subtotal 6" xfId="9682"/>
    <cellStyle name="Sub-Total 6" xfId="9672"/>
    <cellStyle name="subtotal 6 2" xfId="10106"/>
    <cellStyle name="Sub-Total 6 2" xfId="10104"/>
    <cellStyle name="subtotal 6 2 2" xfId="10208"/>
    <cellStyle name="Sub-Total 6 2 2" xfId="10206"/>
    <cellStyle name="subtotal 6 2 2 2" xfId="16593"/>
    <cellStyle name="Sub-Total 6 2 2 2" xfId="16591"/>
    <cellStyle name="subtotal 6 3" xfId="8004"/>
    <cellStyle name="Sub-Total 6 3" xfId="8002"/>
    <cellStyle name="subtotal 6 3 2" xfId="6160"/>
    <cellStyle name="Sub-Total 6 3 2" xfId="6158"/>
    <cellStyle name="subtotal 6 3 2 2" xfId="12885"/>
    <cellStyle name="Sub-Total 6 3 2 2" xfId="12883"/>
    <cellStyle name="subtotal 6 4" xfId="10114"/>
    <cellStyle name="Sub-Total 6 4" xfId="10113"/>
    <cellStyle name="subtotal 6 4 2" xfId="10216"/>
    <cellStyle name="Sub-Total 6 4 2" xfId="10215"/>
    <cellStyle name="subtotal 6 4 2 2" xfId="16601"/>
    <cellStyle name="Sub-Total 6 4 2 2" xfId="16600"/>
    <cellStyle name="subtotal 6 5" xfId="7991"/>
    <cellStyle name="Sub-Total 6 5" xfId="7985"/>
    <cellStyle name="subtotal 6 5 2" xfId="6149"/>
    <cellStyle name="Sub-Total 6 5 2" xfId="6147"/>
    <cellStyle name="subtotal 6 5 2 2" xfId="12874"/>
    <cellStyle name="Sub-Total 6 5 2 2" xfId="12872"/>
    <cellStyle name="subtotal 6 6" xfId="10085"/>
    <cellStyle name="Sub-Total 6 6" xfId="10095"/>
    <cellStyle name="subtotal 6 6 2" xfId="10187"/>
    <cellStyle name="Sub-Total 6 6 2" xfId="10197"/>
    <cellStyle name="subtotal 6 6 2 2" xfId="16572"/>
    <cellStyle name="Sub-Total 6 6 2 2" xfId="16582"/>
    <cellStyle name="subtotal 6 7" xfId="6283"/>
    <cellStyle name="Sub-Total 6 7" xfId="6281"/>
    <cellStyle name="subtotal 6 7 2" xfId="13006"/>
    <cellStyle name="Sub-Total 6 7 2" xfId="13004"/>
    <cellStyle name="subtotal 7" xfId="9673"/>
    <cellStyle name="Sub-Total 7" xfId="8162"/>
    <cellStyle name="subtotal 7 2" xfId="10105"/>
    <cellStyle name="Sub-Total 7 2" xfId="6185"/>
    <cellStyle name="subtotal 7 2 2" xfId="10207"/>
    <cellStyle name="Sub-Total 7 2 2" xfId="12910"/>
    <cellStyle name="subtotal 7 2 2 2" xfId="16592"/>
    <cellStyle name="subtotal 7 3" xfId="8003"/>
    <cellStyle name="subtotal 7 3 2" xfId="6159"/>
    <cellStyle name="subtotal 7 3 2 2" xfId="12884"/>
    <cellStyle name="subtotal 7 4" xfId="10074"/>
    <cellStyle name="subtotal 7 4 2" xfId="10176"/>
    <cellStyle name="subtotal 7 4 2 2" xfId="16561"/>
    <cellStyle name="subtotal 7 5" xfId="7992"/>
    <cellStyle name="subtotal 7 5 2" xfId="6150"/>
    <cellStyle name="subtotal 7 5 2 2" xfId="12875"/>
    <cellStyle name="subtotal 7 6" xfId="10136"/>
    <cellStyle name="subtotal 7 6 2" xfId="10238"/>
    <cellStyle name="subtotal 7 6 2 2" xfId="16623"/>
    <cellStyle name="subtotal 7 7" xfId="6282"/>
    <cellStyle name="subtotal 7 7 2" xfId="13005"/>
    <cellStyle name="subtotal 8" xfId="8161"/>
    <cellStyle name="Sub-Total 8" xfId="10078"/>
    <cellStyle name="subtotal 8 2" xfId="6184"/>
    <cellStyle name="Sub-Total 8 2" xfId="10180"/>
    <cellStyle name="subtotal 8 2 2" xfId="12909"/>
    <cellStyle name="Sub-Total 8 2 2" xfId="16565"/>
    <cellStyle name="subtotal 9" xfId="10077"/>
    <cellStyle name="Sub-Total 9" xfId="7978"/>
    <cellStyle name="subtotal 9 2" xfId="10179"/>
    <cellStyle name="Sub-Total 9 2" xfId="6140"/>
    <cellStyle name="subtotal 9 2 2" xfId="16564"/>
    <cellStyle name="Sub-Total 9 2 2" xfId="12865"/>
    <cellStyle name="Sweep Change" xfId="4351"/>
    <cellStyle name="SYSTEM" xfId="4352"/>
    <cellStyle name="t" xfId="4353"/>
    <cellStyle name="Table Heading" xfId="4354"/>
    <cellStyle name="Text_In" xfId="4355"/>
    <cellStyle name="Thousands£" xfId="4356"/>
    <cellStyle name="Thousands£ (2dp)" xfId="4357"/>
    <cellStyle name="TIME Detail" xfId="4358"/>
    <cellStyle name="TIME Period Start" xfId="4359"/>
    <cellStyle name="time variable" xfId="4360"/>
    <cellStyle name="Title 1" xfId="4361"/>
    <cellStyle name="Title 2" xfId="4362"/>
    <cellStyle name="Title 3" xfId="4363"/>
    <cellStyle name="Title 4" xfId="4364"/>
    <cellStyle name="TitlePage" xfId="4365"/>
    <cellStyle name="Titulo" xfId="4366"/>
    <cellStyle name="To" xfId="4367"/>
    <cellStyle name="Total - Grand" xfId="4368"/>
    <cellStyle name="Total - Sub" xfId="4369"/>
    <cellStyle name="Total - Sub 2" xfId="4370"/>
    <cellStyle name="Total - Sub 2 2" xfId="5496"/>
    <cellStyle name="Total - Sub 2 2 2" xfId="9239"/>
    <cellStyle name="Total - Sub 2 2 2 2" xfId="6250"/>
    <cellStyle name="Total - Sub 2 2 2 2 2" xfId="12975"/>
    <cellStyle name="Total - Sub 2 2 3" xfId="7520"/>
    <cellStyle name="Total - Sub 2 3" xfId="8168"/>
    <cellStyle name="Total - Sub 2 3 2" xfId="6191"/>
    <cellStyle name="Total - Sub 2 3 2 2" xfId="12916"/>
    <cellStyle name="Total - Sub 2 4" xfId="6449"/>
    <cellStyle name="Total - Sub 3" xfId="5495"/>
    <cellStyle name="Total - Sub 3 2" xfId="9238"/>
    <cellStyle name="Total - Sub 3 2 2" xfId="6249"/>
    <cellStyle name="Total - Sub 3 2 2 2" xfId="12974"/>
    <cellStyle name="Total - Sub 3 3" xfId="7519"/>
    <cellStyle name="Total - Sub 4" xfId="8167"/>
    <cellStyle name="Total - Sub 4 2" xfId="6190"/>
    <cellStyle name="Total - Sub 4 2 2" xfId="12915"/>
    <cellStyle name="Total - Sub 5" xfId="6448"/>
    <cellStyle name="Total 1" xfId="4371"/>
    <cellStyle name="Total 1 2" xfId="4372"/>
    <cellStyle name="Total 1 2 2" xfId="4373"/>
    <cellStyle name="Total 1 2 2 2" xfId="4816"/>
    <cellStyle name="Total 1 2 2 2 2" xfId="8559"/>
    <cellStyle name="Total 1 2 2 2 2 2" xfId="6218"/>
    <cellStyle name="Total 1 2 2 2 2 2 2" xfId="12943"/>
    <cellStyle name="Total 1 2 2 2 3" xfId="10087"/>
    <cellStyle name="Total 1 2 2 2 3 2" xfId="10189"/>
    <cellStyle name="Total 1 2 2 2 3 2 2" xfId="16574"/>
    <cellStyle name="Total 1 2 2 2 4" xfId="6840"/>
    <cellStyle name="Total 1 2 2 2 5" xfId="5951"/>
    <cellStyle name="Total 1 2 2 2 5 2" xfId="12839"/>
    <cellStyle name="Total 1 2 2 3" xfId="9807"/>
    <cellStyle name="Total 1 2 2 3 2" xfId="10121"/>
    <cellStyle name="Total 1 2 2 3 2 2" xfId="10223"/>
    <cellStyle name="Total 1 2 2 3 2 2 2" xfId="16608"/>
    <cellStyle name="Total 1 2 2 3 3" xfId="6369"/>
    <cellStyle name="Total 1 2 2 3 3 2" xfId="13092"/>
    <cellStyle name="Total 1 2 2 4" xfId="8171"/>
    <cellStyle name="Total 1 2 2 4 2" xfId="6194"/>
    <cellStyle name="Total 1 2 2 4 2 2" xfId="12919"/>
    <cellStyle name="Total 1 2 2 5" xfId="6452"/>
    <cellStyle name="Total 1 2 2 5 2" xfId="13150"/>
    <cellStyle name="Total 1 2 3" xfId="9686"/>
    <cellStyle name="Total 1 2 3 2" xfId="10110"/>
    <cellStyle name="Total 1 2 3 2 2" xfId="10212"/>
    <cellStyle name="Total 1 2 3 2 2 2" xfId="16597"/>
    <cellStyle name="Total 1 2 3 3" xfId="6287"/>
    <cellStyle name="Total 1 2 3 3 2" xfId="13010"/>
    <cellStyle name="Total 1 2 4" xfId="8170"/>
    <cellStyle name="Total 1 2 4 2" xfId="6193"/>
    <cellStyle name="Total 1 2 4 2 2" xfId="12918"/>
    <cellStyle name="Total 1 2 5" xfId="6451"/>
    <cellStyle name="Total 1 2 5 2" xfId="13149"/>
    <cellStyle name="Total 1 3" xfId="4374"/>
    <cellStyle name="Total 1 3 2" xfId="4815"/>
    <cellStyle name="Total 1 3 2 2" xfId="8558"/>
    <cellStyle name="Total 1 3 2 2 2" xfId="6217"/>
    <cellStyle name="Total 1 3 2 2 2 2" xfId="12942"/>
    <cellStyle name="Total 1 3 2 3" xfId="10086"/>
    <cellStyle name="Total 1 3 2 3 2" xfId="10188"/>
    <cellStyle name="Total 1 3 2 3 2 2" xfId="16573"/>
    <cellStyle name="Total 1 3 2 4" xfId="6839"/>
    <cellStyle name="Total 1 3 2 5" xfId="5950"/>
    <cellStyle name="Total 1 3 2 5 2" xfId="12838"/>
    <cellStyle name="Total 1 3 3" xfId="9806"/>
    <cellStyle name="Total 1 3 3 2" xfId="10120"/>
    <cellStyle name="Total 1 3 3 2 2" xfId="10222"/>
    <cellStyle name="Total 1 3 3 2 2 2" xfId="16607"/>
    <cellStyle name="Total 1 3 3 3" xfId="6368"/>
    <cellStyle name="Total 1 3 3 3 2" xfId="13091"/>
    <cellStyle name="Total 1 3 4" xfId="8172"/>
    <cellStyle name="Total 1 3 4 2" xfId="6195"/>
    <cellStyle name="Total 1 3 4 2 2" xfId="12920"/>
    <cellStyle name="Total 1 3 5" xfId="6453"/>
    <cellStyle name="Total 1 3 5 2" xfId="13151"/>
    <cellStyle name="Total 1 4" xfId="9685"/>
    <cellStyle name="Total 1 4 2" xfId="10109"/>
    <cellStyle name="Total 1 4 2 2" xfId="10211"/>
    <cellStyle name="Total 1 4 2 2 2" xfId="16596"/>
    <cellStyle name="Total 1 4 3" xfId="6286"/>
    <cellStyle name="Total 1 4 3 2" xfId="13009"/>
    <cellStyle name="Total 1 5" xfId="8169"/>
    <cellStyle name="Total 1 5 2" xfId="6192"/>
    <cellStyle name="Total 1 5 2 2" xfId="12917"/>
    <cellStyle name="Total 1 6" xfId="6450"/>
    <cellStyle name="Total 1 6 2" xfId="13148"/>
    <cellStyle name="Total 2" xfId="4375"/>
    <cellStyle name="Total 2 2" xfId="4376"/>
    <cellStyle name="Total 2 2 2" xfId="4377"/>
    <cellStyle name="Total 2 2 2 2" xfId="5499"/>
    <cellStyle name="Total 2 2 2 2 2" xfId="9242"/>
    <cellStyle name="Total 2 2 2 2 2 2" xfId="6253"/>
    <cellStyle name="Total 2 2 2 2 2 2 2" xfId="12978"/>
    <cellStyle name="Total 2 2 2 2 3" xfId="7523"/>
    <cellStyle name="Total 2 2 2 3" xfId="8175"/>
    <cellStyle name="Total 2 2 2 3 2" xfId="6198"/>
    <cellStyle name="Total 2 2 2 3 2 2" xfId="12923"/>
    <cellStyle name="Total 2 2 2 4" xfId="6456"/>
    <cellStyle name="Total 2 2 3" xfId="5498"/>
    <cellStyle name="Total 2 2 3 2" xfId="9241"/>
    <cellStyle name="Total 2 2 3 2 2" xfId="6252"/>
    <cellStyle name="Total 2 2 3 2 2 2" xfId="12977"/>
    <cellStyle name="Total 2 2 3 3" xfId="7522"/>
    <cellStyle name="Total 2 2 4" xfId="8174"/>
    <cellStyle name="Total 2 2 4 2" xfId="6197"/>
    <cellStyle name="Total 2 2 4 2 2" xfId="12922"/>
    <cellStyle name="Total 2 2 5" xfId="6455"/>
    <cellStyle name="Total 2 3" xfId="4378"/>
    <cellStyle name="Total 2 3 2" xfId="5500"/>
    <cellStyle name="Total 2 3 2 2" xfId="9243"/>
    <cellStyle name="Total 2 3 2 2 2" xfId="6254"/>
    <cellStyle name="Total 2 3 2 2 2 2" xfId="12979"/>
    <cellStyle name="Total 2 3 2 3" xfId="7524"/>
    <cellStyle name="Total 2 3 3" xfId="8176"/>
    <cellStyle name="Total 2 3 3 2" xfId="6199"/>
    <cellStyle name="Total 2 3 3 2 2" xfId="12924"/>
    <cellStyle name="Total 2 3 4" xfId="6457"/>
    <cellStyle name="Total 2 4" xfId="5497"/>
    <cellStyle name="Total 2 4 2" xfId="9240"/>
    <cellStyle name="Total 2 4 2 2" xfId="6251"/>
    <cellStyle name="Total 2 4 2 2 2" xfId="12976"/>
    <cellStyle name="Total 2 4 3" xfId="7521"/>
    <cellStyle name="Total 2 5" xfId="8173"/>
    <cellStyle name="Total 2 5 2" xfId="6196"/>
    <cellStyle name="Total 2 5 2 2" xfId="12921"/>
    <cellStyle name="Total 2 6" xfId="6454"/>
    <cellStyle name="Total 3" xfId="4379"/>
    <cellStyle name="Total 3 2" xfId="4380"/>
    <cellStyle name="Total 3 2 2" xfId="4381"/>
    <cellStyle name="Total 3 2 2 2" xfId="4818"/>
    <cellStyle name="Total 3 2 2 2 2" xfId="8561"/>
    <cellStyle name="Total 3 2 2 2 2 2" xfId="6220"/>
    <cellStyle name="Total 3 2 2 2 2 2 2" xfId="12945"/>
    <cellStyle name="Total 3 2 2 2 3" xfId="10089"/>
    <cellStyle name="Total 3 2 2 2 3 2" xfId="10191"/>
    <cellStyle name="Total 3 2 2 2 3 2 2" xfId="16576"/>
    <cellStyle name="Total 3 2 2 2 4" xfId="6842"/>
    <cellStyle name="Total 3 2 2 2 5" xfId="5953"/>
    <cellStyle name="Total 3 2 2 2 5 2" xfId="12841"/>
    <cellStyle name="Total 3 2 2 3" xfId="9809"/>
    <cellStyle name="Total 3 2 2 3 2" xfId="10123"/>
    <cellStyle name="Total 3 2 2 3 2 2" xfId="10225"/>
    <cellStyle name="Total 3 2 2 3 2 2 2" xfId="16610"/>
    <cellStyle name="Total 3 2 2 3 3" xfId="6371"/>
    <cellStyle name="Total 3 2 2 3 3 2" xfId="13094"/>
    <cellStyle name="Total 3 2 2 4" xfId="8179"/>
    <cellStyle name="Total 3 2 2 4 2" xfId="6202"/>
    <cellStyle name="Total 3 2 2 4 2 2" xfId="12927"/>
    <cellStyle name="Total 3 2 2 5" xfId="6460"/>
    <cellStyle name="Total 3 2 2 5 2" xfId="13154"/>
    <cellStyle name="Total 3 2 3" xfId="9688"/>
    <cellStyle name="Total 3 2 3 2" xfId="10112"/>
    <cellStyle name="Total 3 2 3 2 2" xfId="10214"/>
    <cellStyle name="Total 3 2 3 2 2 2" xfId="16599"/>
    <cellStyle name="Total 3 2 3 3" xfId="6289"/>
    <cellStyle name="Total 3 2 3 3 2" xfId="13012"/>
    <cellStyle name="Total 3 2 4" xfId="8178"/>
    <cellStyle name="Total 3 2 4 2" xfId="6201"/>
    <cellStyle name="Total 3 2 4 2 2" xfId="12926"/>
    <cellStyle name="Total 3 2 5" xfId="6459"/>
    <cellStyle name="Total 3 2 5 2" xfId="13153"/>
    <cellStyle name="Total 3 3" xfId="4382"/>
    <cellStyle name="Total 3 3 2" xfId="4817"/>
    <cellStyle name="Total 3 3 2 2" xfId="8560"/>
    <cellStyle name="Total 3 3 2 2 2" xfId="6219"/>
    <cellStyle name="Total 3 3 2 2 2 2" xfId="12944"/>
    <cellStyle name="Total 3 3 2 3" xfId="10088"/>
    <cellStyle name="Total 3 3 2 3 2" xfId="10190"/>
    <cellStyle name="Total 3 3 2 3 2 2" xfId="16575"/>
    <cellStyle name="Total 3 3 2 4" xfId="6841"/>
    <cellStyle name="Total 3 3 2 5" xfId="5952"/>
    <cellStyle name="Total 3 3 2 5 2" xfId="12840"/>
    <cellStyle name="Total 3 3 3" xfId="9808"/>
    <cellStyle name="Total 3 3 3 2" xfId="10122"/>
    <cellStyle name="Total 3 3 3 2 2" xfId="10224"/>
    <cellStyle name="Total 3 3 3 2 2 2" xfId="16609"/>
    <cellStyle name="Total 3 3 3 3" xfId="6370"/>
    <cellStyle name="Total 3 3 3 3 2" xfId="13093"/>
    <cellStyle name="Total 3 3 4" xfId="8180"/>
    <cellStyle name="Total 3 3 4 2" xfId="6203"/>
    <cellStyle name="Total 3 3 4 2 2" xfId="12928"/>
    <cellStyle name="Total 3 3 5" xfId="6461"/>
    <cellStyle name="Total 3 3 5 2" xfId="13155"/>
    <cellStyle name="Total 3 4" xfId="9687"/>
    <cellStyle name="Total 3 4 2" xfId="10111"/>
    <cellStyle name="Total 3 4 2 2" xfId="10213"/>
    <cellStyle name="Total 3 4 2 2 2" xfId="16598"/>
    <cellStyle name="Total 3 4 3" xfId="6288"/>
    <cellStyle name="Total 3 4 3 2" xfId="13011"/>
    <cellStyle name="Total 3 5" xfId="8177"/>
    <cellStyle name="Total 3 5 2" xfId="6200"/>
    <cellStyle name="Total 3 5 2 2" xfId="12925"/>
    <cellStyle name="Total 3 6" xfId="6458"/>
    <cellStyle name="Total 3 6 2" xfId="13152"/>
    <cellStyle name="Total 4" xfId="4383"/>
    <cellStyle name="Total 4 2" xfId="4384"/>
    <cellStyle name="Total 4 2 2" xfId="4385"/>
    <cellStyle name="Total 4 2 2 2" xfId="5503"/>
    <cellStyle name="Total 4 2 2 2 2" xfId="9246"/>
    <cellStyle name="Total 4 2 2 2 2 2" xfId="6257"/>
    <cellStyle name="Total 4 2 2 2 2 2 2" xfId="12982"/>
    <cellStyle name="Total 4 2 2 2 3" xfId="7527"/>
    <cellStyle name="Total 4 2 2 3" xfId="8183"/>
    <cellStyle name="Total 4 2 2 3 2" xfId="6206"/>
    <cellStyle name="Total 4 2 2 3 2 2" xfId="12931"/>
    <cellStyle name="Total 4 2 2 4" xfId="6464"/>
    <cellStyle name="Total 4 2 3" xfId="5502"/>
    <cellStyle name="Total 4 2 3 2" xfId="9245"/>
    <cellStyle name="Total 4 2 3 2 2" xfId="6256"/>
    <cellStyle name="Total 4 2 3 2 2 2" xfId="12981"/>
    <cellStyle name="Total 4 2 3 3" xfId="7526"/>
    <cellStyle name="Total 4 2 4" xfId="8182"/>
    <cellStyle name="Total 4 2 4 2" xfId="6205"/>
    <cellStyle name="Total 4 2 4 2 2" xfId="12930"/>
    <cellStyle name="Total 4 2 5" xfId="6463"/>
    <cellStyle name="Total 4 3" xfId="4386"/>
    <cellStyle name="Total 4 3 2" xfId="5504"/>
    <cellStyle name="Total 4 3 2 2" xfId="9247"/>
    <cellStyle name="Total 4 3 2 2 2" xfId="6258"/>
    <cellStyle name="Total 4 3 2 2 2 2" xfId="12983"/>
    <cellStyle name="Total 4 3 2 3" xfId="7528"/>
    <cellStyle name="Total 4 3 3" xfId="8184"/>
    <cellStyle name="Total 4 3 3 2" xfId="6207"/>
    <cellStyle name="Total 4 3 3 2 2" xfId="12932"/>
    <cellStyle name="Total 4 3 4" xfId="6465"/>
    <cellStyle name="Total 4 4" xfId="5501"/>
    <cellStyle name="Total 4 4 2" xfId="9244"/>
    <cellStyle name="Total 4 4 2 2" xfId="6255"/>
    <cellStyle name="Total 4 4 2 2 2" xfId="12980"/>
    <cellStyle name="Total 4 4 3" xfId="7525"/>
    <cellStyle name="Total 4 5" xfId="8181"/>
    <cellStyle name="Total 4 5 2" xfId="6204"/>
    <cellStyle name="Total 4 5 2 2" xfId="12929"/>
    <cellStyle name="Total 4 6" xfId="6462"/>
    <cellStyle name="total label" xfId="4387"/>
    <cellStyle name="total variable" xfId="4388"/>
    <cellStyle name="total variable 2" xfId="5505"/>
    <cellStyle name="True value/switch" xfId="4389"/>
    <cellStyle name="Units" xfId="4390"/>
    <cellStyle name="Währung [0]_RESULTS" xfId="4391"/>
    <cellStyle name="Währung_RESULTS" xfId="4392"/>
    <cellStyle name="Warning" xfId="4393"/>
    <cellStyle name="WorkbookLinkCurrency" xfId="4394"/>
    <cellStyle name="WorkbookLinkCurrency 2" xfId="10149"/>
    <cellStyle name="WorkbookLinkNumber" xfId="4395"/>
    <cellStyle name="WorkbookLinkNumber 2" xfId="10150"/>
    <cellStyle name="WorkbookLinkPercent" xfId="4396"/>
    <cellStyle name="WorkbookLinkPercent 2" xfId="10151"/>
    <cellStyle name="WorkbookLinkText" xfId="4397"/>
    <cellStyle name="WorkbookLinkText 2" xfId="10152"/>
    <cellStyle name="year" xfId="4398"/>
    <cellStyle name="yeardate" xfId="4399"/>
    <cellStyle name="years" xfId="4400"/>
    <cellStyle name="yesnoformat" xfId="440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00FF00"/>
      <color rgb="FFFFFFCC"/>
      <color rgb="FF8FFC68"/>
      <color rgb="FF0066FF"/>
      <color rgb="FF99FF99"/>
      <color rgb="FFFFFF99"/>
      <color rgb="FFFFFF66"/>
      <color rgb="FF00FF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Interest Cover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Financeability!$O$61</c:f>
              <c:strCache>
                <c:ptCount val="1"/>
                <c:pt idx="0">
                  <c:v>FFO Interest Cover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Financeability!$P$60:$AM$60</c:f>
              <c:numCache>
                <c:formatCode>0</c:formatCode>
                <c:ptCount val="2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</c:numCache>
            </c:numRef>
          </c:cat>
          <c:val>
            <c:numRef>
              <c:f>Financeability!$P$61:$AM$61</c:f>
              <c:numCache>
                <c:formatCode>0.00</c:formatCode>
                <c:ptCount val="24"/>
                <c:pt idx="0">
                  <c:v>5.6013063154638765</c:v>
                </c:pt>
                <c:pt idx="1">
                  <c:v>3.0026129983737944</c:v>
                </c:pt>
                <c:pt idx="2">
                  <c:v>2.1581304700214603</c:v>
                </c:pt>
                <c:pt idx="3">
                  <c:v>2.2347448820990428</c:v>
                </c:pt>
                <c:pt idx="4">
                  <c:v>2.3043725057568638</c:v>
                </c:pt>
                <c:pt idx="5">
                  <c:v>2.3779793777423479</c:v>
                </c:pt>
                <c:pt idx="6">
                  <c:v>2.4424491020214978</c:v>
                </c:pt>
                <c:pt idx="7">
                  <c:v>2.5056065630480786</c:v>
                </c:pt>
                <c:pt idx="8">
                  <c:v>2.5757468712928575</c:v>
                </c:pt>
                <c:pt idx="9">
                  <c:v>2.6521155200608195</c:v>
                </c:pt>
                <c:pt idx="10">
                  <c:v>2.7361367601831952</c:v>
                </c:pt>
                <c:pt idx="11">
                  <c:v>2.8296124276819463</c:v>
                </c:pt>
                <c:pt idx="12">
                  <c:v>2.9360675493460273</c:v>
                </c:pt>
                <c:pt idx="13">
                  <c:v>3.0582488227884776</c:v>
                </c:pt>
                <c:pt idx="14">
                  <c:v>3.198943243531259</c:v>
                </c:pt>
                <c:pt idx="15">
                  <c:v>3.3591506215032623</c:v>
                </c:pt>
                <c:pt idx="16">
                  <c:v>3.5426580533531049</c:v>
                </c:pt>
                <c:pt idx="17">
                  <c:v>3.7623818342332798</c:v>
                </c:pt>
                <c:pt idx="18">
                  <c:v>4.0301020667892047</c:v>
                </c:pt>
                <c:pt idx="19">
                  <c:v>4.3514331074520261</c:v>
                </c:pt>
                <c:pt idx="20">
                  <c:v>4.7557776738641664</c:v>
                </c:pt>
                <c:pt idx="21">
                  <c:v>5.2817778620905314</c:v>
                </c:pt>
                <c:pt idx="22">
                  <c:v>5.9838559537597122</c:v>
                </c:pt>
                <c:pt idx="23">
                  <c:v>6.9745816702846675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BE-4348-A175-1E1051FDC71F}"/>
            </c:ext>
          </c:extLst>
        </c:ser>
        <c:ser>
          <c:idx val="1"/>
          <c:order val="1"/>
          <c:tx>
            <c:strRef>
              <c:f>Financeability!$O$62</c:f>
              <c:strCache>
                <c:ptCount val="1"/>
                <c:pt idx="0">
                  <c:v>PMICR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Financeability!$P$60:$AM$60</c:f>
              <c:numCache>
                <c:formatCode>0</c:formatCode>
                <c:ptCount val="2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</c:numCache>
            </c:numRef>
          </c:cat>
          <c:val>
            <c:numRef>
              <c:f>Financeability!$P$62:$AM$62</c:f>
              <c:numCache>
                <c:formatCode>0.00</c:formatCode>
                <c:ptCount val="24"/>
                <c:pt idx="0">
                  <c:v>0.21707267919625475</c:v>
                </c:pt>
                <c:pt idx="1">
                  <c:v>1.3477971054852429</c:v>
                </c:pt>
                <c:pt idx="2">
                  <c:v>1.4294006666351446</c:v>
                </c:pt>
                <c:pt idx="3">
                  <c:v>1.2753547669610084</c:v>
                </c:pt>
                <c:pt idx="4">
                  <c:v>1.2618138654511384</c:v>
                </c:pt>
                <c:pt idx="5">
                  <c:v>1.2486170817654751</c:v>
                </c:pt>
                <c:pt idx="6">
                  <c:v>1.2358363838117699</c:v>
                </c:pt>
                <c:pt idx="7">
                  <c:v>1.2226991824800946</c:v>
                </c:pt>
                <c:pt idx="8">
                  <c:v>1.2083259028794764</c:v>
                </c:pt>
                <c:pt idx="9">
                  <c:v>1.193644785401025</c:v>
                </c:pt>
                <c:pt idx="10">
                  <c:v>1.1781668194135131</c:v>
                </c:pt>
                <c:pt idx="11">
                  <c:v>1.161665899392254</c:v>
                </c:pt>
                <c:pt idx="12">
                  <c:v>1.1429863546229604</c:v>
                </c:pt>
                <c:pt idx="13">
                  <c:v>1.1217239447437692</c:v>
                </c:pt>
                <c:pt idx="14">
                  <c:v>1.0972013969891137</c:v>
                </c:pt>
                <c:pt idx="15">
                  <c:v>1.0698876749099664</c:v>
                </c:pt>
                <c:pt idx="16">
                  <c:v>1.0397767518192658</c:v>
                </c:pt>
                <c:pt idx="17">
                  <c:v>1.0042929643085352</c:v>
                </c:pt>
                <c:pt idx="18">
                  <c:v>0.95946008408219186</c:v>
                </c:pt>
                <c:pt idx="19">
                  <c:v>0.90737757623765991</c:v>
                </c:pt>
                <c:pt idx="20">
                  <c:v>0.84229690140212232</c:v>
                </c:pt>
                <c:pt idx="21">
                  <c:v>0.75684994282857909</c:v>
                </c:pt>
                <c:pt idx="22">
                  <c:v>0.64308576995633082</c:v>
                </c:pt>
                <c:pt idx="23">
                  <c:v>0.48359254646214983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E-4348-A175-1E1051FD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580000"/>
        <c:axId val="58558590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Financeability!$O$63</c15:sqref>
                        </c15:formulaRef>
                      </c:ext>
                    </c:extLst>
                    <c:strCache>
                      <c:ptCount val="1"/>
                      <c:pt idx="0">
                        <c:v>Nominal PMICR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Financeability!$P$60:$AM$60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Financeability!$P$63:$AM$63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4.7009018271149854</c:v>
                      </c:pt>
                      <c:pt idx="1">
                        <c:v>2.2482192093186857</c:v>
                      </c:pt>
                      <c:pt idx="2">
                        <c:v>1.7136014897835818</c:v>
                      </c:pt>
                      <c:pt idx="3">
                        <c:v>1.8199903251513447</c:v>
                      </c:pt>
                      <c:pt idx="4">
                        <c:v>1.8082716470774529</c:v>
                      </c:pt>
                      <c:pt idx="5">
                        <c:v>1.7969271619168228</c:v>
                      </c:pt>
                      <c:pt idx="6">
                        <c:v>1.7856462445513326</c:v>
                      </c:pt>
                      <c:pt idx="7">
                        <c:v>1.773398796990356</c:v>
                      </c:pt>
                      <c:pt idx="8">
                        <c:v>1.7595712999563562</c:v>
                      </c:pt>
                      <c:pt idx="9">
                        <c:v>1.7455917190658554</c:v>
                      </c:pt>
                      <c:pt idx="10">
                        <c:v>1.7308298309789274</c:v>
                      </c:pt>
                      <c:pt idx="11">
                        <c:v>1.7154260814896602</c:v>
                      </c:pt>
                      <c:pt idx="12">
                        <c:v>1.6979366430722891</c:v>
                      </c:pt>
                      <c:pt idx="13">
                        <c:v>1.6781139872536819</c:v>
                      </c:pt>
                      <c:pt idx="14">
                        <c:v>1.6548294539058372</c:v>
                      </c:pt>
                      <c:pt idx="15">
                        <c:v>1.6286323371697238</c:v>
                      </c:pt>
                      <c:pt idx="16">
                        <c:v>1.6001636848913892</c:v>
                      </c:pt>
                      <c:pt idx="17">
                        <c:v>1.5676233535252473</c:v>
                      </c:pt>
                      <c:pt idx="18">
                        <c:v>1.5246451990851222</c:v>
                      </c:pt>
                      <c:pt idx="19">
                        <c:v>1.4755527600888443</c:v>
                      </c:pt>
                      <c:pt idx="20">
                        <c:v>1.4147445584065503</c:v>
                      </c:pt>
                      <c:pt idx="21">
                        <c:v>1.3342876128713939</c:v>
                      </c:pt>
                      <c:pt idx="22">
                        <c:v>1.2269222269043241</c:v>
                      </c:pt>
                      <c:pt idx="23">
                        <c:v>1.0774815706185947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CBE-4348-A175-1E1051FDC71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Financeability!$O$64</c15:sqref>
                        </c15:formulaRef>
                      </c:ext>
                    </c:extLst>
                    <c:strCache>
                      <c:ptCount val="1"/>
                      <c:pt idx="0">
                        <c:v>FFO / Net Debt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Financeability!$P$60:$AM$60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Financeability!$P$64:$AM$64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0.10260913083484446</c:v>
                      </c:pt>
                      <c:pt idx="1">
                        <c:v>9.1719675325519778E-2</c:v>
                      </c:pt>
                      <c:pt idx="2">
                        <c:v>8.0258441572487196E-2</c:v>
                      </c:pt>
                      <c:pt idx="3">
                        <c:v>8.5567820329463667E-2</c:v>
                      </c:pt>
                      <c:pt idx="4">
                        <c:v>9.0393014648950665E-2</c:v>
                      </c:pt>
                      <c:pt idx="5">
                        <c:v>9.5493970877544729E-2</c:v>
                      </c:pt>
                      <c:pt idx="6">
                        <c:v>9.99617227700898E-2</c:v>
                      </c:pt>
                      <c:pt idx="7">
                        <c:v>0.10433853481923186</c:v>
                      </c:pt>
                      <c:pt idx="8">
                        <c:v>0.10919925818059503</c:v>
                      </c:pt>
                      <c:pt idx="9">
                        <c:v>0.1144916055402148</c:v>
                      </c:pt>
                      <c:pt idx="10">
                        <c:v>0.12031427748069541</c:v>
                      </c:pt>
                      <c:pt idx="11">
                        <c:v>0.12679214123835889</c:v>
                      </c:pt>
                      <c:pt idx="12">
                        <c:v>0.13416948116967967</c:v>
                      </c:pt>
                      <c:pt idx="13">
                        <c:v>0.14263664341924151</c:v>
                      </c:pt>
                      <c:pt idx="14">
                        <c:v>0.15238676677671625</c:v>
                      </c:pt>
                      <c:pt idx="15">
                        <c:v>0.16348913807017607</c:v>
                      </c:pt>
                      <c:pt idx="16">
                        <c:v>0.17620620309737015</c:v>
                      </c:pt>
                      <c:pt idx="17">
                        <c:v>0.19143306111236627</c:v>
                      </c:pt>
                      <c:pt idx="18">
                        <c:v>0.20998607322849189</c:v>
                      </c:pt>
                      <c:pt idx="19">
                        <c:v>0.23225431434642541</c:v>
                      </c:pt>
                      <c:pt idx="20">
                        <c:v>0.26027539279878675</c:v>
                      </c:pt>
                      <c:pt idx="21">
                        <c:v>0.29672720584287382</c:v>
                      </c:pt>
                      <c:pt idx="22">
                        <c:v>0.34538121759554807</c:v>
                      </c:pt>
                      <c:pt idx="23">
                        <c:v>0.41403850975072748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BE-4348-A175-1E1051FDC71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Financeability!$O$65</c15:sqref>
                        </c15:formulaRef>
                      </c:ext>
                    </c:extLst>
                    <c:strCache>
                      <c:ptCount val="1"/>
                      <c:pt idx="0">
                        <c:v>Gearing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Financeability!$P$60:$AM$60</c15:sqref>
                        </c15:formulaRef>
                      </c:ext>
                    </c:extLst>
                    <c:numCache>
                      <c:formatCode>0</c:formatCode>
                      <c:ptCount val="24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Financeability!$P$65:$AM$65</c15:sqref>
                        </c15:formulaRef>
                      </c:ext>
                    </c:extLst>
                    <c:numCache>
                      <c:formatCode>0.0%</c:formatCode>
                      <c:ptCount val="24"/>
                      <c:pt idx="0">
                        <c:v>0.55000000000000004</c:v>
                      </c:pt>
                      <c:pt idx="1">
                        <c:v>0.55000000000000004</c:v>
                      </c:pt>
                      <c:pt idx="2">
                        <c:v>0.55000000000000004</c:v>
                      </c:pt>
                      <c:pt idx="3">
                        <c:v>0.55000000000000004</c:v>
                      </c:pt>
                      <c:pt idx="4">
                        <c:v>0.55000000000000004</c:v>
                      </c:pt>
                      <c:pt idx="5">
                        <c:v>0.55000000000000004</c:v>
                      </c:pt>
                      <c:pt idx="6">
                        <c:v>0.55000000000000004</c:v>
                      </c:pt>
                      <c:pt idx="7">
                        <c:v>0.55000000000000004</c:v>
                      </c:pt>
                      <c:pt idx="8">
                        <c:v>0.55000000000000004</c:v>
                      </c:pt>
                      <c:pt idx="9">
                        <c:v>0.55000000000000004</c:v>
                      </c:pt>
                      <c:pt idx="10">
                        <c:v>0.55000000000000004</c:v>
                      </c:pt>
                      <c:pt idx="11">
                        <c:v>0.55000000000000004</c:v>
                      </c:pt>
                      <c:pt idx="12">
                        <c:v>0.55000000000000004</c:v>
                      </c:pt>
                      <c:pt idx="13">
                        <c:v>0.55000000000000004</c:v>
                      </c:pt>
                      <c:pt idx="14">
                        <c:v>0.55000000000000004</c:v>
                      </c:pt>
                      <c:pt idx="15">
                        <c:v>0.55000000000000004</c:v>
                      </c:pt>
                      <c:pt idx="16">
                        <c:v>0.55000000000000004</c:v>
                      </c:pt>
                      <c:pt idx="17">
                        <c:v>0.55000000000000004</c:v>
                      </c:pt>
                      <c:pt idx="18">
                        <c:v>0.55000000000000004</c:v>
                      </c:pt>
                      <c:pt idx="19">
                        <c:v>0.55000000000000004</c:v>
                      </c:pt>
                      <c:pt idx="20">
                        <c:v>0.54999999999999993</c:v>
                      </c:pt>
                      <c:pt idx="21">
                        <c:v>0.55000000000000004</c:v>
                      </c:pt>
                      <c:pt idx="22">
                        <c:v>0.55000000000000004</c:v>
                      </c:pt>
                      <c:pt idx="23">
                        <c:v>0.55000000000000004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BE-4348-A175-1E1051FDC71F}"/>
                  </c:ext>
                </c:extLst>
              </c15:ser>
            </c15:filteredLineSeries>
          </c:ext>
        </c:extLst>
      </c:lineChart>
      <c:catAx>
        <c:axId val="58558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85904"/>
        <c:crosses val="autoZero"/>
        <c:auto val="1"/>
        <c:lblAlgn val="ctr"/>
        <c:lblOffset val="100"/>
        <c:noMultiLvlLbl val="0"/>
      </c:catAx>
      <c:valAx>
        <c:axId val="5855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8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84</xdr:row>
      <xdr:rowOff>0</xdr:rowOff>
    </xdr:from>
    <xdr:to>
      <xdr:col>0</xdr:col>
      <xdr:colOff>640080</xdr:colOff>
      <xdr:row>86</xdr:row>
      <xdr:rowOff>1954</xdr:rowOff>
    </xdr:to>
    <xdr:pic>
      <xdr:nvPicPr>
        <xdr:cNvPr id="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885825"/>
          <a:ext cx="1905" cy="303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84</xdr:row>
      <xdr:rowOff>0</xdr:rowOff>
    </xdr:from>
    <xdr:to>
      <xdr:col>0</xdr:col>
      <xdr:colOff>1252579</xdr:colOff>
      <xdr:row>86</xdr:row>
      <xdr:rowOff>25853</xdr:rowOff>
    </xdr:to>
    <xdr:pic>
      <xdr:nvPicPr>
        <xdr:cNvPr id="10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885825"/>
          <a:ext cx="1905" cy="330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84</xdr:row>
      <xdr:rowOff>0</xdr:rowOff>
    </xdr:from>
    <xdr:to>
      <xdr:col>0</xdr:col>
      <xdr:colOff>1839319</xdr:colOff>
      <xdr:row>86</xdr:row>
      <xdr:rowOff>19595</xdr:rowOff>
    </xdr:to>
    <xdr:pic>
      <xdr:nvPicPr>
        <xdr:cNvPr id="11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885825"/>
          <a:ext cx="1905" cy="32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84</xdr:row>
      <xdr:rowOff>0</xdr:rowOff>
    </xdr:from>
    <xdr:to>
      <xdr:col>0</xdr:col>
      <xdr:colOff>640080</xdr:colOff>
      <xdr:row>86</xdr:row>
      <xdr:rowOff>1954</xdr:rowOff>
    </xdr:to>
    <xdr:pic>
      <xdr:nvPicPr>
        <xdr:cNvPr id="1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885825"/>
          <a:ext cx="1905" cy="303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84</xdr:row>
      <xdr:rowOff>0</xdr:rowOff>
    </xdr:from>
    <xdr:to>
      <xdr:col>0</xdr:col>
      <xdr:colOff>1252579</xdr:colOff>
      <xdr:row>86</xdr:row>
      <xdr:rowOff>25853</xdr:rowOff>
    </xdr:to>
    <xdr:pic>
      <xdr:nvPicPr>
        <xdr:cNvPr id="1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9759462"/>
          <a:ext cx="4804" cy="333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84</xdr:row>
      <xdr:rowOff>0</xdr:rowOff>
    </xdr:from>
    <xdr:to>
      <xdr:col>0</xdr:col>
      <xdr:colOff>1839319</xdr:colOff>
      <xdr:row>86</xdr:row>
      <xdr:rowOff>19595</xdr:rowOff>
    </xdr:to>
    <xdr:pic>
      <xdr:nvPicPr>
        <xdr:cNvPr id="14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885825"/>
          <a:ext cx="1905" cy="32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33</xdr:row>
      <xdr:rowOff>0</xdr:rowOff>
    </xdr:from>
    <xdr:to>
      <xdr:col>0</xdr:col>
      <xdr:colOff>640080</xdr:colOff>
      <xdr:row>35</xdr:row>
      <xdr:rowOff>11975</xdr:rowOff>
    </xdr:to>
    <xdr:pic>
      <xdr:nvPicPr>
        <xdr:cNvPr id="21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37260"/>
          <a:ext cx="1905" cy="31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33</xdr:row>
      <xdr:rowOff>0</xdr:rowOff>
    </xdr:from>
    <xdr:to>
      <xdr:col>0</xdr:col>
      <xdr:colOff>1249680</xdr:colOff>
      <xdr:row>35</xdr:row>
      <xdr:rowOff>52522</xdr:rowOff>
    </xdr:to>
    <xdr:pic>
      <xdr:nvPicPr>
        <xdr:cNvPr id="22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937260"/>
          <a:ext cx="1905" cy="35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33</xdr:row>
      <xdr:rowOff>0</xdr:rowOff>
    </xdr:from>
    <xdr:to>
      <xdr:col>0</xdr:col>
      <xdr:colOff>1840230</xdr:colOff>
      <xdr:row>35</xdr:row>
      <xdr:rowOff>46264</xdr:rowOff>
    </xdr:to>
    <xdr:pic>
      <xdr:nvPicPr>
        <xdr:cNvPr id="23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937260"/>
          <a:ext cx="1905" cy="351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33</xdr:row>
      <xdr:rowOff>0</xdr:rowOff>
    </xdr:from>
    <xdr:to>
      <xdr:col>0</xdr:col>
      <xdr:colOff>640080</xdr:colOff>
      <xdr:row>35</xdr:row>
      <xdr:rowOff>11975</xdr:rowOff>
    </xdr:to>
    <xdr:pic>
      <xdr:nvPicPr>
        <xdr:cNvPr id="2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37260"/>
          <a:ext cx="1905" cy="31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33</xdr:row>
      <xdr:rowOff>0</xdr:rowOff>
    </xdr:from>
    <xdr:to>
      <xdr:col>0</xdr:col>
      <xdr:colOff>1249680</xdr:colOff>
      <xdr:row>35</xdr:row>
      <xdr:rowOff>52522</xdr:rowOff>
    </xdr:to>
    <xdr:pic>
      <xdr:nvPicPr>
        <xdr:cNvPr id="2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86000"/>
          <a:ext cx="1905" cy="35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33</xdr:row>
      <xdr:rowOff>0</xdr:rowOff>
    </xdr:from>
    <xdr:to>
      <xdr:col>0</xdr:col>
      <xdr:colOff>1840230</xdr:colOff>
      <xdr:row>35</xdr:row>
      <xdr:rowOff>46264</xdr:rowOff>
    </xdr:to>
    <xdr:pic>
      <xdr:nvPicPr>
        <xdr:cNvPr id="2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2286000"/>
          <a:ext cx="1905" cy="351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74</xdr:row>
      <xdr:rowOff>0</xdr:rowOff>
    </xdr:from>
    <xdr:to>
      <xdr:col>0</xdr:col>
      <xdr:colOff>640080</xdr:colOff>
      <xdr:row>76</xdr:row>
      <xdr:rowOff>1953</xdr:rowOff>
    </xdr:to>
    <xdr:pic>
      <xdr:nvPicPr>
        <xdr:cNvPr id="3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21671280"/>
          <a:ext cx="1905" cy="306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74</xdr:row>
      <xdr:rowOff>0</xdr:rowOff>
    </xdr:from>
    <xdr:to>
      <xdr:col>0</xdr:col>
      <xdr:colOff>1252579</xdr:colOff>
      <xdr:row>76</xdr:row>
      <xdr:rowOff>25852</xdr:rowOff>
    </xdr:to>
    <xdr:pic>
      <xdr:nvPicPr>
        <xdr:cNvPr id="4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1671280"/>
          <a:ext cx="4804" cy="330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74</xdr:row>
      <xdr:rowOff>0</xdr:rowOff>
    </xdr:from>
    <xdr:to>
      <xdr:col>1</xdr:col>
      <xdr:colOff>2899</xdr:colOff>
      <xdr:row>76</xdr:row>
      <xdr:rowOff>19594</xdr:rowOff>
    </xdr:to>
    <xdr:pic>
      <xdr:nvPicPr>
        <xdr:cNvPr id="5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21671280"/>
          <a:ext cx="994" cy="32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74</xdr:row>
      <xdr:rowOff>0</xdr:rowOff>
    </xdr:from>
    <xdr:to>
      <xdr:col>0</xdr:col>
      <xdr:colOff>640080</xdr:colOff>
      <xdr:row>76</xdr:row>
      <xdr:rowOff>1953</xdr:rowOff>
    </xdr:to>
    <xdr:pic>
      <xdr:nvPicPr>
        <xdr:cNvPr id="6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21671280"/>
          <a:ext cx="1905" cy="306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74</xdr:row>
      <xdr:rowOff>0</xdr:rowOff>
    </xdr:from>
    <xdr:to>
      <xdr:col>0</xdr:col>
      <xdr:colOff>1252579</xdr:colOff>
      <xdr:row>76</xdr:row>
      <xdr:rowOff>25852</xdr:rowOff>
    </xdr:to>
    <xdr:pic>
      <xdr:nvPicPr>
        <xdr:cNvPr id="7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1671280"/>
          <a:ext cx="4804" cy="330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74</xdr:row>
      <xdr:rowOff>0</xdr:rowOff>
    </xdr:from>
    <xdr:to>
      <xdr:col>1</xdr:col>
      <xdr:colOff>2899</xdr:colOff>
      <xdr:row>76</xdr:row>
      <xdr:rowOff>19594</xdr:rowOff>
    </xdr:to>
    <xdr:pic>
      <xdr:nvPicPr>
        <xdr:cNvPr id="8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21671280"/>
          <a:ext cx="994" cy="324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53</xdr:row>
      <xdr:rowOff>0</xdr:rowOff>
    </xdr:from>
    <xdr:to>
      <xdr:col>0</xdr:col>
      <xdr:colOff>640080</xdr:colOff>
      <xdr:row>55</xdr:row>
      <xdr:rowOff>11975</xdr:rowOff>
    </xdr:to>
    <xdr:pic>
      <xdr:nvPicPr>
        <xdr:cNvPr id="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4602480"/>
          <a:ext cx="1905" cy="31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53</xdr:row>
      <xdr:rowOff>0</xdr:rowOff>
    </xdr:from>
    <xdr:to>
      <xdr:col>0</xdr:col>
      <xdr:colOff>1249680</xdr:colOff>
      <xdr:row>55</xdr:row>
      <xdr:rowOff>52522</xdr:rowOff>
    </xdr:to>
    <xdr:pic>
      <xdr:nvPicPr>
        <xdr:cNvPr id="10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4602480"/>
          <a:ext cx="1905" cy="35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53</xdr:row>
      <xdr:rowOff>0</xdr:rowOff>
    </xdr:from>
    <xdr:to>
      <xdr:col>1</xdr:col>
      <xdr:colOff>7620</xdr:colOff>
      <xdr:row>55</xdr:row>
      <xdr:rowOff>46264</xdr:rowOff>
    </xdr:to>
    <xdr:pic>
      <xdr:nvPicPr>
        <xdr:cNvPr id="11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4602480"/>
          <a:ext cx="1905" cy="351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53</xdr:row>
      <xdr:rowOff>0</xdr:rowOff>
    </xdr:from>
    <xdr:to>
      <xdr:col>0</xdr:col>
      <xdr:colOff>640080</xdr:colOff>
      <xdr:row>55</xdr:row>
      <xdr:rowOff>11975</xdr:rowOff>
    </xdr:to>
    <xdr:pic>
      <xdr:nvPicPr>
        <xdr:cNvPr id="1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4602480"/>
          <a:ext cx="1905" cy="31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53</xdr:row>
      <xdr:rowOff>0</xdr:rowOff>
    </xdr:from>
    <xdr:to>
      <xdr:col>0</xdr:col>
      <xdr:colOff>1249680</xdr:colOff>
      <xdr:row>55</xdr:row>
      <xdr:rowOff>52522</xdr:rowOff>
    </xdr:to>
    <xdr:pic>
      <xdr:nvPicPr>
        <xdr:cNvPr id="1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4602480"/>
          <a:ext cx="1905" cy="35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53</xdr:row>
      <xdr:rowOff>0</xdr:rowOff>
    </xdr:from>
    <xdr:to>
      <xdr:col>1</xdr:col>
      <xdr:colOff>7620</xdr:colOff>
      <xdr:row>55</xdr:row>
      <xdr:rowOff>46264</xdr:rowOff>
    </xdr:to>
    <xdr:pic>
      <xdr:nvPicPr>
        <xdr:cNvPr id="14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38325" y="4602480"/>
          <a:ext cx="1905" cy="351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0</xdr:rowOff>
    </xdr:from>
    <xdr:to>
      <xdr:col>0</xdr:col>
      <xdr:colOff>640080</xdr:colOff>
      <xdr:row>1</xdr:row>
      <xdr:rowOff>141515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825" y="590550"/>
          <a:ext cx="1905" cy="29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0</xdr:row>
      <xdr:rowOff>0</xdr:rowOff>
    </xdr:from>
    <xdr:to>
      <xdr:col>0</xdr:col>
      <xdr:colOff>1249680</xdr:colOff>
      <xdr:row>2</xdr:row>
      <xdr:rowOff>6803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425" y="590550"/>
          <a:ext cx="1905" cy="327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0</xdr:row>
      <xdr:rowOff>0</xdr:rowOff>
    </xdr:from>
    <xdr:to>
      <xdr:col>1</xdr:col>
      <xdr:colOff>0</xdr:colOff>
      <xdr:row>2</xdr:row>
      <xdr:rowOff>6804</xdr:rowOff>
    </xdr:to>
    <xdr:pic>
      <xdr:nvPicPr>
        <xdr:cNvPr id="4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8975" y="590550"/>
          <a:ext cx="1905" cy="32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640080</xdr:colOff>
      <xdr:row>9</xdr:row>
      <xdr:rowOff>141515</xdr:rowOff>
    </xdr:to>
    <xdr:pic>
      <xdr:nvPicPr>
        <xdr:cNvPr id="5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825" y="958850"/>
          <a:ext cx="1905" cy="29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8</xdr:row>
      <xdr:rowOff>0</xdr:rowOff>
    </xdr:from>
    <xdr:to>
      <xdr:col>0</xdr:col>
      <xdr:colOff>1249680</xdr:colOff>
      <xdr:row>10</xdr:row>
      <xdr:rowOff>6802</xdr:rowOff>
    </xdr:to>
    <xdr:pic>
      <xdr:nvPicPr>
        <xdr:cNvPr id="6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425" y="958850"/>
          <a:ext cx="1905" cy="327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8</xdr:row>
      <xdr:rowOff>0</xdr:rowOff>
    </xdr:from>
    <xdr:to>
      <xdr:col>1</xdr:col>
      <xdr:colOff>0</xdr:colOff>
      <xdr:row>10</xdr:row>
      <xdr:rowOff>544</xdr:rowOff>
    </xdr:to>
    <xdr:pic>
      <xdr:nvPicPr>
        <xdr:cNvPr id="7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8975" y="958850"/>
          <a:ext cx="1905" cy="319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640080</xdr:colOff>
      <xdr:row>9</xdr:row>
      <xdr:rowOff>141515</xdr:rowOff>
    </xdr:to>
    <xdr:pic>
      <xdr:nvPicPr>
        <xdr:cNvPr id="8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825" y="958850"/>
          <a:ext cx="1905" cy="29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8</xdr:row>
      <xdr:rowOff>0</xdr:rowOff>
    </xdr:from>
    <xdr:to>
      <xdr:col>0</xdr:col>
      <xdr:colOff>1249680</xdr:colOff>
      <xdr:row>10</xdr:row>
      <xdr:rowOff>6802</xdr:rowOff>
    </xdr:to>
    <xdr:pic>
      <xdr:nvPicPr>
        <xdr:cNvPr id="9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425" y="958850"/>
          <a:ext cx="1905" cy="327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1838325</xdr:colOff>
      <xdr:row>8</xdr:row>
      <xdr:rowOff>0</xdr:rowOff>
    </xdr:from>
    <xdr:to>
      <xdr:col>1</xdr:col>
      <xdr:colOff>0</xdr:colOff>
      <xdr:row>10</xdr:row>
      <xdr:rowOff>544</xdr:rowOff>
    </xdr:to>
    <xdr:pic>
      <xdr:nvPicPr>
        <xdr:cNvPr id="10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8975" y="958850"/>
          <a:ext cx="1905" cy="319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25400</xdr:colOff>
      <xdr:row>66</xdr:row>
      <xdr:rowOff>41275</xdr:rowOff>
    </xdr:from>
    <xdr:to>
      <xdr:col>25</xdr:col>
      <xdr:colOff>146050</xdr:colOff>
      <xdr:row>81</xdr:row>
      <xdr:rowOff>142875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D9"/>
  <sheetViews>
    <sheetView tabSelected="1" workbookViewId="0">
      <selection activeCell="C5" sqref="C5"/>
    </sheetView>
  </sheetViews>
  <sheetFormatPr defaultRowHeight="12.5"/>
  <cols>
    <col min="2" max="2" width="12.36328125" bestFit="1" customWidth="1"/>
    <col min="3" max="3" width="6.36328125" bestFit="1" customWidth="1"/>
    <col min="4" max="4" width="56.36328125" bestFit="1" customWidth="1"/>
  </cols>
  <sheetData>
    <row r="3" spans="2:4">
      <c r="B3" s="67" t="s">
        <v>188</v>
      </c>
      <c r="C3" s="67" t="s">
        <v>186</v>
      </c>
    </row>
    <row r="4" spans="2:4">
      <c r="B4" s="67" t="s">
        <v>189</v>
      </c>
      <c r="C4" s="67" t="s">
        <v>187</v>
      </c>
    </row>
    <row r="5" spans="2:4">
      <c r="B5" s="67" t="s">
        <v>190</v>
      </c>
      <c r="C5" s="67" t="s">
        <v>315</v>
      </c>
      <c r="D5" s="138"/>
    </row>
    <row r="6" spans="2:4">
      <c r="B6" s="67"/>
      <c r="C6" s="67"/>
    </row>
    <row r="7" spans="2:4">
      <c r="B7" s="67"/>
      <c r="C7" s="67"/>
    </row>
    <row r="8" spans="2:4">
      <c r="B8" s="67"/>
      <c r="C8" s="67"/>
      <c r="D8" s="67"/>
    </row>
    <row r="9" spans="2:4">
      <c r="C9" s="67"/>
      <c r="D9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  <pageSetUpPr fitToPage="1"/>
  </sheetPr>
  <dimension ref="A1:AO145"/>
  <sheetViews>
    <sheetView zoomScaleNormal="100" workbookViewId="0">
      <pane xSplit="3" ySplit="1" topLeftCell="E74" activePane="bottomRight" state="frozen"/>
      <selection pane="topRight" activeCell="D1" sqref="D1"/>
      <selection pane="bottomLeft" activeCell="A2" sqref="A2"/>
      <selection pane="bottomRight" activeCell="P9" sqref="P9:AM9"/>
    </sheetView>
  </sheetViews>
  <sheetFormatPr defaultColWidth="34.36328125" defaultRowHeight="12.25" customHeight="1"/>
  <cols>
    <col min="1" max="1" width="34" style="37" bestFit="1" customWidth="1"/>
    <col min="2" max="2" width="2.6328125" style="33" bestFit="1" customWidth="1"/>
    <col min="3" max="3" width="14.36328125" style="33" bestFit="1" customWidth="1"/>
    <col min="4" max="4" width="6.08984375" style="35" bestFit="1" customWidth="1"/>
    <col min="5" max="6" width="5.36328125" style="35" bestFit="1" customWidth="1"/>
    <col min="7" max="7" width="6.08984375" style="35" bestFit="1" customWidth="1"/>
    <col min="8" max="12" width="5.36328125" style="35" bestFit="1" customWidth="1"/>
    <col min="13" max="13" width="6.6328125" style="35" bestFit="1" customWidth="1"/>
    <col min="14" max="15" width="6.08984375" style="35" bestFit="1" customWidth="1"/>
    <col min="16" max="21" width="6.6328125" style="35" bestFit="1" customWidth="1"/>
    <col min="22" max="39" width="6.08984375" style="35" bestFit="1" customWidth="1"/>
    <col min="40" max="16384" width="34.36328125" style="33"/>
  </cols>
  <sheetData>
    <row r="1" spans="1:41" s="34" customFormat="1" ht="12.25" customHeight="1">
      <c r="A1" s="30" t="s">
        <v>60</v>
      </c>
      <c r="D1" s="40">
        <v>2011</v>
      </c>
      <c r="E1" s="40">
        <f>+D1+1</f>
        <v>2012</v>
      </c>
      <c r="F1" s="40">
        <f t="shared" ref="F1:AM1" si="0">+E1+1</f>
        <v>2013</v>
      </c>
      <c r="G1" s="40">
        <f t="shared" si="0"/>
        <v>2014</v>
      </c>
      <c r="H1" s="40">
        <f t="shared" si="0"/>
        <v>2015</v>
      </c>
      <c r="I1" s="40">
        <f t="shared" si="0"/>
        <v>2016</v>
      </c>
      <c r="J1" s="40">
        <f t="shared" si="0"/>
        <v>2017</v>
      </c>
      <c r="K1" s="40">
        <f t="shared" si="0"/>
        <v>2018</v>
      </c>
      <c r="L1" s="40">
        <f t="shared" si="0"/>
        <v>2019</v>
      </c>
      <c r="M1" s="40">
        <f t="shared" si="0"/>
        <v>2020</v>
      </c>
      <c r="N1" s="40">
        <f t="shared" si="0"/>
        <v>2021</v>
      </c>
      <c r="O1" s="40">
        <f t="shared" si="0"/>
        <v>2022</v>
      </c>
      <c r="P1" s="40">
        <f t="shared" si="0"/>
        <v>2023</v>
      </c>
      <c r="Q1" s="40">
        <f t="shared" si="0"/>
        <v>2024</v>
      </c>
      <c r="R1" s="40">
        <f t="shared" si="0"/>
        <v>2025</v>
      </c>
      <c r="S1" s="40">
        <f t="shared" si="0"/>
        <v>2026</v>
      </c>
      <c r="T1" s="40">
        <f t="shared" si="0"/>
        <v>2027</v>
      </c>
      <c r="U1" s="40">
        <f t="shared" si="0"/>
        <v>2028</v>
      </c>
      <c r="V1" s="40">
        <f t="shared" si="0"/>
        <v>2029</v>
      </c>
      <c r="W1" s="40">
        <f t="shared" si="0"/>
        <v>2030</v>
      </c>
      <c r="X1" s="40">
        <f t="shared" si="0"/>
        <v>2031</v>
      </c>
      <c r="Y1" s="40">
        <f t="shared" si="0"/>
        <v>2032</v>
      </c>
      <c r="Z1" s="40">
        <f t="shared" si="0"/>
        <v>2033</v>
      </c>
      <c r="AA1" s="40">
        <f t="shared" si="0"/>
        <v>2034</v>
      </c>
      <c r="AB1" s="40">
        <f t="shared" si="0"/>
        <v>2035</v>
      </c>
      <c r="AC1" s="40">
        <f t="shared" si="0"/>
        <v>2036</v>
      </c>
      <c r="AD1" s="40">
        <f t="shared" si="0"/>
        <v>2037</v>
      </c>
      <c r="AE1" s="40">
        <f t="shared" si="0"/>
        <v>2038</v>
      </c>
      <c r="AF1" s="40">
        <f t="shared" si="0"/>
        <v>2039</v>
      </c>
      <c r="AG1" s="40">
        <f t="shared" si="0"/>
        <v>2040</v>
      </c>
      <c r="AH1" s="40">
        <f t="shared" si="0"/>
        <v>2041</v>
      </c>
      <c r="AI1" s="40">
        <f t="shared" si="0"/>
        <v>2042</v>
      </c>
      <c r="AJ1" s="40">
        <f t="shared" si="0"/>
        <v>2043</v>
      </c>
      <c r="AK1" s="40">
        <f t="shared" si="0"/>
        <v>2044</v>
      </c>
      <c r="AL1" s="40">
        <f t="shared" si="0"/>
        <v>2045</v>
      </c>
      <c r="AM1" s="40">
        <f t="shared" si="0"/>
        <v>2046</v>
      </c>
    </row>
    <row r="2" spans="1:41" s="34" customFormat="1" ht="12.25" customHeight="1">
      <c r="A2" s="3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1" s="34" customFormat="1" ht="12.25" customHeight="1">
      <c r="A3" s="30" t="s">
        <v>294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41" ht="13.4" customHeight="1"/>
    <row r="5" spans="1:41" ht="12.25" customHeight="1">
      <c r="A5" s="37" t="s">
        <v>59</v>
      </c>
      <c r="C5" s="33" t="s">
        <v>244</v>
      </c>
      <c r="P5" s="85">
        <v>1.0563108641975303E-2</v>
      </c>
      <c r="Q5" s="12">
        <v>4.0230658641975302E-2</v>
      </c>
      <c r="R5" s="12">
        <v>5.9636308641975305E-2</v>
      </c>
      <c r="S5" s="12">
        <v>5.3937758641975309E-2</v>
      </c>
      <c r="T5" s="12">
        <v>5.3937758641975309E-2</v>
      </c>
      <c r="U5" s="12">
        <v>5.3937758641975309E-2</v>
      </c>
      <c r="V5" s="12"/>
    </row>
    <row r="6" spans="1:41" ht="12.25" customHeight="1">
      <c r="A6" s="37" t="s">
        <v>314</v>
      </c>
      <c r="P6" s="12">
        <v>0.55000000000000004</v>
      </c>
    </row>
    <row r="7" spans="1:41" ht="12.25" customHeight="1">
      <c r="A7" s="37" t="s">
        <v>191</v>
      </c>
      <c r="P7" s="85">
        <v>2.23E-2</v>
      </c>
      <c r="Q7" s="12">
        <v>4.58E-2</v>
      </c>
      <c r="R7" s="12">
        <v>6.93E-2</v>
      </c>
      <c r="S7" s="12">
        <v>6.93E-2</v>
      </c>
      <c r="T7" s="12">
        <v>6.93E-2</v>
      </c>
      <c r="U7" s="12">
        <v>6.93E-2</v>
      </c>
      <c r="V7" s="12"/>
    </row>
    <row r="9" spans="1:41" ht="12.25" customHeight="1">
      <c r="A9" s="58" t="s">
        <v>12</v>
      </c>
      <c r="P9" s="35">
        <v>18253.842427303724</v>
      </c>
      <c r="Q9" s="35">
        <v>18234.059105632725</v>
      </c>
      <c r="R9" s="35">
        <v>18322.343341779688</v>
      </c>
      <c r="S9" s="35">
        <v>18497.222701526909</v>
      </c>
      <c r="T9" s="35">
        <v>18273.855550493023</v>
      </c>
      <c r="U9" s="35">
        <v>18377.695143525998</v>
      </c>
      <c r="V9" s="35">
        <v>18236.499986357583</v>
      </c>
      <c r="W9" s="35">
        <v>18409.458375746126</v>
      </c>
      <c r="X9" s="35">
        <v>18578.165899121712</v>
      </c>
      <c r="Y9" s="35">
        <v>18742.858431178596</v>
      </c>
      <c r="Z9" s="35">
        <v>18903.757418742356</v>
      </c>
      <c r="AA9" s="35">
        <v>19061.07088467076</v>
      </c>
      <c r="AB9" s="35">
        <v>19214.994351647409</v>
      </c>
      <c r="AC9" s="35">
        <v>19361.774213184843</v>
      </c>
      <c r="AD9" s="35">
        <v>19505.533682758007</v>
      </c>
      <c r="AE9" s="35">
        <v>19646.434671587689</v>
      </c>
      <c r="AF9" s="35">
        <v>19784.629682898758</v>
      </c>
      <c r="AG9" s="35">
        <v>19920.262425571731</v>
      </c>
      <c r="AH9" s="35">
        <v>20053.468381908089</v>
      </c>
      <c r="AI9" s="35">
        <v>20184.375333419535</v>
      </c>
      <c r="AJ9" s="35">
        <v>20313.103848182669</v>
      </c>
      <c r="AK9" s="35">
        <v>20439.76773296823</v>
      </c>
      <c r="AL9" s="35">
        <v>20564.474453055409</v>
      </c>
      <c r="AM9" s="35">
        <v>20687.325522373216</v>
      </c>
      <c r="AN9" s="7"/>
      <c r="AO9" s="7"/>
    </row>
    <row r="10" spans="1:41" ht="12.25" customHeight="1">
      <c r="E10" s="45"/>
    </row>
    <row r="11" spans="1:41" ht="12.25" customHeight="1">
      <c r="A11" s="37" t="s">
        <v>7</v>
      </c>
      <c r="E11" s="45"/>
    </row>
    <row r="12" spans="1:41" s="37" customFormat="1" ht="13">
      <c r="A12" s="56" t="s">
        <v>133</v>
      </c>
      <c r="B12" s="38"/>
      <c r="C12" s="35"/>
      <c r="D12" s="4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>
        <v>12227.481282107383</v>
      </c>
      <c r="Q12" s="45">
        <v>11158.782990620659</v>
      </c>
      <c r="R12" s="45">
        <v>11071.98816999496</v>
      </c>
      <c r="S12" s="45">
        <v>10465.120124903033</v>
      </c>
      <c r="T12" s="45">
        <v>7648.620819865735</v>
      </c>
      <c r="U12" s="45">
        <v>7512.160994784007</v>
      </c>
      <c r="V12" s="45">
        <v>6145.1664857307842</v>
      </c>
      <c r="W12" s="45">
        <v>5986.9666016196334</v>
      </c>
      <c r="X12" s="45">
        <v>5821.8828723070956</v>
      </c>
      <c r="Y12" s="45">
        <v>5672.8943856871574</v>
      </c>
      <c r="Z12" s="45">
        <v>5526.2798842252196</v>
      </c>
      <c r="AA12" s="45">
        <v>5402.3255364340339</v>
      </c>
      <c r="AB12" s="45">
        <v>5279.0665612026733</v>
      </c>
      <c r="AC12" s="45">
        <v>5056.8586506848696</v>
      </c>
      <c r="AD12" s="45">
        <v>4931.3820342801719</v>
      </c>
      <c r="AE12" s="45">
        <v>4803.1369771758154</v>
      </c>
      <c r="AF12" s="45">
        <v>4695.8557612474451</v>
      </c>
      <c r="AG12" s="45">
        <v>4625.6194506770817</v>
      </c>
      <c r="AH12" s="45">
        <v>4497.0109192265863</v>
      </c>
      <c r="AI12" s="45">
        <v>4408.9384847052897</v>
      </c>
      <c r="AJ12" s="45">
        <v>4332.0909551143395</v>
      </c>
      <c r="AK12" s="45">
        <v>4244.3932566011954</v>
      </c>
      <c r="AL12" s="45">
        <v>4158.0128843355078</v>
      </c>
      <c r="AM12" s="45">
        <v>4094.3205776427071</v>
      </c>
    </row>
    <row r="13" spans="1:41" s="37" customFormat="1" ht="13">
      <c r="A13" s="56" t="s">
        <v>134</v>
      </c>
      <c r="B13" s="38"/>
      <c r="C13" s="35"/>
      <c r="D13" s="43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>
        <v>4920.2865590962228</v>
      </c>
      <c r="Q13" s="45">
        <v>5218.5452360882391</v>
      </c>
      <c r="R13" s="45">
        <v>5562.9227189883522</v>
      </c>
      <c r="S13" s="45">
        <v>5222.0979943276179</v>
      </c>
      <c r="T13" s="45">
        <v>4851.0592499209097</v>
      </c>
      <c r="U13" s="45">
        <v>4598.5563856377139</v>
      </c>
      <c r="V13" s="45">
        <v>4290.9207652765126</v>
      </c>
      <c r="W13" s="45">
        <v>4292.0579283824709</v>
      </c>
      <c r="X13" s="45">
        <v>4929.9656518016727</v>
      </c>
      <c r="Y13" s="45">
        <v>5145.0332270305771</v>
      </c>
      <c r="Z13" s="45">
        <v>5547.3652701674519</v>
      </c>
      <c r="AA13" s="45">
        <v>5201.101285672873</v>
      </c>
      <c r="AB13" s="45">
        <v>5092.4690402587858</v>
      </c>
      <c r="AC13" s="45">
        <v>4866.4976611232287</v>
      </c>
      <c r="AD13" s="45">
        <v>5361.42692797979</v>
      </c>
      <c r="AE13" s="45">
        <v>6216.777020198615</v>
      </c>
      <c r="AF13" s="45">
        <v>6342.696956400755</v>
      </c>
      <c r="AG13" s="45">
        <v>4997.7730461415558</v>
      </c>
      <c r="AH13" s="45">
        <v>6511.7644150102979</v>
      </c>
      <c r="AI13" s="45">
        <v>6377.3227730766375</v>
      </c>
      <c r="AJ13" s="45">
        <v>5918.6855980042328</v>
      </c>
      <c r="AK13" s="45">
        <v>6131.4009041486888</v>
      </c>
      <c r="AL13" s="45">
        <v>6454.1089835178909</v>
      </c>
      <c r="AM13" s="45">
        <v>6102.6256344888807</v>
      </c>
    </row>
    <row r="14" spans="1:41" s="37" customFormat="1" ht="13">
      <c r="A14" s="56" t="s">
        <v>135</v>
      </c>
      <c r="B14" s="38"/>
      <c r="C14" s="35"/>
      <c r="D14" s="4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>
        <v>455.59211603867328</v>
      </c>
      <c r="Q14" s="45">
        <v>332.09048013082645</v>
      </c>
      <c r="R14" s="45">
        <v>230.60554915120662</v>
      </c>
      <c r="S14" s="45">
        <v>268.43818901642192</v>
      </c>
      <c r="T14" s="45">
        <v>198.37016513266954</v>
      </c>
      <c r="U14" s="45">
        <v>427.913848737367</v>
      </c>
      <c r="V14" s="45">
        <v>195.36075868655641</v>
      </c>
      <c r="W14" s="45">
        <v>195.36075868655641</v>
      </c>
      <c r="X14" s="45">
        <v>195.36075868655641</v>
      </c>
      <c r="Y14" s="45">
        <v>195.36075868655641</v>
      </c>
      <c r="Z14" s="45">
        <v>195.36075868655641</v>
      </c>
      <c r="AA14" s="45">
        <v>195.36075868655641</v>
      </c>
      <c r="AB14" s="45">
        <v>195.36075868655641</v>
      </c>
      <c r="AC14" s="45">
        <v>195.36075868655641</v>
      </c>
      <c r="AD14" s="45">
        <v>195.36075868655641</v>
      </c>
      <c r="AE14" s="45">
        <v>195.36075868655641</v>
      </c>
      <c r="AF14" s="45">
        <v>195.36075868655641</v>
      </c>
      <c r="AG14" s="45">
        <v>195.36075868655641</v>
      </c>
      <c r="AH14" s="45">
        <v>195.36075868655641</v>
      </c>
      <c r="AI14" s="45">
        <v>195.36075868655641</v>
      </c>
      <c r="AJ14" s="45">
        <v>195.36075868655641</v>
      </c>
      <c r="AK14" s="45">
        <v>195.36075868655641</v>
      </c>
      <c r="AL14" s="45">
        <v>195.36075868655641</v>
      </c>
      <c r="AM14" s="45">
        <v>0</v>
      </c>
    </row>
    <row r="15" spans="1:41" s="37" customFormat="1" ht="13">
      <c r="A15" s="56" t="s">
        <v>136</v>
      </c>
      <c r="B15" s="38"/>
      <c r="C15" s="35"/>
      <c r="D15" s="4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41" s="37" customFormat="1" ht="13">
      <c r="A16" s="56" t="s">
        <v>137</v>
      </c>
      <c r="B16" s="38"/>
      <c r="C16" s="35"/>
      <c r="D16" s="43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>
        <v>1238.2285639230522</v>
      </c>
      <c r="Q16" s="45">
        <v>1106.1654797374272</v>
      </c>
      <c r="R16" s="45">
        <v>1120.7490636662253</v>
      </c>
      <c r="S16" s="45">
        <v>1057.8895406723243</v>
      </c>
      <c r="T16" s="45">
        <v>768.27864064203004</v>
      </c>
      <c r="U16" s="45">
        <v>754.25694378027038</v>
      </c>
      <c r="V16" s="45">
        <v>615.01952240340211</v>
      </c>
      <c r="W16" s="45">
        <v>598.80996585213109</v>
      </c>
      <c r="X16" s="45">
        <v>583.32983934566755</v>
      </c>
      <c r="Y16" s="45">
        <v>568.54631853199464</v>
      </c>
      <c r="Z16" s="45">
        <v>554.42805615493717</v>
      </c>
      <c r="AA16" s="45">
        <v>540.94511558484714</v>
      </c>
      <c r="AB16" s="45">
        <v>528.06890734041133</v>
      </c>
      <c r="AC16" s="45">
        <v>504.78813241176925</v>
      </c>
      <c r="AD16" s="45">
        <v>493.04470858763761</v>
      </c>
      <c r="AE16" s="45">
        <v>481.8297388355918</v>
      </c>
      <c r="AF16" s="45">
        <v>471.11944272238821</v>
      </c>
      <c r="AG16" s="45">
        <v>460.89110993427857</v>
      </c>
      <c r="AH16" s="45">
        <v>451.12305212163398</v>
      </c>
      <c r="AI16" s="45">
        <v>441.79455691055836</v>
      </c>
      <c r="AJ16" s="45">
        <v>432.88584398398109</v>
      </c>
      <c r="AK16" s="45">
        <v>424.37802313909998</v>
      </c>
      <c r="AL16" s="45">
        <v>416.25305423223847</v>
      </c>
      <c r="AM16" s="45">
        <v>408.49370892618572</v>
      </c>
    </row>
    <row r="17" spans="1:41" s="37" customFormat="1" ht="13">
      <c r="A17" s="29" t="s">
        <v>132</v>
      </c>
      <c r="B17" s="35"/>
      <c r="C17" s="24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116">
        <f>SUM(P12:P16)</f>
        <v>18841.588521165329</v>
      </c>
      <c r="Q17" s="116">
        <f t="shared" ref="Q17:AM17" si="1">SUM(Q12:Q16)</f>
        <v>17815.584186577154</v>
      </c>
      <c r="R17" s="116">
        <f t="shared" si="1"/>
        <v>17986.265501800743</v>
      </c>
      <c r="S17" s="116">
        <f t="shared" si="1"/>
        <v>17013.545848919399</v>
      </c>
      <c r="T17" s="116">
        <f t="shared" si="1"/>
        <v>13466.328875561347</v>
      </c>
      <c r="U17" s="116">
        <f t="shared" si="1"/>
        <v>13292.888172939358</v>
      </c>
      <c r="V17" s="116">
        <f t="shared" si="1"/>
        <v>11246.467532097255</v>
      </c>
      <c r="W17" s="116">
        <f t="shared" si="1"/>
        <v>11073.195254540793</v>
      </c>
      <c r="X17" s="116">
        <f t="shared" si="1"/>
        <v>11530.539122140994</v>
      </c>
      <c r="Y17" s="116">
        <f t="shared" si="1"/>
        <v>11581.834689936286</v>
      </c>
      <c r="Z17" s="116">
        <f t="shared" si="1"/>
        <v>11823.433969234164</v>
      </c>
      <c r="AA17" s="116">
        <f t="shared" si="1"/>
        <v>11339.732696378311</v>
      </c>
      <c r="AB17" s="116">
        <f t="shared" si="1"/>
        <v>11094.965267488427</v>
      </c>
      <c r="AC17" s="116">
        <f t="shared" si="1"/>
        <v>10623.505202906425</v>
      </c>
      <c r="AD17" s="116">
        <f t="shared" si="1"/>
        <v>10981.214429534157</v>
      </c>
      <c r="AE17" s="116">
        <f t="shared" si="1"/>
        <v>11697.104494896579</v>
      </c>
      <c r="AF17" s="116">
        <f t="shared" si="1"/>
        <v>11705.032919057145</v>
      </c>
      <c r="AG17" s="116">
        <f t="shared" si="1"/>
        <v>10279.644365439472</v>
      </c>
      <c r="AH17" s="116">
        <f t="shared" si="1"/>
        <v>11655.259145045076</v>
      </c>
      <c r="AI17" s="116">
        <f t="shared" si="1"/>
        <v>11423.416573379041</v>
      </c>
      <c r="AJ17" s="116">
        <f t="shared" si="1"/>
        <v>10879.023155789109</v>
      </c>
      <c r="AK17" s="116">
        <f t="shared" si="1"/>
        <v>10995.532942575539</v>
      </c>
      <c r="AL17" s="116">
        <f t="shared" si="1"/>
        <v>11223.735680772194</v>
      </c>
      <c r="AM17" s="116">
        <f t="shared" si="1"/>
        <v>10605.439921057774</v>
      </c>
    </row>
    <row r="18" spans="1:41" s="37" customFormat="1" ht="13">
      <c r="A18" s="29"/>
      <c r="B18" s="35"/>
      <c r="C18" s="24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</row>
    <row r="19" spans="1:41" ht="12.25" customHeight="1">
      <c r="A19" s="89" t="s">
        <v>25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7"/>
      <c r="AO19" s="7"/>
    </row>
    <row r="20" spans="1:41" ht="12.25" customHeight="1">
      <c r="A20" s="57" t="s">
        <v>46</v>
      </c>
      <c r="B20" s="10" t="s">
        <v>26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35">
        <v>91523.803499999995</v>
      </c>
      <c r="Q20" s="35">
        <v>95534.722350000011</v>
      </c>
      <c r="R20" s="35">
        <v>101069.52127323304</v>
      </c>
      <c r="S20" s="35">
        <v>104823.49659774808</v>
      </c>
      <c r="T20" s="35">
        <v>107235.06343344992</v>
      </c>
      <c r="U20" s="35">
        <v>109599.91164459511</v>
      </c>
      <c r="V20" s="35">
        <v>110665.68544098971</v>
      </c>
      <c r="W20" s="35">
        <v>111616.97442893864</v>
      </c>
      <c r="X20" s="35">
        <v>112458.14290955795</v>
      </c>
      <c r="Y20" s="35">
        <v>113193.94779910684</v>
      </c>
      <c r="Z20" s="35">
        <v>113828.90219592044</v>
      </c>
      <c r="AA20" s="35">
        <v>114367.28769126767</v>
      </c>
      <c r="AB20" s="35">
        <v>114813.16606596312</v>
      </c>
      <c r="AC20" s="35">
        <v>115156.61440308538</v>
      </c>
      <c r="AD20" s="35">
        <v>115401.79164566744</v>
      </c>
      <c r="AE20" s="35">
        <v>115566.10862680734</v>
      </c>
      <c r="AF20" s="35">
        <v>115652.85359830274</v>
      </c>
      <c r="AG20" s="35">
        <v>115665.1452826309</v>
      </c>
      <c r="AH20" s="35">
        <v>115605.94147187767</v>
      </c>
      <c r="AI20" s="35">
        <v>115478.04719605976</v>
      </c>
      <c r="AJ20" s="35">
        <v>115284.12248218183</v>
      </c>
      <c r="AK20" s="35">
        <v>115026.68972432188</v>
      </c>
      <c r="AL20" s="35">
        <v>114708.14068404007</v>
      </c>
      <c r="AM20" s="35">
        <v>114330.74313945706</v>
      </c>
      <c r="AN20" s="7"/>
      <c r="AO20" s="7"/>
    </row>
    <row r="21" spans="1:41" ht="12.25" customHeight="1">
      <c r="A21" s="57" t="s">
        <v>49</v>
      </c>
      <c r="B21" s="10" t="s">
        <v>27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35">
        <v>17757.349999999984</v>
      </c>
      <c r="Q21" s="35">
        <v>19240.946399999986</v>
      </c>
      <c r="R21" s="35">
        <v>20150.490359999985</v>
      </c>
      <c r="S21" s="35">
        <v>20414.783999999985</v>
      </c>
      <c r="T21" s="35">
        <v>20539.583999999984</v>
      </c>
      <c r="U21" s="35">
        <v>20664.383999999984</v>
      </c>
      <c r="V21" s="35">
        <v>20558.193066666652</v>
      </c>
      <c r="W21" s="35">
        <v>20449.228799999986</v>
      </c>
      <c r="X21" s="35">
        <v>20337.491199999989</v>
      </c>
      <c r="Y21" s="35">
        <v>20222.980266666655</v>
      </c>
      <c r="Z21" s="35">
        <v>20105.695999999989</v>
      </c>
      <c r="AA21" s="35">
        <v>19985.638399999993</v>
      </c>
      <c r="AB21" s="35">
        <v>19862.807466666658</v>
      </c>
      <c r="AC21" s="35">
        <v>19737.203199999993</v>
      </c>
      <c r="AD21" s="35">
        <v>19608.825599999993</v>
      </c>
      <c r="AE21" s="35">
        <v>19477.674666666662</v>
      </c>
      <c r="AF21" s="35">
        <v>19343.750399999994</v>
      </c>
      <c r="AG21" s="35">
        <v>19207.052799999998</v>
      </c>
      <c r="AH21" s="35">
        <v>19067.581866666667</v>
      </c>
      <c r="AI21" s="35">
        <v>18925.337600000003</v>
      </c>
      <c r="AJ21" s="35">
        <v>18780.32</v>
      </c>
      <c r="AK21" s="35">
        <v>18632.52906666667</v>
      </c>
      <c r="AL21" s="35">
        <v>18481.964800000005</v>
      </c>
      <c r="AM21" s="35">
        <v>18328.627200000003</v>
      </c>
      <c r="AN21" s="7"/>
      <c r="AO21" s="7"/>
    </row>
    <row r="22" spans="1:41" ht="12.25" customHeight="1">
      <c r="A22" s="57" t="s">
        <v>56</v>
      </c>
      <c r="B22" s="10" t="s">
        <v>57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35">
        <v>30087.561299976693</v>
      </c>
      <c r="Q22" s="35">
        <v>30769.869722559706</v>
      </c>
      <c r="R22" s="35">
        <v>31057.768258190983</v>
      </c>
      <c r="S22" s="35">
        <v>31117.231543929542</v>
      </c>
      <c r="T22" s="35">
        <v>31179.931543929542</v>
      </c>
      <c r="U22" s="35">
        <v>31242.631543929543</v>
      </c>
      <c r="V22" s="35">
        <v>30957.494526774775</v>
      </c>
      <c r="W22" s="35">
        <v>30670.964176286667</v>
      </c>
      <c r="X22" s="35">
        <v>30383.040492465228</v>
      </c>
      <c r="Y22" s="35">
        <v>30093.72347531046</v>
      </c>
      <c r="Z22" s="35">
        <v>29803.013124822355</v>
      </c>
      <c r="AA22" s="35">
        <v>29510.909441000917</v>
      </c>
      <c r="AB22" s="35">
        <v>29217.412423846148</v>
      </c>
      <c r="AC22" s="35">
        <v>28922.522073358035</v>
      </c>
      <c r="AD22" s="35">
        <v>28626.2383895366</v>
      </c>
      <c r="AE22" s="35">
        <v>28328.561372381831</v>
      </c>
      <c r="AF22" s="35">
        <v>28029.491021893726</v>
      </c>
      <c r="AG22" s="35">
        <v>27729.027338072287</v>
      </c>
      <c r="AH22" s="35">
        <v>27427.170320917518</v>
      </c>
      <c r="AI22" s="35">
        <v>27123.919970429411</v>
      </c>
      <c r="AJ22" s="35">
        <v>26819.276286607972</v>
      </c>
      <c r="AK22" s="35">
        <v>26513.239269453203</v>
      </c>
      <c r="AL22" s="35">
        <v>26205.808918965093</v>
      </c>
      <c r="AM22" s="35">
        <v>25896.985235143657</v>
      </c>
      <c r="AN22" s="7"/>
      <c r="AO22" s="7"/>
    </row>
    <row r="23" spans="1:41" ht="12.25" customHeight="1">
      <c r="A23" s="57" t="s">
        <v>28</v>
      </c>
      <c r="B23" s="10" t="s">
        <v>58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35">
        <v>12255.655411146106</v>
      </c>
      <c r="Q23" s="35">
        <v>13120.760498991714</v>
      </c>
      <c r="R23" s="35">
        <v>13610.986715437557</v>
      </c>
      <c r="S23" s="35">
        <v>13697.497224222117</v>
      </c>
      <c r="T23" s="35">
        <v>13697.497224222117</v>
      </c>
      <c r="U23" s="35">
        <v>13697.497224222117</v>
      </c>
      <c r="V23" s="35">
        <v>13545.302810619651</v>
      </c>
      <c r="W23" s="35">
        <v>13393.108397017182</v>
      </c>
      <c r="X23" s="35">
        <v>13240.913983414715</v>
      </c>
      <c r="Y23" s="35">
        <v>13088.719569812247</v>
      </c>
      <c r="Z23" s="35">
        <v>12936.525156209782</v>
      </c>
      <c r="AA23" s="35">
        <v>12784.330742607313</v>
      </c>
      <c r="AB23" s="35">
        <v>12632.136329004847</v>
      </c>
      <c r="AC23" s="35">
        <v>12479.941915402378</v>
      </c>
      <c r="AD23" s="35">
        <v>12327.747501799911</v>
      </c>
      <c r="AE23" s="35">
        <v>12175.553088197443</v>
      </c>
      <c r="AF23" s="35">
        <v>12023.358674594976</v>
      </c>
      <c r="AG23" s="35">
        <v>11871.164260992507</v>
      </c>
      <c r="AH23" s="35">
        <v>11718.969847390041</v>
      </c>
      <c r="AI23" s="35">
        <v>11566.775433787574</v>
      </c>
      <c r="AJ23" s="35">
        <v>11414.581020185107</v>
      </c>
      <c r="AK23" s="35">
        <v>11262.386606582641</v>
      </c>
      <c r="AL23" s="35">
        <v>11110.192192980172</v>
      </c>
      <c r="AM23" s="35">
        <v>10957.997779377705</v>
      </c>
      <c r="AN23" s="7"/>
      <c r="AO23" s="7"/>
    </row>
    <row r="24" spans="1:41" ht="12.25" customHeight="1">
      <c r="A24" s="58" t="s">
        <v>65</v>
      </c>
      <c r="B24" s="54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117">
        <f t="shared" ref="P24:AM24" si="2">SUM(P20:P23)</f>
        <v>151624.37021112279</v>
      </c>
      <c r="Q24" s="117">
        <f t="shared" si="2"/>
        <v>158666.29897155141</v>
      </c>
      <c r="R24" s="117">
        <f t="shared" si="2"/>
        <v>165888.76660686155</v>
      </c>
      <c r="S24" s="117">
        <f t="shared" si="2"/>
        <v>170053.00936589972</v>
      </c>
      <c r="T24" s="117">
        <f t="shared" si="2"/>
        <v>172652.07620160157</v>
      </c>
      <c r="U24" s="117">
        <f t="shared" si="2"/>
        <v>175204.42441274674</v>
      </c>
      <c r="V24" s="117">
        <f t="shared" si="2"/>
        <v>175726.67584505078</v>
      </c>
      <c r="W24" s="117">
        <f t="shared" si="2"/>
        <v>176130.27580224245</v>
      </c>
      <c r="X24" s="117">
        <f t="shared" si="2"/>
        <v>176419.58858543789</v>
      </c>
      <c r="Y24" s="117">
        <f t="shared" si="2"/>
        <v>176599.3711108962</v>
      </c>
      <c r="Z24" s="117">
        <f t="shared" si="2"/>
        <v>176674.13647695255</v>
      </c>
      <c r="AA24" s="117">
        <f t="shared" si="2"/>
        <v>176648.1662748759</v>
      </c>
      <c r="AB24" s="117">
        <f t="shared" si="2"/>
        <v>176525.52228548075</v>
      </c>
      <c r="AC24" s="117">
        <f t="shared" si="2"/>
        <v>176296.28159184579</v>
      </c>
      <c r="AD24" s="117">
        <f t="shared" si="2"/>
        <v>175964.60313700396</v>
      </c>
      <c r="AE24" s="117">
        <f t="shared" si="2"/>
        <v>175547.89775405329</v>
      </c>
      <c r="AF24" s="117">
        <f t="shared" si="2"/>
        <v>175049.45369479145</v>
      </c>
      <c r="AG24" s="117">
        <f t="shared" si="2"/>
        <v>174472.3896816957</v>
      </c>
      <c r="AH24" s="117">
        <f t="shared" si="2"/>
        <v>173819.66350685191</v>
      </c>
      <c r="AI24" s="117">
        <f t="shared" si="2"/>
        <v>173094.08020027677</v>
      </c>
      <c r="AJ24" s="117">
        <f t="shared" si="2"/>
        <v>172298.29978897489</v>
      </c>
      <c r="AK24" s="117">
        <f t="shared" si="2"/>
        <v>171434.84466702442</v>
      </c>
      <c r="AL24" s="117">
        <f t="shared" si="2"/>
        <v>170506.10659598533</v>
      </c>
      <c r="AM24" s="117">
        <f t="shared" si="2"/>
        <v>169514.35335397843</v>
      </c>
      <c r="AN24" s="7"/>
      <c r="AO24" s="7"/>
    </row>
    <row r="25" spans="1:41" s="37" customFormat="1" ht="13">
      <c r="A25" s="29"/>
      <c r="B25" s="35"/>
      <c r="C25" s="24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 spans="1:41" s="37" customFormat="1" ht="13">
      <c r="A26" s="29" t="s">
        <v>251</v>
      </c>
      <c r="B26" s="35"/>
      <c r="C26" s="24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 spans="1:41" ht="12.25" customHeight="1">
      <c r="A27" s="37" t="s">
        <v>245</v>
      </c>
      <c r="C27" s="33" t="s">
        <v>247</v>
      </c>
      <c r="E27" s="68">
        <v>244.2</v>
      </c>
      <c r="F27" s="68"/>
      <c r="G27" s="68">
        <v>257.60000000000002</v>
      </c>
      <c r="H27" s="68"/>
      <c r="I27" s="68"/>
      <c r="J27" s="68"/>
      <c r="K27" s="68"/>
      <c r="L27" s="68"/>
      <c r="M27" s="68">
        <v>294.3</v>
      </c>
    </row>
    <row r="28" spans="1:41" ht="12.25" customHeight="1">
      <c r="C28" s="33" t="s">
        <v>246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>
        <v>355.2</v>
      </c>
    </row>
    <row r="29" spans="1:41" ht="12.25" customHeight="1">
      <c r="C29" s="33" t="s">
        <v>260</v>
      </c>
      <c r="E29" s="68"/>
      <c r="F29" s="68"/>
      <c r="G29" s="68"/>
      <c r="H29" s="68"/>
      <c r="I29" s="68"/>
      <c r="J29" s="68"/>
      <c r="K29" s="68"/>
      <c r="L29" s="68"/>
      <c r="M29" s="68">
        <v>109.2</v>
      </c>
      <c r="N29" s="68">
        <v>112.4</v>
      </c>
      <c r="O29" s="68"/>
    </row>
    <row r="30" spans="1:41" ht="12.25" customHeight="1">
      <c r="C30" s="33" t="s">
        <v>261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>
        <v>125.2</v>
      </c>
    </row>
    <row r="31" spans="1:41" ht="12.25" customHeight="1">
      <c r="C31" s="33" t="s">
        <v>262</v>
      </c>
      <c r="E31" s="68"/>
      <c r="F31" s="68"/>
      <c r="G31" s="68"/>
      <c r="H31" s="68"/>
      <c r="I31" s="68"/>
      <c r="J31" s="68"/>
      <c r="K31" s="68"/>
      <c r="L31" s="68"/>
      <c r="M31" s="49">
        <f>+O28/M27/O30*M29</f>
        <v>1.0526912292014734</v>
      </c>
      <c r="N31" s="68"/>
      <c r="O31" s="68"/>
    </row>
    <row r="32" spans="1:41" ht="12.25" customHeight="1">
      <c r="E32" s="68"/>
      <c r="F32" s="68"/>
      <c r="G32" s="68"/>
      <c r="H32" s="68"/>
      <c r="I32" s="68"/>
      <c r="J32" s="68"/>
      <c r="K32" s="68"/>
      <c r="L32" s="68"/>
      <c r="M32" s="68"/>
    </row>
    <row r="33" spans="1:39" ht="12.25" customHeight="1">
      <c r="E33" s="68"/>
      <c r="F33" s="68"/>
      <c r="G33" s="68"/>
      <c r="H33" s="68"/>
      <c r="I33" s="68"/>
      <c r="J33" s="68"/>
      <c r="K33" s="68"/>
      <c r="L33" s="68"/>
      <c r="M33" s="68"/>
      <c r="N33" s="35" t="s">
        <v>258</v>
      </c>
      <c r="O33" s="145" t="s">
        <v>259</v>
      </c>
      <c r="P33" s="145"/>
      <c r="Q33" s="145"/>
      <c r="R33" s="145"/>
      <c r="S33" s="145"/>
      <c r="T33" s="145"/>
      <c r="U33" s="145"/>
    </row>
    <row r="34" spans="1:39" ht="12.25" customHeight="1">
      <c r="A34" s="106" t="s">
        <v>257</v>
      </c>
      <c r="B34" s="91"/>
      <c r="C34" s="91" t="s">
        <v>269</v>
      </c>
      <c r="D34" s="92"/>
      <c r="E34" s="92"/>
      <c r="F34" s="93"/>
      <c r="G34" s="93"/>
      <c r="H34" s="93"/>
      <c r="I34" s="93"/>
      <c r="J34" s="93"/>
      <c r="K34" s="93"/>
      <c r="L34" s="93"/>
      <c r="M34" s="94"/>
      <c r="N34" s="108">
        <f>+N29/M29-1</f>
        <v>2.9304029304029422E-2</v>
      </c>
      <c r="O34" s="108">
        <v>9.3299999999999994E-2</v>
      </c>
      <c r="P34" s="108">
        <v>5.5500000000000001E-2</v>
      </c>
      <c r="Q34" s="108">
        <v>2.2799999999999997E-2</v>
      </c>
      <c r="R34" s="108">
        <v>1.09E-2</v>
      </c>
      <c r="S34" s="108">
        <v>2.0899999999999998E-2</v>
      </c>
      <c r="T34" s="108">
        <v>2.0899999999999998E-2</v>
      </c>
      <c r="U34" s="108">
        <v>2.0899999999999998E-2</v>
      </c>
      <c r="V34" s="108">
        <f>+U34</f>
        <v>2.0899999999999998E-2</v>
      </c>
      <c r="W34" s="108">
        <f t="shared" ref="W34:AM34" si="3">+V34</f>
        <v>2.0899999999999998E-2</v>
      </c>
      <c r="X34" s="108">
        <f t="shared" si="3"/>
        <v>2.0899999999999998E-2</v>
      </c>
      <c r="Y34" s="108">
        <f t="shared" si="3"/>
        <v>2.0899999999999998E-2</v>
      </c>
      <c r="Z34" s="108">
        <f t="shared" si="3"/>
        <v>2.0899999999999998E-2</v>
      </c>
      <c r="AA34" s="108">
        <f t="shared" si="3"/>
        <v>2.0899999999999998E-2</v>
      </c>
      <c r="AB34" s="108">
        <f t="shared" si="3"/>
        <v>2.0899999999999998E-2</v>
      </c>
      <c r="AC34" s="108">
        <f t="shared" si="3"/>
        <v>2.0899999999999998E-2</v>
      </c>
      <c r="AD34" s="108">
        <f t="shared" si="3"/>
        <v>2.0899999999999998E-2</v>
      </c>
      <c r="AE34" s="108">
        <f t="shared" si="3"/>
        <v>2.0899999999999998E-2</v>
      </c>
      <c r="AF34" s="108">
        <f t="shared" si="3"/>
        <v>2.0899999999999998E-2</v>
      </c>
      <c r="AG34" s="108">
        <f t="shared" si="3"/>
        <v>2.0899999999999998E-2</v>
      </c>
      <c r="AH34" s="108">
        <f t="shared" si="3"/>
        <v>2.0899999999999998E-2</v>
      </c>
      <c r="AI34" s="108">
        <f t="shared" si="3"/>
        <v>2.0899999999999998E-2</v>
      </c>
      <c r="AJ34" s="108">
        <f t="shared" si="3"/>
        <v>2.0899999999999998E-2</v>
      </c>
      <c r="AK34" s="108">
        <f t="shared" si="3"/>
        <v>2.0899999999999998E-2</v>
      </c>
      <c r="AL34" s="108">
        <f t="shared" si="3"/>
        <v>2.0899999999999998E-2</v>
      </c>
      <c r="AM34" s="108">
        <f t="shared" si="3"/>
        <v>2.0899999999999998E-2</v>
      </c>
    </row>
    <row r="35" spans="1:39" ht="12.25" customHeight="1">
      <c r="A35" s="37" t="s">
        <v>241</v>
      </c>
      <c r="M35" s="49">
        <v>1</v>
      </c>
      <c r="N35" s="49">
        <f>+M35+M35*N34</f>
        <v>1.0293040293040294</v>
      </c>
      <c r="O35" s="49">
        <f t="shared" ref="O35:V35" si="4">+N35+N35*O34</f>
        <v>1.1253380952380954</v>
      </c>
      <c r="P35" s="49">
        <f t="shared" si="4"/>
        <v>1.1877943595238096</v>
      </c>
      <c r="Q35" s="49">
        <f t="shared" si="4"/>
        <v>1.2148760709209525</v>
      </c>
      <c r="R35" s="49">
        <f t="shared" si="4"/>
        <v>1.2281182200939909</v>
      </c>
      <c r="S35" s="49">
        <f t="shared" si="4"/>
        <v>1.2537858908939552</v>
      </c>
      <c r="T35" s="49">
        <f t="shared" si="4"/>
        <v>1.2799900160136388</v>
      </c>
      <c r="U35" s="49">
        <f t="shared" si="4"/>
        <v>1.3067418073483239</v>
      </c>
      <c r="V35" s="49">
        <f t="shared" si="4"/>
        <v>1.3340527111219038</v>
      </c>
      <c r="W35" s="49">
        <f t="shared" ref="W35" si="5">+V35+V35*W34</f>
        <v>1.3619344127843516</v>
      </c>
      <c r="X35" s="49">
        <f t="shared" ref="X35" si="6">+W35+W35*X34</f>
        <v>1.3903988420115445</v>
      </c>
      <c r="Y35" s="49">
        <f t="shared" ref="Y35" si="7">+X35+X35*Y34</f>
        <v>1.4194581778095858</v>
      </c>
      <c r="Z35" s="49">
        <f t="shared" ref="Z35" si="8">+Y35+Y35*Z34</f>
        <v>1.4491248537258061</v>
      </c>
      <c r="AA35" s="49">
        <f t="shared" ref="AA35" si="9">+Z35+Z35*AA34</f>
        <v>1.4794115631686755</v>
      </c>
      <c r="AB35" s="49">
        <f t="shared" ref="AB35" si="10">+AA35+AA35*AB34</f>
        <v>1.5103312648389009</v>
      </c>
      <c r="AC35" s="49">
        <f t="shared" ref="AC35" si="11">+AB35+AB35*AC34</f>
        <v>1.541897188274034</v>
      </c>
      <c r="AD35" s="49">
        <f t="shared" ref="AD35" si="12">+AC35+AC35*AD34</f>
        <v>1.5741228395089613</v>
      </c>
      <c r="AE35" s="49">
        <f t="shared" ref="AE35" si="13">+AD35+AD35*AE34</f>
        <v>1.6070220068546985</v>
      </c>
      <c r="AF35" s="49">
        <f t="shared" ref="AF35" si="14">+AE35+AE35*AF34</f>
        <v>1.6406087667979616</v>
      </c>
      <c r="AG35" s="49">
        <f t="shared" ref="AG35" si="15">+AF35+AF35*AG34</f>
        <v>1.674897490024039</v>
      </c>
      <c r="AH35" s="49">
        <f t="shared" ref="AH35" si="16">+AG35+AG35*AH34</f>
        <v>1.7099028475655413</v>
      </c>
      <c r="AI35" s="49">
        <f t="shared" ref="AI35" si="17">+AH35+AH35*AI34</f>
        <v>1.7456398170796612</v>
      </c>
      <c r="AJ35" s="49">
        <f t="shared" ref="AJ35" si="18">+AI35+AI35*AJ34</f>
        <v>1.7821236892566261</v>
      </c>
      <c r="AK35" s="49">
        <f t="shared" ref="AK35" si="19">+AJ35+AJ35*AK34</f>
        <v>1.8193700743620895</v>
      </c>
      <c r="AL35" s="49">
        <f t="shared" ref="AL35" si="20">+AK35+AK35*AL34</f>
        <v>1.8573949089162571</v>
      </c>
      <c r="AM35" s="49">
        <f t="shared" ref="AM35" si="21">+AL35+AL35*AM34</f>
        <v>1.8962144625126069</v>
      </c>
    </row>
    <row r="37" spans="1:39" ht="12.25" customHeight="1">
      <c r="A37" s="30" t="s">
        <v>295</v>
      </c>
    </row>
    <row r="39" spans="1:39" ht="12.25" customHeight="1">
      <c r="A39" s="37" t="s">
        <v>150</v>
      </c>
      <c r="D39" s="45">
        <f>388965.431017349</f>
        <v>388965.43101734901</v>
      </c>
      <c r="E39" s="33"/>
    </row>
    <row r="40" spans="1:39" ht="12.25" customHeight="1">
      <c r="E40" s="45"/>
    </row>
    <row r="41" spans="1:39" ht="13">
      <c r="A41" s="17" t="s">
        <v>61</v>
      </c>
      <c r="C41" s="27"/>
      <c r="G41" s="70"/>
      <c r="M41" s="70"/>
      <c r="O41" s="35" t="s">
        <v>173</v>
      </c>
      <c r="P41" s="35" t="s">
        <v>269</v>
      </c>
      <c r="Q41" s="113"/>
      <c r="R41" s="113"/>
    </row>
    <row r="42" spans="1:39" ht="12.25" customHeight="1">
      <c r="A42" s="17" t="s">
        <v>3</v>
      </c>
      <c r="C42" s="6" t="s">
        <v>237</v>
      </c>
      <c r="F42" s="71"/>
      <c r="G42" s="16"/>
      <c r="M42" s="16">
        <f>+'DAV Pi'!O32</f>
        <v>449675.5131887836</v>
      </c>
      <c r="O42" s="35">
        <f>+M42</f>
        <v>449675.5131887836</v>
      </c>
      <c r="P42" s="35">
        <f>+O42*M$31</f>
        <v>473369.46872050397</v>
      </c>
    </row>
    <row r="43" spans="1:39" ht="12.25" customHeight="1">
      <c r="A43" s="17" t="s">
        <v>4</v>
      </c>
      <c r="C43" s="6" t="s">
        <v>233</v>
      </c>
      <c r="G43" s="16">
        <v>201430.27563492826</v>
      </c>
      <c r="M43" s="16">
        <f t="shared" ref="M43:M47" si="22">+G43/G$27*M$27</f>
        <v>230127.83431428333</v>
      </c>
      <c r="O43" s="35">
        <f>+M43+M45+SUM(M46:M55)</f>
        <v>189669.89881222535</v>
      </c>
      <c r="P43" s="35">
        <f t="shared" ref="P43:P44" si="23">+O43*M$31</f>
        <v>199663.8389231606</v>
      </c>
      <c r="T43" s="71"/>
    </row>
    <row r="44" spans="1:39" ht="12.25" customHeight="1">
      <c r="A44" s="17" t="s">
        <v>29</v>
      </c>
      <c r="C44" s="6"/>
      <c r="G44" s="16"/>
      <c r="M44" s="16"/>
      <c r="O44" s="35">
        <f>+O63+O66</f>
        <v>-10494.871711133601</v>
      </c>
      <c r="P44" s="35">
        <f t="shared" si="23"/>
        <v>-11047.859401905002</v>
      </c>
    </row>
    <row r="45" spans="1:39" ht="12.25" customHeight="1">
      <c r="A45" s="17" t="s">
        <v>62</v>
      </c>
      <c r="C45" s="6" t="s">
        <v>232</v>
      </c>
      <c r="G45" s="16">
        <v>-36063</v>
      </c>
      <c r="H45" s="73"/>
      <c r="M45" s="16">
        <f t="shared" si="22"/>
        <v>-41200.857531055903</v>
      </c>
    </row>
    <row r="46" spans="1:39" ht="12.25" customHeight="1">
      <c r="A46" s="17" t="s">
        <v>242</v>
      </c>
      <c r="C46" s="6" t="s">
        <v>238</v>
      </c>
      <c r="G46" s="16">
        <f>733.22-599</f>
        <v>134.22000000000003</v>
      </c>
      <c r="H46" s="73"/>
      <c r="M46" s="16">
        <f t="shared" si="22"/>
        <v>153.34218167701866</v>
      </c>
    </row>
    <row r="47" spans="1:39" ht="12.25" customHeight="1">
      <c r="A47" s="17" t="s">
        <v>243</v>
      </c>
      <c r="C47" s="6" t="s">
        <v>238</v>
      </c>
      <c r="G47" s="16">
        <v>594.05899999999997</v>
      </c>
      <c r="H47" s="73"/>
      <c r="M47" s="16">
        <f t="shared" si="22"/>
        <v>678.69395846273289</v>
      </c>
    </row>
    <row r="48" spans="1:39" ht="12.25" customHeight="1">
      <c r="A48" s="17" t="s">
        <v>236</v>
      </c>
      <c r="C48" s="6" t="s">
        <v>234</v>
      </c>
      <c r="G48" s="16">
        <f>+M48/M27*G27</f>
        <v>97317.091657729747</v>
      </c>
      <c r="H48" s="73"/>
      <c r="M48" s="16">
        <f>SUM('Retro DAV'!J28:O28)</f>
        <v>111181.75494902897</v>
      </c>
    </row>
    <row r="49" spans="1:41" ht="12.25" customHeight="1">
      <c r="A49" s="17" t="s">
        <v>231</v>
      </c>
      <c r="C49" s="6" t="s">
        <v>233</v>
      </c>
      <c r="G49" s="16">
        <v>-97590.978000000003</v>
      </c>
      <c r="H49" s="73"/>
      <c r="M49" s="16">
        <f>+G49/G$27*M$27</f>
        <v>-111494.66158928571</v>
      </c>
    </row>
    <row r="50" spans="1:41" ht="12.25" customHeight="1">
      <c r="A50" s="17" t="s">
        <v>228</v>
      </c>
      <c r="C50" s="6"/>
      <c r="G50" s="16">
        <v>248.398</v>
      </c>
      <c r="H50" s="73"/>
      <c r="M50" s="16">
        <f t="shared" ref="M50:M55" si="24">+G50/G$27*M$27</f>
        <v>283.78700077639746</v>
      </c>
    </row>
    <row r="51" spans="1:41" ht="12.25" customHeight="1">
      <c r="A51" s="17" t="s">
        <v>227</v>
      </c>
      <c r="C51" s="6" t="s">
        <v>238</v>
      </c>
      <c r="G51" s="16">
        <f>-414.451+269.488</f>
        <v>-144.96300000000002</v>
      </c>
      <c r="H51" s="73"/>
      <c r="M51" s="16">
        <f t="shared" si="24"/>
        <v>-165.61572554347828</v>
      </c>
    </row>
    <row r="52" spans="1:41" ht="12.25" customHeight="1">
      <c r="A52" s="17" t="s">
        <v>224</v>
      </c>
      <c r="C52" s="6" t="s">
        <v>235</v>
      </c>
      <c r="G52" s="16">
        <v>-190</v>
      </c>
      <c r="H52" s="73"/>
      <c r="M52" s="16">
        <f t="shared" si="24"/>
        <v>-217.06909937888199</v>
      </c>
    </row>
    <row r="53" spans="1:41" ht="12.25" customHeight="1">
      <c r="A53" s="17" t="s">
        <v>229</v>
      </c>
      <c r="C53" s="6" t="s">
        <v>238</v>
      </c>
      <c r="G53" s="16">
        <v>70.554000000000002</v>
      </c>
      <c r="H53" s="73"/>
      <c r="M53" s="16">
        <f t="shared" si="24"/>
        <v>80.605753881987567</v>
      </c>
    </row>
    <row r="54" spans="1:41" ht="12.25" customHeight="1">
      <c r="A54" s="17" t="s">
        <v>225</v>
      </c>
      <c r="C54" s="6" t="s">
        <v>238</v>
      </c>
      <c r="G54" s="16">
        <v>296.75700000000001</v>
      </c>
      <c r="H54" s="73"/>
      <c r="M54" s="16">
        <f t="shared" si="24"/>
        <v>339.0356564440994</v>
      </c>
    </row>
    <row r="55" spans="1:41" ht="12.25" customHeight="1">
      <c r="A55" s="17" t="s">
        <v>226</v>
      </c>
      <c r="C55" s="6" t="s">
        <v>238</v>
      </c>
      <c r="G55" s="16">
        <v>-84.861000000000004</v>
      </c>
      <c r="H55" s="73"/>
      <c r="M55" s="16">
        <f t="shared" si="24"/>
        <v>-96.951057065217398</v>
      </c>
    </row>
    <row r="56" spans="1:41" ht="12.25" customHeight="1">
      <c r="A56" s="17" t="s">
        <v>0</v>
      </c>
      <c r="C56" s="6"/>
      <c r="G56" s="16"/>
      <c r="M56" s="16"/>
      <c r="O56" s="52">
        <f>SUM(O42:O45)</f>
        <v>628850.54028987535</v>
      </c>
      <c r="P56" s="52">
        <f>SUM(P42:P45)</f>
        <v>661985.44824175956</v>
      </c>
    </row>
    <row r="57" spans="1:41" ht="12.25" customHeight="1">
      <c r="D57" s="71"/>
      <c r="E57" s="71"/>
    </row>
    <row r="58" spans="1:41" ht="12.25" customHeight="1">
      <c r="A58" s="89" t="s">
        <v>29</v>
      </c>
      <c r="C58" s="7"/>
      <c r="D58" s="8"/>
      <c r="E58" s="8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7"/>
      <c r="AO58" s="7"/>
    </row>
    <row r="59" spans="1:41" ht="12.25" customHeight="1">
      <c r="A59" s="37" t="s">
        <v>12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O59" s="35">
        <v>18445.946307875041</v>
      </c>
      <c r="P59" s="35">
        <f t="shared" ref="P59:AM59" si="25">+P9</f>
        <v>18253.842427303724</v>
      </c>
      <c r="Q59" s="35">
        <f t="shared" si="25"/>
        <v>18234.059105632725</v>
      </c>
      <c r="R59" s="35">
        <f t="shared" si="25"/>
        <v>18322.343341779688</v>
      </c>
      <c r="S59" s="35">
        <f t="shared" si="25"/>
        <v>18497.222701526909</v>
      </c>
      <c r="T59" s="35">
        <f t="shared" si="25"/>
        <v>18273.855550493023</v>
      </c>
      <c r="U59" s="35">
        <f t="shared" si="25"/>
        <v>18377.695143525998</v>
      </c>
      <c r="V59" s="35">
        <f t="shared" si="25"/>
        <v>18236.499986357583</v>
      </c>
      <c r="W59" s="35">
        <f t="shared" si="25"/>
        <v>18409.458375746126</v>
      </c>
      <c r="X59" s="35">
        <f t="shared" si="25"/>
        <v>18578.165899121712</v>
      </c>
      <c r="Y59" s="35">
        <f t="shared" si="25"/>
        <v>18742.858431178596</v>
      </c>
      <c r="Z59" s="35">
        <f t="shared" si="25"/>
        <v>18903.757418742356</v>
      </c>
      <c r="AA59" s="35">
        <f t="shared" si="25"/>
        <v>19061.07088467076</v>
      </c>
      <c r="AB59" s="35">
        <f t="shared" si="25"/>
        <v>19214.994351647409</v>
      </c>
      <c r="AC59" s="35">
        <f t="shared" si="25"/>
        <v>19361.774213184843</v>
      </c>
      <c r="AD59" s="35">
        <f t="shared" si="25"/>
        <v>19505.533682758007</v>
      </c>
      <c r="AE59" s="35">
        <f t="shared" si="25"/>
        <v>19646.434671587689</v>
      </c>
      <c r="AF59" s="35">
        <f t="shared" si="25"/>
        <v>19784.629682898758</v>
      </c>
      <c r="AG59" s="35">
        <f t="shared" si="25"/>
        <v>19920.262425571731</v>
      </c>
      <c r="AH59" s="35">
        <f t="shared" si="25"/>
        <v>20053.468381908089</v>
      </c>
      <c r="AI59" s="35">
        <f t="shared" si="25"/>
        <v>20184.375333419535</v>
      </c>
      <c r="AJ59" s="35">
        <f t="shared" si="25"/>
        <v>20313.103848182669</v>
      </c>
      <c r="AK59" s="35">
        <f t="shared" si="25"/>
        <v>20439.76773296823</v>
      </c>
      <c r="AL59" s="35">
        <f t="shared" si="25"/>
        <v>20564.474453055409</v>
      </c>
      <c r="AM59" s="35">
        <f t="shared" si="25"/>
        <v>20687.325522373216</v>
      </c>
      <c r="AN59" s="7"/>
      <c r="AO59" s="7"/>
    </row>
    <row r="60" spans="1:41" ht="12.25" customHeight="1">
      <c r="A60" s="37" t="s">
        <v>7</v>
      </c>
      <c r="M60" s="8"/>
      <c r="O60" s="35">
        <v>17271.372398649572</v>
      </c>
      <c r="P60" s="35">
        <f t="shared" ref="P60:AM60" si="26">+P17</f>
        <v>18841.588521165329</v>
      </c>
      <c r="Q60" s="35">
        <f t="shared" si="26"/>
        <v>17815.584186577154</v>
      </c>
      <c r="R60" s="35">
        <f t="shared" si="26"/>
        <v>17986.265501800743</v>
      </c>
      <c r="S60" s="35">
        <f t="shared" si="26"/>
        <v>17013.545848919399</v>
      </c>
      <c r="T60" s="35">
        <f t="shared" si="26"/>
        <v>13466.328875561347</v>
      </c>
      <c r="U60" s="35">
        <f t="shared" si="26"/>
        <v>13292.888172939358</v>
      </c>
      <c r="V60" s="35">
        <f t="shared" si="26"/>
        <v>11246.467532097255</v>
      </c>
      <c r="W60" s="35">
        <f t="shared" si="26"/>
        <v>11073.195254540793</v>
      </c>
      <c r="X60" s="35">
        <f t="shared" si="26"/>
        <v>11530.539122140994</v>
      </c>
      <c r="Y60" s="35">
        <f t="shared" si="26"/>
        <v>11581.834689936286</v>
      </c>
      <c r="Z60" s="35">
        <f t="shared" si="26"/>
        <v>11823.433969234164</v>
      </c>
      <c r="AA60" s="35">
        <f t="shared" si="26"/>
        <v>11339.732696378311</v>
      </c>
      <c r="AB60" s="35">
        <f t="shared" si="26"/>
        <v>11094.965267488427</v>
      </c>
      <c r="AC60" s="35">
        <f t="shared" si="26"/>
        <v>10623.505202906425</v>
      </c>
      <c r="AD60" s="35">
        <f t="shared" si="26"/>
        <v>10981.214429534157</v>
      </c>
      <c r="AE60" s="35">
        <f t="shared" si="26"/>
        <v>11697.104494896579</v>
      </c>
      <c r="AF60" s="35">
        <f t="shared" si="26"/>
        <v>11705.032919057145</v>
      </c>
      <c r="AG60" s="35">
        <f t="shared" si="26"/>
        <v>10279.644365439472</v>
      </c>
      <c r="AH60" s="35">
        <f t="shared" si="26"/>
        <v>11655.259145045076</v>
      </c>
      <c r="AI60" s="35">
        <f t="shared" si="26"/>
        <v>11423.416573379041</v>
      </c>
      <c r="AJ60" s="35">
        <f t="shared" si="26"/>
        <v>10879.023155789109</v>
      </c>
      <c r="AK60" s="35">
        <f t="shared" si="26"/>
        <v>10995.532942575539</v>
      </c>
      <c r="AL60" s="35">
        <f t="shared" si="26"/>
        <v>11223.735680772194</v>
      </c>
      <c r="AM60" s="35">
        <f t="shared" si="26"/>
        <v>10605.439921057774</v>
      </c>
      <c r="AN60" s="7"/>
      <c r="AO60" s="7"/>
    </row>
    <row r="61" spans="1:41" ht="12.25" customHeight="1">
      <c r="A61" s="37" t="s">
        <v>66</v>
      </c>
      <c r="M61" s="8"/>
      <c r="O61" s="35">
        <v>67548.000705748491</v>
      </c>
      <c r="P61" s="35">
        <f>+'Pi''s Calc'!P21</f>
        <v>67044.70991114447</v>
      </c>
      <c r="Q61" s="35">
        <f>+'Pi''s Calc'!Q21</f>
        <v>70097.006664968838</v>
      </c>
      <c r="R61" s="35">
        <f>+'Pi''s Calc'!R21</f>
        <v>73398.085256368504</v>
      </c>
      <c r="S61" s="35">
        <f>+'Pi''s Calc'!S21</f>
        <v>75376.413924226159</v>
      </c>
      <c r="T61" s="35">
        <f>+'Pi''s Calc'!T21</f>
        <v>76626.243086874121</v>
      </c>
      <c r="U61" s="35">
        <f>+'Pi''s Calc'!U21</f>
        <v>77853.414388403078</v>
      </c>
      <c r="V61" s="35">
        <f>+'Pi''s Calc'!V21</f>
        <v>78175.227865961773</v>
      </c>
      <c r="W61" s="35">
        <f>+'Pi''s Calc'!W21</f>
        <v>78439.734437115752</v>
      </c>
      <c r="X61" s="35">
        <f>+'Pi''s Calc'!X21</f>
        <v>78649.050725149777</v>
      </c>
      <c r="Y61" s="35">
        <f>+'Pi''s Calc'!Y21</f>
        <v>78805.483766047444</v>
      </c>
      <c r="Z61" s="35">
        <f>+'Pi''s Calc'!Z21</f>
        <v>78911.222347605144</v>
      </c>
      <c r="AA61" s="35">
        <f>+'Pi''s Calc'!AA21</f>
        <v>78968.342980021131</v>
      </c>
      <c r="AB61" s="35">
        <f>+'Pi''s Calc'!AB21</f>
        <v>78978.815568584032</v>
      </c>
      <c r="AC61" s="35">
        <f>+'Pi''s Calc'!AC21</f>
        <v>78937.827641273674</v>
      </c>
      <c r="AD61" s="35">
        <f>+'Pi''s Calc'!AD21</f>
        <v>78847.396225657489</v>
      </c>
      <c r="AE61" s="35">
        <f>+'Pi''s Calc'!AE21</f>
        <v>78715.96532542877</v>
      </c>
      <c r="AF61" s="35">
        <f>+'Pi''s Calc'!AF21</f>
        <v>78545.129695425916</v>
      </c>
      <c r="AG61" s="35">
        <f>+'Pi''s Calc'!AG21</f>
        <v>78336.401871204696</v>
      </c>
      <c r="AH61" s="35">
        <f>+'Pi''s Calc'!AH21</f>
        <v>78091.216339395163</v>
      </c>
      <c r="AI61" s="35">
        <f>+'Pi''s Calc'!AI21</f>
        <v>77810.933499220453</v>
      </c>
      <c r="AJ61" s="35">
        <f>+'Pi''s Calc'!AJ21</f>
        <v>77496.843425527943</v>
      </c>
      <c r="AK61" s="35">
        <f>+'Pi''s Calc'!AK21</f>
        <v>77150.169443174673</v>
      </c>
      <c r="AL61" s="35">
        <f>+'Pi''s Calc'!AL21</f>
        <v>76772.071522124941</v>
      </c>
      <c r="AM61" s="35">
        <f>+'Pi''s Calc'!AM21</f>
        <v>76363.649502157758</v>
      </c>
      <c r="AN61" s="7"/>
      <c r="AO61" s="7"/>
    </row>
    <row r="62" spans="1:41" ht="12.25" customHeight="1">
      <c r="A62" s="59"/>
      <c r="B62" s="7"/>
      <c r="M62" s="72"/>
      <c r="N62" s="72"/>
      <c r="AN62" s="7"/>
      <c r="AO62" s="7"/>
    </row>
    <row r="63" spans="1:41" ht="12.25" customHeight="1">
      <c r="A63" s="58" t="s">
        <v>166</v>
      </c>
      <c r="B63" s="7"/>
      <c r="C63" s="33" t="s">
        <v>173</v>
      </c>
      <c r="M63" s="72"/>
      <c r="N63" s="72"/>
      <c r="O63" s="35">
        <f>-5365.69038172243</f>
        <v>-5365.6903817224302</v>
      </c>
      <c r="AN63" s="7"/>
      <c r="AO63" s="7"/>
    </row>
    <row r="64" spans="1:41" ht="12.25" customHeight="1">
      <c r="A64" s="58" t="s">
        <v>166</v>
      </c>
      <c r="B64" s="7"/>
      <c r="C64" s="33" t="s">
        <v>269</v>
      </c>
      <c r="M64" s="72"/>
      <c r="N64" s="72"/>
      <c r="O64" s="35">
        <f>+O63*M31</f>
        <v>-5648.4152034499084</v>
      </c>
      <c r="P64" s="35">
        <f t="shared" ref="P64:AM64" si="27">O64-(P59-O59)*12%+(P61-O61)*15%</f>
        <v>-5700.8563569719536</v>
      </c>
      <c r="Q64" s="35">
        <f t="shared" si="27"/>
        <v>-5240.6378452977779</v>
      </c>
      <c r="R64" s="35">
        <f t="shared" si="27"/>
        <v>-4756.0701649254634</v>
      </c>
      <c r="S64" s="35">
        <f t="shared" si="27"/>
        <v>-4480.306387916482</v>
      </c>
      <c r="T64" s="35">
        <f t="shared" si="27"/>
        <v>-4266.0279553952214</v>
      </c>
      <c r="U64" s="35">
        <f t="shared" si="27"/>
        <v>-4094.4130113298347</v>
      </c>
      <c r="V64" s="35">
        <f t="shared" si="27"/>
        <v>-4029.1975708358204</v>
      </c>
      <c r="W64" s="35">
        <f t="shared" si="27"/>
        <v>-4010.2765918893488</v>
      </c>
      <c r="X64" s="35">
        <f t="shared" si="27"/>
        <v>-3999.1240514893157</v>
      </c>
      <c r="Y64" s="35">
        <f t="shared" si="27"/>
        <v>-3995.4221992014918</v>
      </c>
      <c r="Z64" s="35">
        <f t="shared" si="27"/>
        <v>-3998.869290475488</v>
      </c>
      <c r="AA64" s="35">
        <f t="shared" si="27"/>
        <v>-4009.1788115244985</v>
      </c>
      <c r="AB64" s="35">
        <f t="shared" si="27"/>
        <v>-4026.0787392772613</v>
      </c>
      <c r="AC64" s="35">
        <f t="shared" si="27"/>
        <v>-4049.840511758307</v>
      </c>
      <c r="AD64" s="35">
        <f t="shared" si="27"/>
        <v>-4080.6563604495145</v>
      </c>
      <c r="AE64" s="35">
        <f t="shared" si="27"/>
        <v>-4117.2791141433845</v>
      </c>
      <c r="AF64" s="35">
        <f t="shared" si="27"/>
        <v>-4159.4878600011407</v>
      </c>
      <c r="AG64" s="35">
        <f t="shared" si="27"/>
        <v>-4207.07296275508</v>
      </c>
      <c r="AH64" s="35">
        <f t="shared" si="27"/>
        <v>-4259.8355072868735</v>
      </c>
      <c r="AI64" s="35">
        <f t="shared" si="27"/>
        <v>-4317.5867674944529</v>
      </c>
      <c r="AJ64" s="35">
        <f t="shared" si="27"/>
        <v>-4380.1477003199052</v>
      </c>
      <c r="AK64" s="35">
        <f t="shared" si="27"/>
        <v>-4447.3484638471627</v>
      </c>
      <c r="AL64" s="35">
        <f t="shared" si="27"/>
        <v>-4519.027958415084</v>
      </c>
      <c r="AM64" s="35">
        <f t="shared" si="27"/>
        <v>-4595.0333897282981</v>
      </c>
      <c r="AN64" s="7"/>
      <c r="AO64" s="7"/>
    </row>
    <row r="65" spans="1:41" ht="12.25" customHeight="1">
      <c r="A65" s="58" t="s">
        <v>167</v>
      </c>
      <c r="B65" s="7"/>
      <c r="M65" s="72"/>
      <c r="N65" s="72"/>
      <c r="P65" s="35">
        <f>-P64+O64</f>
        <v>52.44115352204517</v>
      </c>
      <c r="Q65" s="35">
        <f t="shared" ref="Q65:AM65" si="28">-Q64+P64</f>
        <v>-460.21851167417572</v>
      </c>
      <c r="R65" s="35">
        <f t="shared" si="28"/>
        <v>-484.5676803723145</v>
      </c>
      <c r="S65" s="35">
        <f t="shared" si="28"/>
        <v>-275.76377700898138</v>
      </c>
      <c r="T65" s="35">
        <f t="shared" si="28"/>
        <v>-214.27843252126058</v>
      </c>
      <c r="U65" s="35">
        <f>-U64+T64</f>
        <v>-171.61494406538668</v>
      </c>
      <c r="V65" s="35">
        <f>-V64+U64</f>
        <v>-65.215440494014274</v>
      </c>
      <c r="W65" s="35">
        <f t="shared" si="28"/>
        <v>-18.920978946471678</v>
      </c>
      <c r="X65" s="35">
        <f t="shared" si="28"/>
        <v>-11.152540400033104</v>
      </c>
      <c r="Y65" s="35">
        <f t="shared" si="28"/>
        <v>-3.70185228782384</v>
      </c>
      <c r="Z65" s="35">
        <f t="shared" si="28"/>
        <v>3.4470912739961932</v>
      </c>
      <c r="AA65" s="35">
        <f t="shared" si="28"/>
        <v>10.309521049010527</v>
      </c>
      <c r="AB65" s="35">
        <f t="shared" si="28"/>
        <v>16.899927752762778</v>
      </c>
      <c r="AC65" s="35">
        <f t="shared" si="28"/>
        <v>23.761772481045682</v>
      </c>
      <c r="AD65" s="35">
        <f t="shared" si="28"/>
        <v>30.81584869120752</v>
      </c>
      <c r="AE65" s="35">
        <f t="shared" si="28"/>
        <v>36.622753693869981</v>
      </c>
      <c r="AF65" s="35">
        <f t="shared" si="28"/>
        <v>42.208745857756185</v>
      </c>
      <c r="AG65" s="35">
        <f t="shared" si="28"/>
        <v>47.585102753939282</v>
      </c>
      <c r="AH65" s="35">
        <f t="shared" si="28"/>
        <v>52.762544531793537</v>
      </c>
      <c r="AI65" s="35">
        <f t="shared" si="28"/>
        <v>57.751260207579435</v>
      </c>
      <c r="AJ65" s="35">
        <f t="shared" si="28"/>
        <v>62.560932825452255</v>
      </c>
      <c r="AK65" s="35">
        <f t="shared" si="28"/>
        <v>67.20076352725755</v>
      </c>
      <c r="AL65" s="35">
        <f t="shared" si="28"/>
        <v>71.679494567921211</v>
      </c>
      <c r="AM65" s="35">
        <f t="shared" si="28"/>
        <v>76.005431313214103</v>
      </c>
      <c r="AN65" s="7"/>
      <c r="AO65" s="7"/>
    </row>
    <row r="66" spans="1:41" ht="12.25" customHeight="1">
      <c r="A66" s="58" t="s">
        <v>168</v>
      </c>
      <c r="B66" s="7"/>
      <c r="C66" s="33" t="s">
        <v>173</v>
      </c>
      <c r="M66" s="72"/>
      <c r="N66" s="72"/>
      <c r="O66" s="35">
        <f>-5129.18132941117</f>
        <v>-5129.1813294111698</v>
      </c>
      <c r="AN66" s="7"/>
      <c r="AO66" s="7"/>
    </row>
    <row r="67" spans="1:41" ht="12.25" customHeight="1">
      <c r="A67" s="58" t="s">
        <v>168</v>
      </c>
      <c r="B67" s="7"/>
      <c r="C67" s="33" t="s">
        <v>269</v>
      </c>
      <c r="M67" s="72"/>
      <c r="N67" s="72"/>
      <c r="O67" s="35">
        <f>+O66*M31</f>
        <v>-5399.4441984550922</v>
      </c>
      <c r="P67" s="35">
        <f t="shared" ref="P67:AM67" si="29">O67-(P60-O60)*1/6</f>
        <v>-5661.1468855410521</v>
      </c>
      <c r="Q67" s="35">
        <f t="shared" si="29"/>
        <v>-5490.14616310969</v>
      </c>
      <c r="R67" s="35">
        <f t="shared" si="29"/>
        <v>-5518.5930489802877</v>
      </c>
      <c r="S67" s="35">
        <f t="shared" si="29"/>
        <v>-5356.4731068333967</v>
      </c>
      <c r="T67" s="35">
        <f t="shared" si="29"/>
        <v>-4765.270277940388</v>
      </c>
      <c r="U67" s="35">
        <f t="shared" si="29"/>
        <v>-4736.3634941700566</v>
      </c>
      <c r="V67" s="35">
        <f t="shared" si="29"/>
        <v>-4395.2933873630391</v>
      </c>
      <c r="W67" s="35">
        <f t="shared" si="29"/>
        <v>-4366.4146744369618</v>
      </c>
      <c r="X67" s="35">
        <f t="shared" si="29"/>
        <v>-4442.6386523703286</v>
      </c>
      <c r="Y67" s="35">
        <f t="shared" si="29"/>
        <v>-4451.1879136695443</v>
      </c>
      <c r="Z67" s="35">
        <f t="shared" si="29"/>
        <v>-4491.4544602191909</v>
      </c>
      <c r="AA67" s="35">
        <f t="shared" si="29"/>
        <v>-4410.8375814098818</v>
      </c>
      <c r="AB67" s="35">
        <f t="shared" si="29"/>
        <v>-4370.0430099282348</v>
      </c>
      <c r="AC67" s="35">
        <f t="shared" si="29"/>
        <v>-4291.466332497901</v>
      </c>
      <c r="AD67" s="35">
        <f t="shared" si="29"/>
        <v>-4351.0845369358567</v>
      </c>
      <c r="AE67" s="35">
        <f t="shared" si="29"/>
        <v>-4470.3995478295938</v>
      </c>
      <c r="AF67" s="35">
        <f t="shared" si="29"/>
        <v>-4471.720951856355</v>
      </c>
      <c r="AG67" s="35">
        <f t="shared" si="29"/>
        <v>-4234.1561929200761</v>
      </c>
      <c r="AH67" s="35">
        <f t="shared" si="29"/>
        <v>-4463.4253228543439</v>
      </c>
      <c r="AI67" s="35">
        <f t="shared" si="29"/>
        <v>-4424.7848942433384</v>
      </c>
      <c r="AJ67" s="35">
        <f t="shared" si="29"/>
        <v>-4334.05265797835</v>
      </c>
      <c r="AK67" s="35">
        <f t="shared" si="29"/>
        <v>-4353.470955776088</v>
      </c>
      <c r="AL67" s="35">
        <f t="shared" si="29"/>
        <v>-4391.5047454755304</v>
      </c>
      <c r="AM67" s="35">
        <f t="shared" si="29"/>
        <v>-4288.4554521897935</v>
      </c>
      <c r="AN67" s="7"/>
      <c r="AO67" s="7"/>
    </row>
    <row r="68" spans="1:41" ht="12.25" customHeight="1">
      <c r="A68" s="58" t="s">
        <v>169</v>
      </c>
      <c r="B68" s="7"/>
      <c r="M68" s="8"/>
      <c r="N68" s="8"/>
      <c r="P68" s="35">
        <f t="shared" ref="P68:AM68" si="30">-P67+O67</f>
        <v>261.70268708595995</v>
      </c>
      <c r="Q68" s="35">
        <f t="shared" si="30"/>
        <v>-171.00072243136219</v>
      </c>
      <c r="R68" s="35">
        <f t="shared" si="30"/>
        <v>28.446885870597725</v>
      </c>
      <c r="S68" s="35">
        <f t="shared" si="30"/>
        <v>-162.11994214689093</v>
      </c>
      <c r="T68" s="35">
        <f t="shared" si="30"/>
        <v>-591.2028288930087</v>
      </c>
      <c r="U68" s="35">
        <f t="shared" si="30"/>
        <v>-28.906783770331458</v>
      </c>
      <c r="V68" s="35">
        <f t="shared" si="30"/>
        <v>-341.07010680701751</v>
      </c>
      <c r="W68" s="35">
        <f t="shared" si="30"/>
        <v>-28.878712926077242</v>
      </c>
      <c r="X68" s="35">
        <f t="shared" si="30"/>
        <v>76.223977933366768</v>
      </c>
      <c r="Y68" s="35">
        <f t="shared" si="30"/>
        <v>8.5492612992156864</v>
      </c>
      <c r="Z68" s="35">
        <f t="shared" si="30"/>
        <v>40.266546549646591</v>
      </c>
      <c r="AA68" s="35">
        <f t="shared" si="30"/>
        <v>-80.616878809309128</v>
      </c>
      <c r="AB68" s="35">
        <f t="shared" si="30"/>
        <v>-40.794571481646926</v>
      </c>
      <c r="AC68" s="35">
        <f t="shared" si="30"/>
        <v>-78.576677430333802</v>
      </c>
      <c r="AD68" s="35">
        <f t="shared" si="30"/>
        <v>59.618204437955683</v>
      </c>
      <c r="AE68" s="35">
        <f t="shared" si="30"/>
        <v>119.31501089373705</v>
      </c>
      <c r="AF68" s="35">
        <f t="shared" si="30"/>
        <v>1.321404026761229</v>
      </c>
      <c r="AG68" s="35">
        <f t="shared" si="30"/>
        <v>-237.56475893627885</v>
      </c>
      <c r="AH68" s="35">
        <f t="shared" si="30"/>
        <v>229.26912993426777</v>
      </c>
      <c r="AI68" s="35">
        <f t="shared" si="30"/>
        <v>-38.640428611005518</v>
      </c>
      <c r="AJ68" s="35">
        <f t="shared" si="30"/>
        <v>-90.732236264988387</v>
      </c>
      <c r="AK68" s="35">
        <f t="shared" si="30"/>
        <v>19.418297797737978</v>
      </c>
      <c r="AL68" s="35">
        <f t="shared" si="30"/>
        <v>38.033789699442423</v>
      </c>
      <c r="AM68" s="35">
        <f t="shared" si="30"/>
        <v>-103.04929328573689</v>
      </c>
      <c r="AN68" s="7"/>
      <c r="AO68" s="7"/>
    </row>
    <row r="69" spans="1:41" ht="12.25" customHeight="1">
      <c r="A69" s="90"/>
      <c r="B69" s="7"/>
      <c r="AN69" s="7"/>
      <c r="AO69" s="7"/>
    </row>
    <row r="70" spans="1:41" ht="12.25" customHeight="1">
      <c r="A70" s="30" t="s">
        <v>114</v>
      </c>
      <c r="B70" s="37"/>
      <c r="N70" s="71"/>
      <c r="O70" s="71"/>
      <c r="P70" s="71"/>
      <c r="Q70" s="71"/>
      <c r="R70" s="71"/>
      <c r="S70" s="71"/>
      <c r="T70" s="71"/>
      <c r="U70" s="71"/>
    </row>
    <row r="71" spans="1:41" ht="12.25" customHeight="1">
      <c r="A71" s="30"/>
      <c r="B71" s="37"/>
      <c r="N71" s="71"/>
      <c r="O71" s="71"/>
      <c r="P71" s="71"/>
      <c r="Q71" s="71"/>
      <c r="R71" s="71"/>
      <c r="S71" s="71"/>
      <c r="T71" s="71"/>
      <c r="U71" s="71"/>
    </row>
    <row r="72" spans="1:41" ht="12.25" customHeight="1">
      <c r="A72" s="37" t="s">
        <v>115</v>
      </c>
      <c r="N72" s="71">
        <v>27354.977999999999</v>
      </c>
    </row>
    <row r="73" spans="1:41" ht="12.25" customHeight="1">
      <c r="A73" s="37" t="s">
        <v>201</v>
      </c>
      <c r="N73" s="12">
        <v>0.28838536203211157</v>
      </c>
    </row>
    <row r="74" spans="1:41" ht="12.25" customHeight="1">
      <c r="A74" s="37" t="s">
        <v>202</v>
      </c>
      <c r="N74" s="12">
        <v>0.71161463796788849</v>
      </c>
    </row>
    <row r="75" spans="1:41" ht="12.25" customHeight="1">
      <c r="A75" s="37" t="s">
        <v>207</v>
      </c>
      <c r="N75" s="35">
        <v>0</v>
      </c>
    </row>
    <row r="76" spans="1:41" ht="12.25" customHeight="1">
      <c r="A76" s="37" t="s">
        <v>208</v>
      </c>
      <c r="N76" s="35">
        <v>0</v>
      </c>
    </row>
    <row r="77" spans="1:41" ht="12.25" customHeight="1">
      <c r="A77" s="37" t="s">
        <v>209</v>
      </c>
      <c r="N77" s="88">
        <v>0.18</v>
      </c>
    </row>
    <row r="78" spans="1:41" ht="12.25" customHeight="1">
      <c r="A78" s="37" t="s">
        <v>211</v>
      </c>
      <c r="N78" s="88">
        <v>1.3</v>
      </c>
    </row>
    <row r="79" spans="1:41" ht="12.25" customHeight="1">
      <c r="A79" s="37" t="s">
        <v>196</v>
      </c>
      <c r="N79" s="35">
        <v>0</v>
      </c>
    </row>
    <row r="80" spans="1:41" ht="12.25" customHeight="1">
      <c r="A80" s="37" t="s">
        <v>210</v>
      </c>
      <c r="N80" s="35">
        <v>0</v>
      </c>
    </row>
    <row r="81" spans="1:39" ht="12.25" customHeight="1">
      <c r="A81" s="37" t="s">
        <v>116</v>
      </c>
      <c r="N81" s="71">
        <v>130652.281</v>
      </c>
    </row>
    <row r="82" spans="1:39" ht="12.25" customHeight="1">
      <c r="A82" s="37" t="s">
        <v>117</v>
      </c>
      <c r="N82" s="71">
        <v>-1000</v>
      </c>
      <c r="O82" s="71">
        <v>-1000</v>
      </c>
      <c r="P82" s="71">
        <f>-(1000/12*3)-(200/12*9)</f>
        <v>-400</v>
      </c>
      <c r="Q82" s="71">
        <v>-200</v>
      </c>
      <c r="R82" s="71">
        <v>-200</v>
      </c>
      <c r="S82" s="71">
        <v>-200</v>
      </c>
      <c r="T82" s="71">
        <v>-200</v>
      </c>
      <c r="U82" s="71">
        <v>-200</v>
      </c>
      <c r="V82" s="35">
        <f>+U82</f>
        <v>-200</v>
      </c>
      <c r="W82" s="35">
        <f t="shared" ref="W82:AM82" si="31">+V82</f>
        <v>-200</v>
      </c>
      <c r="X82" s="35">
        <f t="shared" si="31"/>
        <v>-200</v>
      </c>
      <c r="Y82" s="35">
        <f t="shared" si="31"/>
        <v>-200</v>
      </c>
      <c r="Z82" s="35">
        <f t="shared" si="31"/>
        <v>-200</v>
      </c>
      <c r="AA82" s="35">
        <f t="shared" si="31"/>
        <v>-200</v>
      </c>
      <c r="AB82" s="35">
        <f t="shared" si="31"/>
        <v>-200</v>
      </c>
      <c r="AC82" s="35">
        <f t="shared" si="31"/>
        <v>-200</v>
      </c>
      <c r="AD82" s="35">
        <f t="shared" si="31"/>
        <v>-200</v>
      </c>
      <c r="AE82" s="35">
        <f t="shared" si="31"/>
        <v>-200</v>
      </c>
      <c r="AF82" s="35">
        <f t="shared" si="31"/>
        <v>-200</v>
      </c>
      <c r="AG82" s="35">
        <f t="shared" si="31"/>
        <v>-200</v>
      </c>
      <c r="AH82" s="35">
        <f t="shared" si="31"/>
        <v>-200</v>
      </c>
      <c r="AI82" s="35">
        <f t="shared" si="31"/>
        <v>-200</v>
      </c>
      <c r="AJ82" s="35">
        <f t="shared" si="31"/>
        <v>-200</v>
      </c>
      <c r="AK82" s="35">
        <f t="shared" si="31"/>
        <v>-200</v>
      </c>
      <c r="AL82" s="35">
        <f t="shared" si="31"/>
        <v>-200</v>
      </c>
      <c r="AM82" s="35">
        <f t="shared" si="31"/>
        <v>-200</v>
      </c>
    </row>
    <row r="83" spans="1:39" ht="12.25" customHeight="1">
      <c r="A83" s="37" t="s">
        <v>212</v>
      </c>
      <c r="N83" s="88">
        <v>0.06</v>
      </c>
    </row>
    <row r="84" spans="1:39" ht="12.25" customHeight="1">
      <c r="A84" s="37" t="s">
        <v>213</v>
      </c>
      <c r="N84" s="88">
        <v>0.5</v>
      </c>
    </row>
    <row r="85" spans="1:39" ht="12.25" customHeight="1">
      <c r="A85" s="37" t="s">
        <v>118</v>
      </c>
      <c r="N85" s="88">
        <v>0</v>
      </c>
    </row>
    <row r="86" spans="1:39" ht="12.25" customHeight="1">
      <c r="A86" s="37" t="s">
        <v>214</v>
      </c>
      <c r="N86" s="88">
        <v>0.02</v>
      </c>
    </row>
    <row r="87" spans="1:39" ht="12.25" customHeight="1">
      <c r="A87" s="37" t="s">
        <v>197</v>
      </c>
      <c r="N87" s="12">
        <v>0</v>
      </c>
    </row>
    <row r="88" spans="1:39" ht="12.25" customHeight="1">
      <c r="A88" s="37" t="s">
        <v>68</v>
      </c>
      <c r="O88" s="85">
        <v>0.19</v>
      </c>
      <c r="P88" s="85">
        <f>+O88</f>
        <v>0.19</v>
      </c>
      <c r="Q88" s="85">
        <f t="shared" ref="Q88:AM88" si="32">+P88</f>
        <v>0.19</v>
      </c>
      <c r="R88" s="85">
        <f t="shared" si="32"/>
        <v>0.19</v>
      </c>
      <c r="S88" s="85">
        <f t="shared" si="32"/>
        <v>0.19</v>
      </c>
      <c r="T88" s="85">
        <f t="shared" si="32"/>
        <v>0.19</v>
      </c>
      <c r="U88" s="85">
        <f t="shared" si="32"/>
        <v>0.19</v>
      </c>
      <c r="V88" s="85">
        <f t="shared" si="32"/>
        <v>0.19</v>
      </c>
      <c r="W88" s="85">
        <f t="shared" si="32"/>
        <v>0.19</v>
      </c>
      <c r="X88" s="85">
        <f t="shared" si="32"/>
        <v>0.19</v>
      </c>
      <c r="Y88" s="85">
        <f t="shared" si="32"/>
        <v>0.19</v>
      </c>
      <c r="Z88" s="85">
        <f t="shared" si="32"/>
        <v>0.19</v>
      </c>
      <c r="AA88" s="85">
        <f t="shared" si="32"/>
        <v>0.19</v>
      </c>
      <c r="AB88" s="85">
        <f t="shared" si="32"/>
        <v>0.19</v>
      </c>
      <c r="AC88" s="85">
        <f t="shared" si="32"/>
        <v>0.19</v>
      </c>
      <c r="AD88" s="85">
        <f t="shared" si="32"/>
        <v>0.19</v>
      </c>
      <c r="AE88" s="85">
        <f t="shared" si="32"/>
        <v>0.19</v>
      </c>
      <c r="AF88" s="85">
        <f t="shared" si="32"/>
        <v>0.19</v>
      </c>
      <c r="AG88" s="85">
        <f t="shared" si="32"/>
        <v>0.19</v>
      </c>
      <c r="AH88" s="85">
        <f t="shared" si="32"/>
        <v>0.19</v>
      </c>
      <c r="AI88" s="85">
        <f t="shared" si="32"/>
        <v>0.19</v>
      </c>
      <c r="AJ88" s="85">
        <f t="shared" si="32"/>
        <v>0.19</v>
      </c>
      <c r="AK88" s="85">
        <f t="shared" si="32"/>
        <v>0.19</v>
      </c>
      <c r="AL88" s="85">
        <f t="shared" si="32"/>
        <v>0.19</v>
      </c>
      <c r="AM88" s="85">
        <f t="shared" si="32"/>
        <v>0.19</v>
      </c>
    </row>
    <row r="89" spans="1:39" ht="12.25" customHeight="1">
      <c r="A89" s="37" t="s">
        <v>69</v>
      </c>
      <c r="O89" s="85"/>
      <c r="P89" s="85">
        <f t="shared" ref="P89" si="33">+O88*0.25+P88*0.75</f>
        <v>0.19</v>
      </c>
      <c r="Q89" s="85">
        <f t="shared" ref="Q89" si="34">+P88*0.25+Q88*0.75</f>
        <v>0.19</v>
      </c>
      <c r="R89" s="85">
        <f t="shared" ref="R89" si="35">+Q88*0.25+R88*0.75</f>
        <v>0.19</v>
      </c>
      <c r="S89" s="85">
        <f t="shared" ref="S89" si="36">+R88*0.25+S88*0.75</f>
        <v>0.19</v>
      </c>
      <c r="T89" s="85">
        <f t="shared" ref="T89" si="37">+S88*0.25+T88*0.75</f>
        <v>0.19</v>
      </c>
      <c r="U89" s="85">
        <f t="shared" ref="U89:V89" si="38">+T88*0.25+U88*0.75</f>
        <v>0.19</v>
      </c>
      <c r="V89" s="85">
        <f t="shared" si="38"/>
        <v>0.19</v>
      </c>
      <c r="W89" s="85">
        <f t="shared" ref="W89" si="39">+V88*0.25+W88*0.75</f>
        <v>0.19</v>
      </c>
      <c r="X89" s="85">
        <f t="shared" ref="X89" si="40">+W88*0.25+X88*0.75</f>
        <v>0.19</v>
      </c>
      <c r="Y89" s="85">
        <f t="shared" ref="Y89" si="41">+X88*0.25+Y88*0.75</f>
        <v>0.19</v>
      </c>
      <c r="Z89" s="85">
        <f t="shared" ref="Z89" si="42">+Y88*0.25+Z88*0.75</f>
        <v>0.19</v>
      </c>
      <c r="AA89" s="85">
        <f t="shared" ref="AA89" si="43">+Z88*0.25+AA88*0.75</f>
        <v>0.19</v>
      </c>
      <c r="AB89" s="85">
        <f t="shared" ref="AB89" si="44">+AA88*0.25+AB88*0.75</f>
        <v>0.19</v>
      </c>
      <c r="AC89" s="85">
        <f t="shared" ref="AC89" si="45">+AB88*0.25+AC88*0.75</f>
        <v>0.19</v>
      </c>
      <c r="AD89" s="85">
        <f t="shared" ref="AD89" si="46">+AC88*0.25+AD88*0.75</f>
        <v>0.19</v>
      </c>
      <c r="AE89" s="85">
        <f t="shared" ref="AE89" si="47">+AD88*0.25+AE88*0.75</f>
        <v>0.19</v>
      </c>
      <c r="AF89" s="85">
        <f t="shared" ref="AF89" si="48">+AE88*0.25+AF88*0.75</f>
        <v>0.19</v>
      </c>
      <c r="AG89" s="85">
        <f t="shared" ref="AG89" si="49">+AF88*0.25+AG88*0.75</f>
        <v>0.19</v>
      </c>
      <c r="AH89" s="85">
        <f t="shared" ref="AH89" si="50">+AG88*0.25+AH88*0.75</f>
        <v>0.19</v>
      </c>
      <c r="AI89" s="85">
        <f t="shared" ref="AI89" si="51">+AH88*0.25+AI88*0.75</f>
        <v>0.19</v>
      </c>
      <c r="AJ89" s="85">
        <f t="shared" ref="AJ89" si="52">+AI88*0.25+AJ88*0.75</f>
        <v>0.19</v>
      </c>
      <c r="AK89" s="85">
        <f t="shared" ref="AK89" si="53">+AJ88*0.25+AK88*0.75</f>
        <v>0.19</v>
      </c>
      <c r="AL89" s="85">
        <f t="shared" ref="AL89" si="54">+AK88*0.25+AL88*0.75</f>
        <v>0.19</v>
      </c>
      <c r="AM89" s="85">
        <f t="shared" ref="AM89" si="55">+AL88*0.25+AM88*0.75</f>
        <v>0.19</v>
      </c>
    </row>
    <row r="90" spans="1:39" ht="12.25" customHeight="1">
      <c r="A90" s="32" t="s">
        <v>203</v>
      </c>
      <c r="B90" s="35"/>
      <c r="C90" s="35"/>
      <c r="P90" s="35">
        <v>5000</v>
      </c>
    </row>
    <row r="92" spans="1:39" ht="12.25" customHeight="1">
      <c r="A92" s="30" t="s">
        <v>296</v>
      </c>
    </row>
    <row r="94" spans="1:39" ht="12.25" customHeight="1">
      <c r="A94" s="37" t="s">
        <v>11</v>
      </c>
      <c r="O94" s="12">
        <v>1</v>
      </c>
    </row>
    <row r="96" spans="1:39" ht="12.25" customHeight="1">
      <c r="A96" s="37" t="s">
        <v>220</v>
      </c>
    </row>
    <row r="97" spans="1:15" ht="12.25" customHeight="1">
      <c r="A97" s="37" t="s">
        <v>52</v>
      </c>
      <c r="O97" s="12" t="s">
        <v>221</v>
      </c>
    </row>
    <row r="98" spans="1:15" ht="12.25" customHeight="1">
      <c r="A98" s="37" t="s">
        <v>53</v>
      </c>
      <c r="O98" s="12">
        <v>0.9</v>
      </c>
    </row>
    <row r="99" spans="1:15" ht="12.25" customHeight="1">
      <c r="A99" s="37" t="s">
        <v>54</v>
      </c>
      <c r="O99" s="12">
        <v>0.84779769349637712</v>
      </c>
    </row>
    <row r="100" spans="1:15" ht="12.25" customHeight="1">
      <c r="A100" s="37" t="s">
        <v>55</v>
      </c>
      <c r="O100" s="12">
        <v>0.42649945316995669</v>
      </c>
    </row>
    <row r="102" spans="1:15" ht="12.25" customHeight="1">
      <c r="A102" s="37" t="s">
        <v>222</v>
      </c>
    </row>
    <row r="103" spans="1:15" ht="12.25" customHeight="1">
      <c r="A103" s="37" t="s">
        <v>138</v>
      </c>
      <c r="C103" s="33">
        <v>40</v>
      </c>
    </row>
    <row r="104" spans="1:15" ht="12.25" customHeight="1">
      <c r="A104" s="37" t="s">
        <v>139</v>
      </c>
      <c r="C104" s="33">
        <v>15</v>
      </c>
    </row>
    <row r="105" spans="1:15" ht="12.25" customHeight="1">
      <c r="A105" s="37" t="s">
        <v>140</v>
      </c>
      <c r="C105" s="33">
        <v>5</v>
      </c>
    </row>
    <row r="106" spans="1:15" ht="12.25" customHeight="1">
      <c r="A106" s="37" t="s">
        <v>141</v>
      </c>
      <c r="C106" s="33">
        <v>35</v>
      </c>
    </row>
    <row r="107" spans="1:15" ht="12.25" customHeight="1">
      <c r="A107" s="37" t="s">
        <v>142</v>
      </c>
      <c r="C107" s="33">
        <v>40</v>
      </c>
    </row>
    <row r="108" spans="1:15" ht="12.25" customHeight="1">
      <c r="A108" s="37" t="s">
        <v>148</v>
      </c>
      <c r="C108" s="33">
        <v>34</v>
      </c>
    </row>
    <row r="110" spans="1:15" ht="12.25" customHeight="1">
      <c r="A110" s="37" t="s">
        <v>153</v>
      </c>
    </row>
    <row r="111" spans="1:15" ht="12.25" customHeight="1">
      <c r="A111" s="37" t="s">
        <v>133</v>
      </c>
      <c r="C111" s="33" t="s">
        <v>239</v>
      </c>
      <c r="G111" s="35">
        <v>2781.9688039475677</v>
      </c>
      <c r="H111" s="142">
        <v>2821.6313140604398</v>
      </c>
      <c r="I111" s="35">
        <v>2218.8800771971851</v>
      </c>
    </row>
    <row r="112" spans="1:15" ht="12.25" customHeight="1">
      <c r="A112" s="37" t="s">
        <v>134</v>
      </c>
      <c r="C112" s="33" t="s">
        <v>239</v>
      </c>
      <c r="G112" s="35">
        <v>2521.2989149522559</v>
      </c>
      <c r="H112" s="142">
        <v>2163.790939322304</v>
      </c>
      <c r="I112" s="35">
        <v>1893.7008142304207</v>
      </c>
    </row>
    <row r="113" spans="1:15" ht="12.25" customHeight="1">
      <c r="A113" s="37" t="s">
        <v>135</v>
      </c>
      <c r="C113" s="33" t="s">
        <v>239</v>
      </c>
      <c r="G113" s="35">
        <v>0</v>
      </c>
      <c r="H113" s="142">
        <v>0</v>
      </c>
      <c r="I113" s="35">
        <v>0</v>
      </c>
    </row>
    <row r="114" spans="1:15" ht="12.25" customHeight="1">
      <c r="A114" s="37" t="s">
        <v>136</v>
      </c>
      <c r="C114" s="33" t="s">
        <v>239</v>
      </c>
      <c r="G114" s="35">
        <v>6769.5434040280306</v>
      </c>
      <c r="H114" s="142">
        <v>5800.4927774219059</v>
      </c>
      <c r="I114" s="35">
        <v>5060.8455928002977</v>
      </c>
    </row>
    <row r="115" spans="1:15" ht="12.25" customHeight="1">
      <c r="A115" s="37" t="s">
        <v>137</v>
      </c>
      <c r="C115" s="33" t="s">
        <v>239</v>
      </c>
      <c r="G115" s="35">
        <v>0</v>
      </c>
      <c r="H115" s="142">
        <v>0</v>
      </c>
      <c r="I115" s="35">
        <v>0</v>
      </c>
    </row>
    <row r="116" spans="1:15" ht="12.25" customHeight="1">
      <c r="A116" s="37" t="s">
        <v>132</v>
      </c>
      <c r="C116" s="33" t="s">
        <v>239</v>
      </c>
      <c r="G116" s="35">
        <v>12072.811122927855</v>
      </c>
      <c r="H116" s="35">
        <v>9995.034157812257</v>
      </c>
      <c r="I116" s="35">
        <v>9173.4264842279044</v>
      </c>
    </row>
    <row r="118" spans="1:15" ht="12.25" customHeight="1">
      <c r="A118" s="37" t="s">
        <v>151</v>
      </c>
    </row>
    <row r="119" spans="1:15" ht="12.25" customHeight="1">
      <c r="A119" s="37" t="s">
        <v>133</v>
      </c>
      <c r="C119" s="6" t="s">
        <v>238</v>
      </c>
      <c r="J119" s="35">
        <v>6766.1884280730301</v>
      </c>
      <c r="K119" s="35">
        <v>11250.817797862112</v>
      </c>
      <c r="L119" s="35">
        <v>11895.932149751377</v>
      </c>
      <c r="M119" s="35">
        <v>10514.642778147205</v>
      </c>
      <c r="N119" s="35">
        <v>9998.1608006563602</v>
      </c>
      <c r="O119" s="35">
        <v>8179.5138141277303</v>
      </c>
    </row>
    <row r="120" spans="1:15" ht="12.25" customHeight="1">
      <c r="A120" s="37" t="s">
        <v>134</v>
      </c>
      <c r="C120" s="6" t="s">
        <v>238</v>
      </c>
      <c r="J120" s="35">
        <v>3180.7421052467439</v>
      </c>
      <c r="K120" s="35">
        <v>3901.6194231238424</v>
      </c>
      <c r="L120" s="35">
        <v>4632.8969845071197</v>
      </c>
      <c r="M120" s="35">
        <v>4516.2963721961878</v>
      </c>
      <c r="N120" s="35">
        <v>5484.5577801170703</v>
      </c>
      <c r="O120" s="35">
        <v>5159.1342528388259</v>
      </c>
    </row>
    <row r="121" spans="1:15" ht="12.25" customHeight="1">
      <c r="A121" s="37" t="s">
        <v>135</v>
      </c>
      <c r="C121" s="6" t="s">
        <v>238</v>
      </c>
      <c r="J121" s="35">
        <v>237.15413293087312</v>
      </c>
      <c r="K121" s="35">
        <v>235.12548055508623</v>
      </c>
      <c r="L121" s="35">
        <v>233.15022704879053</v>
      </c>
      <c r="M121" s="35">
        <v>231.62643227783548</v>
      </c>
      <c r="N121" s="35">
        <v>230.11259653858878</v>
      </c>
      <c r="O121" s="35">
        <v>228.60865474202771</v>
      </c>
    </row>
    <row r="122" spans="1:15" ht="12.25" customHeight="1">
      <c r="A122" s="37" t="s">
        <v>136</v>
      </c>
      <c r="C122" s="6" t="s">
        <v>238</v>
      </c>
    </row>
    <row r="123" spans="1:15" ht="12.25" customHeight="1">
      <c r="A123" s="37" t="s">
        <v>137</v>
      </c>
      <c r="C123" s="6" t="s">
        <v>238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</row>
    <row r="124" spans="1:15" ht="12.25" customHeight="1">
      <c r="A124" s="37" t="s">
        <v>132</v>
      </c>
      <c r="C124" s="6" t="s">
        <v>238</v>
      </c>
      <c r="J124" s="35">
        <v>10184.084666250646</v>
      </c>
      <c r="K124" s="35">
        <v>15387.562701541041</v>
      </c>
      <c r="L124" s="35">
        <v>16761.979361307287</v>
      </c>
      <c r="M124" s="35">
        <v>15262.565582621228</v>
      </c>
      <c r="N124" s="35">
        <v>15712.83117731202</v>
      </c>
      <c r="O124" s="35">
        <v>13567.256721708583</v>
      </c>
    </row>
    <row r="126" spans="1:15" ht="12.25" customHeight="1">
      <c r="A126" s="37" t="s">
        <v>154</v>
      </c>
    </row>
    <row r="127" spans="1:15" ht="12.25" customHeight="1">
      <c r="A127" s="37" t="s">
        <v>133</v>
      </c>
      <c r="C127" s="33" t="s">
        <v>240</v>
      </c>
      <c r="E127" s="142">
        <v>8741.789823095809</v>
      </c>
      <c r="F127" s="142">
        <v>9752.2187495037833</v>
      </c>
      <c r="G127" s="142">
        <v>2900.3057564130677</v>
      </c>
      <c r="H127" s="142">
        <v>2135.9057457565186</v>
      </c>
      <c r="I127" s="142">
        <v>2980.8969921706953</v>
      </c>
      <c r="J127" s="35">
        <v>8243.9800790171594</v>
      </c>
      <c r="K127" s="35">
        <v>12949.774405433629</v>
      </c>
      <c r="L127" s="35">
        <v>14101.90452037567</v>
      </c>
      <c r="M127" s="35">
        <v>12858.75366562329</v>
      </c>
      <c r="N127" s="35">
        <v>13119.837952112091</v>
      </c>
      <c r="O127" s="35">
        <v>11790.20553294198</v>
      </c>
    </row>
    <row r="128" spans="1:15" ht="12.25" customHeight="1">
      <c r="A128" s="37" t="s">
        <v>134</v>
      </c>
      <c r="C128" s="33" t="s">
        <v>240</v>
      </c>
      <c r="E128" s="142">
        <v>2694.7648194103108</v>
      </c>
      <c r="F128" s="142">
        <v>2800.0362511380126</v>
      </c>
      <c r="G128" s="142">
        <v>3718.3556664539515</v>
      </c>
      <c r="H128" s="142">
        <v>3038.0472387090676</v>
      </c>
      <c r="I128" s="142">
        <v>2653.0799970575476</v>
      </c>
      <c r="J128" s="35">
        <v>2713.7743653814778</v>
      </c>
      <c r="K128" s="35">
        <v>3466.5344888829263</v>
      </c>
      <c r="L128" s="35">
        <v>4324.0918878429984</v>
      </c>
      <c r="M128" s="35">
        <v>4258.0487565592339</v>
      </c>
      <c r="N128" s="35">
        <v>5443.1837894531145</v>
      </c>
      <c r="O128" s="35">
        <v>5213.7405423742593</v>
      </c>
    </row>
    <row r="129" spans="1:15" ht="12.25" customHeight="1">
      <c r="A129" s="37" t="s">
        <v>135</v>
      </c>
      <c r="C129" s="33" t="s">
        <v>240</v>
      </c>
      <c r="E129" s="142">
        <v>0</v>
      </c>
      <c r="F129" s="142">
        <v>0</v>
      </c>
      <c r="G129" s="142">
        <v>0</v>
      </c>
      <c r="H129" s="142">
        <v>0</v>
      </c>
      <c r="I129" s="142">
        <v>0</v>
      </c>
      <c r="J129" s="35">
        <v>137.24556938931298</v>
      </c>
      <c r="K129" s="35">
        <v>243.89436573389654</v>
      </c>
      <c r="L129" s="35">
        <v>228.9249463917526</v>
      </c>
      <c r="M129" s="35">
        <v>165.482</v>
      </c>
      <c r="N129" s="35">
        <v>301.41711306486377</v>
      </c>
      <c r="O129" s="35">
        <v>267.42632333333336</v>
      </c>
    </row>
    <row r="130" spans="1:15" ht="12.25" customHeight="1">
      <c r="A130" s="37" t="s">
        <v>136</v>
      </c>
      <c r="C130" s="33" t="s">
        <v>240</v>
      </c>
      <c r="E130" s="142">
        <v>3292.7010108722338</v>
      </c>
      <c r="F130" s="142">
        <v>3133.4876903533113</v>
      </c>
      <c r="G130" s="142">
        <v>8009.8025384930879</v>
      </c>
      <c r="H130" s="142">
        <v>6764.4009149642161</v>
      </c>
      <c r="I130" s="142">
        <v>5847.950038729502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</row>
    <row r="131" spans="1:15" ht="12.25" customHeight="1">
      <c r="A131" s="37" t="s">
        <v>137</v>
      </c>
      <c r="C131" s="33" t="s">
        <v>240</v>
      </c>
      <c r="E131" s="142">
        <v>229.67331081081082</v>
      </c>
      <c r="F131" s="142">
        <v>32.318088924176259</v>
      </c>
      <c r="G131" s="142">
        <v>112.96618672360246</v>
      </c>
      <c r="H131" s="142">
        <v>107.25851926040062</v>
      </c>
      <c r="I131" s="142">
        <v>4.5072672706681773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</row>
    <row r="132" spans="1:15" ht="12.25" customHeight="1">
      <c r="A132" s="37" t="s">
        <v>132</v>
      </c>
      <c r="C132" s="33" t="s">
        <v>240</v>
      </c>
      <c r="E132" s="35">
        <v>14958.928964189165</v>
      </c>
      <c r="F132" s="35">
        <v>15718.060779919282</v>
      </c>
      <c r="G132" s="35">
        <v>14741.430148083709</v>
      </c>
      <c r="H132" s="35">
        <v>12045.612418690203</v>
      </c>
      <c r="I132" s="35">
        <v>11486.434295228413</v>
      </c>
      <c r="J132" s="35">
        <v>11095.000013787951</v>
      </c>
      <c r="K132" s="35">
        <v>16660.203260050454</v>
      </c>
      <c r="L132" s="35">
        <v>18654.921354610422</v>
      </c>
      <c r="M132" s="35">
        <v>17282.284422182525</v>
      </c>
      <c r="N132" s="35">
        <v>18864.438854630072</v>
      </c>
      <c r="O132" s="35">
        <v>17271.372398649572</v>
      </c>
    </row>
    <row r="134" spans="1:15" ht="12.25" customHeight="1">
      <c r="A134" s="37" t="s">
        <v>223</v>
      </c>
      <c r="C134" s="6" t="s">
        <v>238</v>
      </c>
      <c r="E134" s="35">
        <v>0</v>
      </c>
      <c r="F134" s="35">
        <v>0</v>
      </c>
      <c r="G134" s="35">
        <v>15</v>
      </c>
      <c r="H134" s="35">
        <v>39</v>
      </c>
      <c r="I134" s="35">
        <v>22</v>
      </c>
      <c r="J134" s="35">
        <v>11.964248890316634</v>
      </c>
      <c r="K134" s="35">
        <v>14.303489395791781</v>
      </c>
      <c r="L134" s="35">
        <v>13.961076103155962</v>
      </c>
      <c r="M134" s="35">
        <v>12.519563528062786</v>
      </c>
      <c r="N134" s="35">
        <v>35</v>
      </c>
      <c r="O134" s="35">
        <v>39</v>
      </c>
    </row>
    <row r="136" spans="1:15" ht="12.25" customHeight="1">
      <c r="A136" s="32" t="s">
        <v>152</v>
      </c>
      <c r="B136" s="111"/>
      <c r="C136" s="40"/>
    </row>
    <row r="137" spans="1:15" ht="12.25" customHeight="1">
      <c r="A137" s="31" t="s">
        <v>133</v>
      </c>
      <c r="B137" s="41"/>
      <c r="C137" s="95"/>
      <c r="D137" s="43"/>
      <c r="E137" s="43">
        <v>2539.0473390663333</v>
      </c>
      <c r="F137" s="43">
        <v>2622.6779916633795</v>
      </c>
    </row>
    <row r="138" spans="1:15" ht="12.25" customHeight="1">
      <c r="A138" s="31" t="s">
        <v>134</v>
      </c>
      <c r="B138" s="41"/>
      <c r="C138" s="95"/>
      <c r="D138" s="43"/>
      <c r="E138" s="43">
        <v>2694.7648194103108</v>
      </c>
      <c r="F138" s="43">
        <v>2800.0362511380126</v>
      </c>
    </row>
    <row r="139" spans="1:15" ht="12.25" customHeight="1">
      <c r="A139" s="31" t="s">
        <v>135</v>
      </c>
      <c r="B139" s="41"/>
      <c r="C139" s="95"/>
      <c r="D139" s="43"/>
      <c r="E139" s="43"/>
      <c r="F139" s="43"/>
    </row>
    <row r="140" spans="1:15" ht="12.25" customHeight="1">
      <c r="A140" s="31" t="s">
        <v>136</v>
      </c>
      <c r="B140" s="41"/>
      <c r="C140" s="95"/>
      <c r="D140" s="43"/>
      <c r="E140" s="43">
        <v>6432.4157948402872</v>
      </c>
      <c r="F140" s="43">
        <v>7161.8588467645804</v>
      </c>
    </row>
    <row r="141" spans="1:15" ht="12.25" customHeight="1">
      <c r="A141" s="31" t="s">
        <v>137</v>
      </c>
      <c r="B141" s="41"/>
      <c r="C141" s="95"/>
      <c r="D141" s="43"/>
      <c r="E141" s="43">
        <v>3292.7010108722338</v>
      </c>
      <c r="F141" s="43">
        <v>3133.4876903533113</v>
      </c>
    </row>
    <row r="143" spans="1:15" ht="12.25" customHeight="1">
      <c r="A143" s="37" t="s">
        <v>164</v>
      </c>
    </row>
    <row r="144" spans="1:15" ht="12.25" customHeight="1">
      <c r="A144" s="37" t="s">
        <v>160</v>
      </c>
      <c r="E144" s="35">
        <v>0</v>
      </c>
      <c r="F144" s="35">
        <v>0</v>
      </c>
      <c r="G144" s="35">
        <v>441</v>
      </c>
      <c r="H144" s="35">
        <v>707</v>
      </c>
      <c r="I144" s="35">
        <v>398</v>
      </c>
    </row>
    <row r="145" spans="1:9" ht="12.25" customHeight="1">
      <c r="A145" s="37" t="s">
        <v>161</v>
      </c>
      <c r="E145" s="35">
        <v>0</v>
      </c>
      <c r="F145" s="35">
        <v>0</v>
      </c>
      <c r="G145" s="35">
        <v>24</v>
      </c>
      <c r="H145" s="35">
        <v>25</v>
      </c>
      <c r="I145" s="35">
        <v>22</v>
      </c>
    </row>
  </sheetData>
  <dataConsolidate/>
  <mergeCells count="1">
    <mergeCell ref="O33:U33"/>
  </mergeCells>
  <pageMargins left="0.70866141732283472" right="0.70866141732283472" top="0.74803149606299213" bottom="0.74803149606299213" header="0.31496062992125984" footer="0.31496062992125984"/>
  <pageSetup paperSize="8" scale="4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/>
    <pageSetUpPr fitToPage="1"/>
  </sheetPr>
  <dimension ref="A1:BY76"/>
  <sheetViews>
    <sheetView workbookViewId="0">
      <pane xSplit="3" ySplit="1" topLeftCell="D80" activePane="bottomRight" state="frozen"/>
      <selection pane="topRight" activeCell="D1" sqref="D1"/>
      <selection pane="bottomLeft" activeCell="A2" sqref="A2"/>
      <selection pane="bottomRight" activeCell="S75" sqref="S75"/>
    </sheetView>
  </sheetViews>
  <sheetFormatPr defaultColWidth="4" defaultRowHeight="12.25" customHeight="1"/>
  <cols>
    <col min="1" max="1" width="26.36328125" style="32" bestFit="1" customWidth="1"/>
    <col min="2" max="2" width="4.6328125" style="40" bestFit="1" customWidth="1"/>
    <col min="3" max="3" width="5.36328125" style="40" bestFit="1" customWidth="1"/>
    <col min="4" max="4" width="4.36328125" style="35" bestFit="1" customWidth="1"/>
    <col min="5" max="15" width="5.36328125" style="35" bestFit="1" customWidth="1"/>
    <col min="16" max="39" width="4.36328125" style="35" bestFit="1" customWidth="1"/>
    <col min="40" max="58" width="2.36328125" style="35" bestFit="1" customWidth="1"/>
    <col min="59" max="59" width="3" style="35" bestFit="1" customWidth="1"/>
    <col min="60" max="77" width="4" style="35"/>
    <col min="78" max="16384" width="4" style="33"/>
  </cols>
  <sheetData>
    <row r="1" spans="1:77" s="34" customFormat="1" ht="12.25" customHeight="1">
      <c r="A1" s="36" t="s">
        <v>60</v>
      </c>
      <c r="B1" s="40"/>
      <c r="C1" s="40"/>
      <c r="D1" s="40">
        <f>+Inputs!D1</f>
        <v>2011</v>
      </c>
      <c r="E1" s="40">
        <f>+Inputs!E1</f>
        <v>2012</v>
      </c>
      <c r="F1" s="40">
        <f>+Inputs!F1</f>
        <v>2013</v>
      </c>
      <c r="G1" s="40">
        <f>+Inputs!G1</f>
        <v>2014</v>
      </c>
      <c r="H1" s="40">
        <f>+Inputs!H1</f>
        <v>2015</v>
      </c>
      <c r="I1" s="40">
        <f>+Inputs!I1</f>
        <v>2016</v>
      </c>
      <c r="J1" s="40">
        <f>+Inputs!J1</f>
        <v>2017</v>
      </c>
      <c r="K1" s="40">
        <f>+Inputs!K1</f>
        <v>2018</v>
      </c>
      <c r="L1" s="40">
        <f>+Inputs!L1</f>
        <v>2019</v>
      </c>
      <c r="M1" s="40">
        <f>+Inputs!M1</f>
        <v>2020</v>
      </c>
      <c r="N1" s="40">
        <f>+Inputs!N1</f>
        <v>2021</v>
      </c>
      <c r="O1" s="40">
        <f>+Inputs!O1</f>
        <v>2022</v>
      </c>
      <c r="P1" s="40">
        <f>+Inputs!P1</f>
        <v>2023</v>
      </c>
      <c r="Q1" s="40">
        <f>+Inputs!Q1</f>
        <v>2024</v>
      </c>
      <c r="R1" s="40">
        <f>+Inputs!R1</f>
        <v>2025</v>
      </c>
      <c r="S1" s="40">
        <f>+Inputs!S1</f>
        <v>2026</v>
      </c>
      <c r="T1" s="40">
        <f>+Inputs!T1</f>
        <v>2027</v>
      </c>
      <c r="U1" s="40">
        <f>+Inputs!U1</f>
        <v>2028</v>
      </c>
      <c r="V1" s="40">
        <f>+Inputs!V1</f>
        <v>2029</v>
      </c>
      <c r="W1" s="40">
        <f>+Inputs!W1</f>
        <v>2030</v>
      </c>
      <c r="X1" s="40">
        <f>+Inputs!X1</f>
        <v>2031</v>
      </c>
      <c r="Y1" s="40">
        <f>+Inputs!Y1</f>
        <v>2032</v>
      </c>
      <c r="Z1" s="40">
        <f>+Inputs!Z1</f>
        <v>2033</v>
      </c>
      <c r="AA1" s="40">
        <f>+Inputs!AA1</f>
        <v>2034</v>
      </c>
      <c r="AB1" s="40">
        <f>+Inputs!AB1</f>
        <v>2035</v>
      </c>
      <c r="AC1" s="40">
        <f>+Inputs!AC1</f>
        <v>2036</v>
      </c>
      <c r="AD1" s="40">
        <f>+Inputs!AD1</f>
        <v>2037</v>
      </c>
      <c r="AE1" s="40">
        <f>+Inputs!AE1</f>
        <v>2038</v>
      </c>
      <c r="AF1" s="40">
        <f>+Inputs!AF1</f>
        <v>2039</v>
      </c>
      <c r="AG1" s="40">
        <f>+Inputs!AG1</f>
        <v>2040</v>
      </c>
      <c r="AH1" s="40">
        <f>+Inputs!AH1</f>
        <v>2041</v>
      </c>
      <c r="AI1" s="40">
        <f>+Inputs!AI1</f>
        <v>2042</v>
      </c>
      <c r="AJ1" s="40">
        <f>+Inputs!AJ1</f>
        <v>2043</v>
      </c>
      <c r="AK1" s="40">
        <f>+Inputs!AK1</f>
        <v>2044</v>
      </c>
      <c r="AL1" s="40">
        <f>+Inputs!AL1</f>
        <v>2045</v>
      </c>
      <c r="AM1" s="40">
        <f>+Inputs!AM1</f>
        <v>2046</v>
      </c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3" spans="1:77" ht="12.25" customHeight="1">
      <c r="A3" s="32" t="s">
        <v>153</v>
      </c>
      <c r="B3" s="111">
        <f>+Inputs!E27</f>
        <v>244.2</v>
      </c>
    </row>
    <row r="4" spans="1:77" ht="12.25" customHeight="1">
      <c r="A4" s="31" t="s">
        <v>133</v>
      </c>
      <c r="B4" s="41"/>
      <c r="C4" s="95"/>
      <c r="D4" s="43"/>
      <c r="E4" s="43"/>
      <c r="F4" s="43"/>
      <c r="G4" s="43">
        <f>+Inputs!G111</f>
        <v>2781.9688039475677</v>
      </c>
      <c r="H4" s="43">
        <f>+Inputs!H111</f>
        <v>2821.6313140604398</v>
      </c>
      <c r="I4" s="43">
        <f>+Inputs!I111</f>
        <v>2218.8800771971851</v>
      </c>
      <c r="J4" s="43"/>
      <c r="K4" s="43"/>
      <c r="L4" s="43"/>
      <c r="M4" s="43"/>
      <c r="N4" s="43"/>
      <c r="O4" s="43"/>
      <c r="P4" s="43"/>
      <c r="Q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</row>
    <row r="5" spans="1:77" ht="12.25" customHeight="1">
      <c r="A5" s="31" t="s">
        <v>134</v>
      </c>
      <c r="B5" s="41"/>
      <c r="C5" s="95"/>
      <c r="D5" s="43"/>
      <c r="E5" s="43"/>
      <c r="F5" s="43"/>
      <c r="G5" s="43">
        <f>+Inputs!G112</f>
        <v>2521.2989149522559</v>
      </c>
      <c r="H5" s="43">
        <f>+Inputs!H112</f>
        <v>2163.790939322304</v>
      </c>
      <c r="I5" s="43">
        <f>+Inputs!I112</f>
        <v>1893.7008142304207</v>
      </c>
      <c r="J5" s="43"/>
      <c r="K5" s="43"/>
      <c r="L5" s="43"/>
      <c r="M5" s="43"/>
      <c r="N5" s="43"/>
      <c r="O5" s="43"/>
      <c r="P5" s="43"/>
      <c r="Q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</row>
    <row r="6" spans="1:77" ht="12.25" customHeight="1">
      <c r="A6" s="31" t="s">
        <v>135</v>
      </c>
      <c r="B6" s="41"/>
      <c r="C6" s="95"/>
      <c r="D6" s="43"/>
      <c r="E6" s="43"/>
      <c r="F6" s="43"/>
      <c r="G6" s="43">
        <f>+Inputs!G113</f>
        <v>0</v>
      </c>
      <c r="H6" s="43">
        <f>+Inputs!H113</f>
        <v>0</v>
      </c>
      <c r="I6" s="43">
        <f>+Inputs!I113</f>
        <v>0</v>
      </c>
      <c r="J6" s="43"/>
      <c r="K6" s="43"/>
      <c r="L6" s="43"/>
      <c r="M6" s="43"/>
      <c r="N6" s="43"/>
      <c r="O6" s="43"/>
      <c r="P6" s="43"/>
      <c r="Q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</row>
    <row r="7" spans="1:77" ht="12.25" customHeight="1">
      <c r="A7" s="31" t="s">
        <v>136</v>
      </c>
      <c r="B7" s="41"/>
      <c r="C7" s="95"/>
      <c r="D7" s="43"/>
      <c r="E7" s="43"/>
      <c r="F7" s="43"/>
      <c r="G7" s="43">
        <f>+Inputs!G114</f>
        <v>6769.5434040280306</v>
      </c>
      <c r="H7" s="43">
        <f>+Inputs!H114</f>
        <v>5800.4927774219059</v>
      </c>
      <c r="I7" s="43">
        <f>+Inputs!I114</f>
        <v>5060.8455928002977</v>
      </c>
      <c r="J7" s="43"/>
      <c r="K7" s="43"/>
      <c r="L7" s="43"/>
      <c r="M7" s="43"/>
      <c r="N7" s="43"/>
      <c r="O7" s="43"/>
      <c r="P7" s="43"/>
      <c r="Q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</row>
    <row r="8" spans="1:77" ht="12.25" customHeight="1">
      <c r="A8" s="31" t="s">
        <v>137</v>
      </c>
      <c r="B8" s="41"/>
      <c r="C8" s="95"/>
      <c r="D8" s="43"/>
      <c r="E8" s="43"/>
      <c r="F8" s="43"/>
      <c r="G8" s="43">
        <f>+Inputs!G115</f>
        <v>0</v>
      </c>
      <c r="H8" s="43">
        <f>+Inputs!H115</f>
        <v>0</v>
      </c>
      <c r="I8" s="43">
        <f>+Inputs!I115</f>
        <v>0</v>
      </c>
      <c r="J8" s="43"/>
      <c r="K8" s="43"/>
      <c r="L8" s="43"/>
      <c r="M8" s="43"/>
      <c r="N8" s="43"/>
      <c r="O8" s="43"/>
      <c r="P8" s="43"/>
      <c r="Q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</row>
    <row r="9" spans="1:77" ht="12.25" customHeight="1">
      <c r="A9" s="29" t="s">
        <v>132</v>
      </c>
      <c r="C9" s="96"/>
      <c r="D9" s="51"/>
      <c r="E9" s="51"/>
      <c r="F9" s="51"/>
      <c r="G9" s="51">
        <f t="shared" ref="G9" si="0">SUM(G4:G8)</f>
        <v>12072.811122927855</v>
      </c>
      <c r="H9" s="51">
        <f t="shared" ref="H9" si="1">SUM(H4:H8)</f>
        <v>10785.915030804648</v>
      </c>
      <c r="I9" s="51">
        <f t="shared" ref="I9" si="2">SUM(I4:I8)</f>
        <v>9173.4264842279044</v>
      </c>
      <c r="J9" s="51"/>
      <c r="K9" s="51"/>
      <c r="L9" s="51"/>
      <c r="M9" s="51"/>
      <c r="N9" s="51"/>
      <c r="O9" s="51"/>
      <c r="P9" s="46"/>
      <c r="Q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</row>
    <row r="11" spans="1:77" ht="12.25" customHeight="1">
      <c r="A11" s="32" t="s">
        <v>151</v>
      </c>
      <c r="B11" s="111">
        <f>+Inputs!G27</f>
        <v>257.60000000000002</v>
      </c>
    </row>
    <row r="12" spans="1:77" ht="12.25" customHeight="1">
      <c r="A12" s="31" t="s">
        <v>133</v>
      </c>
      <c r="B12" s="41"/>
      <c r="C12" s="95"/>
      <c r="D12" s="43"/>
      <c r="E12" s="43"/>
      <c r="F12" s="43"/>
      <c r="G12" s="43"/>
      <c r="H12" s="43"/>
      <c r="I12" s="43"/>
      <c r="J12" s="43">
        <f>+Inputs!J119</f>
        <v>6766.1884280730301</v>
      </c>
      <c r="K12" s="43">
        <f>+Inputs!K119</f>
        <v>11250.817797862112</v>
      </c>
      <c r="L12" s="43">
        <f>+Inputs!L119</f>
        <v>11895.932149751377</v>
      </c>
      <c r="M12" s="43">
        <f>+Inputs!M119</f>
        <v>10514.642778147205</v>
      </c>
      <c r="N12" s="43">
        <f>+Inputs!N119</f>
        <v>9998.1608006563602</v>
      </c>
      <c r="O12" s="43">
        <f>+Inputs!O119</f>
        <v>8179.5138141277303</v>
      </c>
      <c r="P12" s="43"/>
      <c r="Q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</row>
    <row r="13" spans="1:77" ht="12.25" customHeight="1">
      <c r="A13" s="31" t="s">
        <v>134</v>
      </c>
      <c r="B13" s="41"/>
      <c r="C13" s="95"/>
      <c r="D13" s="43"/>
      <c r="E13" s="43"/>
      <c r="F13" s="43"/>
      <c r="G13" s="43"/>
      <c r="H13" s="43"/>
      <c r="I13" s="43"/>
      <c r="J13" s="43">
        <f>+Inputs!J120</f>
        <v>3180.7421052467439</v>
      </c>
      <c r="K13" s="43">
        <f>+Inputs!K120</f>
        <v>3901.6194231238424</v>
      </c>
      <c r="L13" s="43">
        <f>+Inputs!L120</f>
        <v>4632.8969845071197</v>
      </c>
      <c r="M13" s="43">
        <f>+Inputs!M120</f>
        <v>4516.2963721961878</v>
      </c>
      <c r="N13" s="43">
        <f>+Inputs!N120</f>
        <v>5484.5577801170703</v>
      </c>
      <c r="O13" s="43">
        <f>+Inputs!O120</f>
        <v>5159.1342528388259</v>
      </c>
      <c r="P13" s="43"/>
      <c r="Q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</row>
    <row r="14" spans="1:77" ht="12.25" customHeight="1">
      <c r="A14" s="31" t="s">
        <v>135</v>
      </c>
      <c r="B14" s="41"/>
      <c r="C14" s="95"/>
      <c r="D14" s="43"/>
      <c r="E14" s="43"/>
      <c r="F14" s="43"/>
      <c r="G14" s="43"/>
      <c r="H14" s="43"/>
      <c r="I14" s="43"/>
      <c r="J14" s="43">
        <f>+Inputs!J121</f>
        <v>237.15413293087312</v>
      </c>
      <c r="K14" s="43">
        <f>+Inputs!K121</f>
        <v>235.12548055508623</v>
      </c>
      <c r="L14" s="43">
        <f>+Inputs!L121</f>
        <v>233.15022704879053</v>
      </c>
      <c r="M14" s="43">
        <f>+Inputs!M121</f>
        <v>231.62643227783548</v>
      </c>
      <c r="N14" s="43">
        <f>+Inputs!N121</f>
        <v>230.11259653858878</v>
      </c>
      <c r="O14" s="43">
        <f>+Inputs!O121</f>
        <v>228.60865474202771</v>
      </c>
      <c r="P14" s="43"/>
      <c r="Q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</row>
    <row r="15" spans="1:77" ht="12.25" customHeight="1">
      <c r="A15" s="31" t="s">
        <v>136</v>
      </c>
      <c r="B15" s="41"/>
      <c r="C15" s="95"/>
      <c r="D15" s="43"/>
      <c r="E15" s="43"/>
      <c r="F15" s="43"/>
      <c r="G15" s="43"/>
      <c r="H15" s="43"/>
      <c r="I15" s="43"/>
      <c r="J15" s="43">
        <f>+Inputs!J122</f>
        <v>0</v>
      </c>
      <c r="K15" s="43">
        <f>+Inputs!K122</f>
        <v>0</v>
      </c>
      <c r="L15" s="43">
        <f>+Inputs!L122</f>
        <v>0</v>
      </c>
      <c r="M15" s="43">
        <f>+Inputs!M122</f>
        <v>0</v>
      </c>
      <c r="N15" s="43">
        <f>+Inputs!N122</f>
        <v>0</v>
      </c>
      <c r="O15" s="43">
        <f>+Inputs!O122</f>
        <v>0</v>
      </c>
      <c r="P15" s="43"/>
      <c r="Q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</row>
    <row r="16" spans="1:77" ht="12.25" customHeight="1">
      <c r="A16" s="31" t="s">
        <v>137</v>
      </c>
      <c r="B16" s="41"/>
      <c r="C16" s="95"/>
      <c r="D16" s="43"/>
      <c r="E16" s="43"/>
      <c r="F16" s="43"/>
      <c r="G16" s="43"/>
      <c r="H16" s="43"/>
      <c r="I16" s="43"/>
      <c r="J16" s="43">
        <f>+Inputs!J123</f>
        <v>0</v>
      </c>
      <c r="K16" s="43">
        <f>+Inputs!K123</f>
        <v>0</v>
      </c>
      <c r="L16" s="43">
        <f>+Inputs!L123</f>
        <v>0</v>
      </c>
      <c r="M16" s="43">
        <f>+Inputs!M123</f>
        <v>0</v>
      </c>
      <c r="N16" s="43">
        <f>+Inputs!N123</f>
        <v>0</v>
      </c>
      <c r="O16" s="43">
        <f>+Inputs!O123</f>
        <v>0</v>
      </c>
      <c r="P16" s="43"/>
      <c r="Q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</row>
    <row r="17" spans="1:77" ht="12.25" customHeight="1">
      <c r="A17" s="29" t="s">
        <v>132</v>
      </c>
      <c r="C17" s="96"/>
      <c r="D17" s="51"/>
      <c r="E17" s="51"/>
      <c r="F17" s="51"/>
      <c r="G17" s="51"/>
      <c r="H17" s="51"/>
      <c r="I17" s="51"/>
      <c r="J17" s="51">
        <f t="shared" ref="J17" si="3">SUM(J12:J16)</f>
        <v>10184.084666250646</v>
      </c>
      <c r="K17" s="51">
        <f t="shared" ref="K17" si="4">SUM(K12:K16)</f>
        <v>15387.562701541041</v>
      </c>
      <c r="L17" s="51">
        <f t="shared" ref="L17" si="5">SUM(L12:L16)</f>
        <v>16761.979361307287</v>
      </c>
      <c r="M17" s="51">
        <f t="shared" ref="M17" si="6">SUM(M12:M16)</f>
        <v>15262.565582621228</v>
      </c>
      <c r="N17" s="51">
        <f t="shared" ref="N17" si="7">SUM(N12:N16)</f>
        <v>15712.83117731202</v>
      </c>
      <c r="O17" s="51">
        <f t="shared" ref="O17" si="8">SUM(O12:O16)</f>
        <v>13567.256721708583</v>
      </c>
      <c r="P17" s="46"/>
      <c r="Q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</row>
    <row r="19" spans="1:77" ht="12.25" customHeight="1">
      <c r="A19" s="32" t="s">
        <v>152</v>
      </c>
      <c r="B19" s="111">
        <f>+Inputs!M27</f>
        <v>294.3</v>
      </c>
    </row>
    <row r="20" spans="1:77" ht="12.25" customHeight="1">
      <c r="A20" s="31" t="s">
        <v>133</v>
      </c>
      <c r="B20" s="41"/>
      <c r="C20" s="95"/>
      <c r="D20" s="43"/>
      <c r="E20" s="43">
        <f>+Inputs!E137</f>
        <v>2539.0473390663333</v>
      </c>
      <c r="F20" s="43">
        <f>+Inputs!F137</f>
        <v>2622.6779916633795</v>
      </c>
      <c r="G20" s="43">
        <f t="shared" ref="G20:I24" si="9">+G4*$B$19/$B$3</f>
        <v>3352.7167035289485</v>
      </c>
      <c r="H20" s="43">
        <f t="shared" si="9"/>
        <v>3400.5163625224714</v>
      </c>
      <c r="I20" s="43">
        <f t="shared" si="9"/>
        <v>2674.1048596197038</v>
      </c>
      <c r="J20" s="43">
        <f t="shared" ref="J20:O22" si="10">+J12*$B$19/$B$11</f>
        <v>7730.1601489980303</v>
      </c>
      <c r="K20" s="43">
        <f t="shared" si="10"/>
        <v>12853.709929778026</v>
      </c>
      <c r="L20" s="43">
        <f t="shared" si="10"/>
        <v>13590.733042204311</v>
      </c>
      <c r="M20" s="43">
        <f t="shared" si="10"/>
        <v>12012.652832331996</v>
      </c>
      <c r="N20" s="43">
        <f t="shared" si="10"/>
        <v>11422.588212861672</v>
      </c>
      <c r="O20" s="43">
        <f t="shared" si="10"/>
        <v>9344.8405104727899</v>
      </c>
      <c r="P20" s="43"/>
      <c r="Q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</row>
    <row r="21" spans="1:77" ht="12.25" customHeight="1">
      <c r="A21" s="31" t="s">
        <v>134</v>
      </c>
      <c r="B21" s="41"/>
      <c r="C21" s="95"/>
      <c r="D21" s="43"/>
      <c r="E21" s="43">
        <f>+Inputs!E138</f>
        <v>2694.7648194103108</v>
      </c>
      <c r="F21" s="43">
        <f>+Inputs!F138</f>
        <v>2800.0362511380126</v>
      </c>
      <c r="G21" s="43">
        <f t="shared" si="9"/>
        <v>3038.5678569633455</v>
      </c>
      <c r="H21" s="43">
        <f t="shared" si="9"/>
        <v>2607.7136504609093</v>
      </c>
      <c r="I21" s="43">
        <f t="shared" si="9"/>
        <v>2282.2119149386276</v>
      </c>
      <c r="J21" s="43">
        <f t="shared" si="10"/>
        <v>3633.8990744336829</v>
      </c>
      <c r="K21" s="43">
        <f t="shared" si="10"/>
        <v>4457.4790226139239</v>
      </c>
      <c r="L21" s="43">
        <f t="shared" si="10"/>
        <v>5292.9409260110451</v>
      </c>
      <c r="M21" s="43">
        <f t="shared" si="10"/>
        <v>5159.7283475828344</v>
      </c>
      <c r="N21" s="43">
        <f t="shared" si="10"/>
        <v>6265.9369359023831</v>
      </c>
      <c r="O21" s="43">
        <f t="shared" si="10"/>
        <v>5894.1506623077112</v>
      </c>
      <c r="P21" s="43"/>
      <c r="Q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</row>
    <row r="22" spans="1:77" ht="12.25" customHeight="1">
      <c r="A22" s="31" t="s">
        <v>135</v>
      </c>
      <c r="B22" s="41"/>
      <c r="C22" s="95"/>
      <c r="D22" s="43"/>
      <c r="E22" s="43">
        <f>+Inputs!E139</f>
        <v>0</v>
      </c>
      <c r="F22" s="43">
        <f>+Inputs!F139</f>
        <v>0</v>
      </c>
      <c r="G22" s="43">
        <f t="shared" si="9"/>
        <v>0</v>
      </c>
      <c r="H22" s="43">
        <f t="shared" si="9"/>
        <v>0</v>
      </c>
      <c r="I22" s="43">
        <f t="shared" si="9"/>
        <v>0</v>
      </c>
      <c r="J22" s="43">
        <f t="shared" si="10"/>
        <v>270.94123183833835</v>
      </c>
      <c r="K22" s="43">
        <f t="shared" si="10"/>
        <v>268.6235595006284</v>
      </c>
      <c r="L22" s="43">
        <f t="shared" si="10"/>
        <v>266.36689371296217</v>
      </c>
      <c r="M22" s="43">
        <f t="shared" si="10"/>
        <v>264.62600550996495</v>
      </c>
      <c r="N22" s="43">
        <f t="shared" si="10"/>
        <v>262.89649519140789</v>
      </c>
      <c r="O22" s="43">
        <f t="shared" si="10"/>
        <v>261.17828839510389</v>
      </c>
      <c r="P22" s="43"/>
      <c r="Q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</row>
    <row r="23" spans="1:77" ht="12.25" customHeight="1">
      <c r="A23" s="31" t="s">
        <v>136</v>
      </c>
      <c r="B23" s="41"/>
      <c r="C23" s="95"/>
      <c r="D23" s="43"/>
      <c r="E23" s="43">
        <f>+Inputs!E140</f>
        <v>6432.4157948402872</v>
      </c>
      <c r="F23" s="43">
        <f>+Inputs!F140</f>
        <v>7161.8588467645804</v>
      </c>
      <c r="G23" s="43">
        <f t="shared" si="9"/>
        <v>8158.3809328642492</v>
      </c>
      <c r="H23" s="43">
        <f t="shared" ref="H23:I23" si="11">+H7*$B$19/$B$3</f>
        <v>6990.520165418784</v>
      </c>
      <c r="I23" s="43">
        <f t="shared" si="11"/>
        <v>6099.1271824780006</v>
      </c>
      <c r="J23" s="43">
        <f t="shared" ref="J23:O23" si="12">+J15*$B$19/$B$11</f>
        <v>0</v>
      </c>
      <c r="K23" s="43">
        <f t="shared" si="12"/>
        <v>0</v>
      </c>
      <c r="L23" s="43">
        <f t="shared" si="12"/>
        <v>0</v>
      </c>
      <c r="M23" s="43">
        <f t="shared" si="12"/>
        <v>0</v>
      </c>
      <c r="N23" s="43">
        <f t="shared" si="12"/>
        <v>0</v>
      </c>
      <c r="O23" s="43">
        <f t="shared" si="12"/>
        <v>0</v>
      </c>
      <c r="P23" s="43"/>
      <c r="Q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</row>
    <row r="24" spans="1:77" ht="12.25" customHeight="1">
      <c r="A24" s="31" t="s">
        <v>137</v>
      </c>
      <c r="B24" s="41"/>
      <c r="C24" s="95"/>
      <c r="D24" s="43"/>
      <c r="E24" s="43">
        <f>+Inputs!E141</f>
        <v>3292.7010108722338</v>
      </c>
      <c r="F24" s="43">
        <f>+Inputs!F141</f>
        <v>3133.4876903533113</v>
      </c>
      <c r="G24" s="43">
        <f t="shared" si="9"/>
        <v>0</v>
      </c>
      <c r="H24" s="43">
        <f t="shared" ref="H24:I24" si="13">+H8*$B$19/$B$3</f>
        <v>0</v>
      </c>
      <c r="I24" s="43">
        <f t="shared" si="13"/>
        <v>0</v>
      </c>
      <c r="J24" s="43">
        <f t="shared" ref="J24:O24" si="14">+J16*$B$19/$B$11</f>
        <v>0</v>
      </c>
      <c r="K24" s="43">
        <f t="shared" si="14"/>
        <v>0</v>
      </c>
      <c r="L24" s="43">
        <f t="shared" si="14"/>
        <v>0</v>
      </c>
      <c r="M24" s="43">
        <f t="shared" si="14"/>
        <v>0</v>
      </c>
      <c r="N24" s="43">
        <f t="shared" si="14"/>
        <v>0</v>
      </c>
      <c r="O24" s="43">
        <f t="shared" si="14"/>
        <v>0</v>
      </c>
      <c r="P24" s="43"/>
      <c r="Q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</row>
    <row r="25" spans="1:77" ht="12.25" customHeight="1">
      <c r="A25" s="29" t="s">
        <v>132</v>
      </c>
      <c r="C25" s="96"/>
      <c r="D25" s="51"/>
      <c r="E25" s="51">
        <f>SUM(E20:E24)</f>
        <v>14958.928964189165</v>
      </c>
      <c r="F25" s="51">
        <f t="shared" ref="F25" si="15">SUM(F20:F24)</f>
        <v>15718.060779919284</v>
      </c>
      <c r="G25" s="51">
        <f t="shared" ref="G25" si="16">SUM(G20:G24)</f>
        <v>14549.665493356544</v>
      </c>
      <c r="H25" s="51">
        <f t="shared" ref="H25" si="17">SUM(H20:H24)</f>
        <v>12998.750178402164</v>
      </c>
      <c r="I25" s="51">
        <f t="shared" ref="I25" si="18">SUM(I20:I24)</f>
        <v>11055.443957036332</v>
      </c>
      <c r="J25" s="51">
        <f t="shared" ref="J25" si="19">SUM(J20:J24)</f>
        <v>11635.000455270052</v>
      </c>
      <c r="K25" s="51">
        <f t="shared" ref="K25" si="20">SUM(K20:K24)</f>
        <v>17579.812511892578</v>
      </c>
      <c r="L25" s="51">
        <f t="shared" ref="L25" si="21">SUM(L20:L24)</f>
        <v>19150.040861928319</v>
      </c>
      <c r="M25" s="51">
        <f t="shared" ref="M25" si="22">SUM(M20:M24)</f>
        <v>17437.007185424798</v>
      </c>
      <c r="N25" s="51">
        <f t="shared" ref="N25" si="23">SUM(N20:N24)</f>
        <v>17951.421643955466</v>
      </c>
      <c r="O25" s="51">
        <f t="shared" ref="O25" si="24">SUM(O20:O24)</f>
        <v>15500.169461175605</v>
      </c>
      <c r="P25" s="46"/>
      <c r="Q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</row>
    <row r="27" spans="1:77" ht="12.25" customHeight="1">
      <c r="A27" s="32" t="s">
        <v>154</v>
      </c>
    </row>
    <row r="28" spans="1:77" ht="12.25" customHeight="1">
      <c r="A28" s="32" t="s">
        <v>133</v>
      </c>
      <c r="E28" s="35">
        <f>+Inputs!E127</f>
        <v>8741.789823095809</v>
      </c>
      <c r="F28" s="35">
        <f>+Inputs!F127</f>
        <v>9752.2187495037833</v>
      </c>
      <c r="G28" s="35">
        <f>+Inputs!G127</f>
        <v>2900.3057564130677</v>
      </c>
      <c r="H28" s="35">
        <f>+Inputs!H127</f>
        <v>2135.9057457565186</v>
      </c>
      <c r="I28" s="35">
        <f>+Inputs!I127</f>
        <v>2980.8969921706953</v>
      </c>
      <c r="J28" s="35">
        <f>+Inputs!J127</f>
        <v>8243.9800790171594</v>
      </c>
      <c r="K28" s="35">
        <f>+Inputs!K127</f>
        <v>12949.774405433629</v>
      </c>
      <c r="L28" s="35">
        <f>+Inputs!L127</f>
        <v>14101.90452037567</v>
      </c>
      <c r="M28" s="35">
        <f>+Inputs!M127</f>
        <v>12858.75366562329</v>
      </c>
      <c r="N28" s="35">
        <f>+Inputs!N127</f>
        <v>13119.837952112091</v>
      </c>
      <c r="O28" s="35">
        <f>+Inputs!O127</f>
        <v>11790.20553294198</v>
      </c>
    </row>
    <row r="29" spans="1:77" ht="12.25" customHeight="1">
      <c r="A29" s="32" t="s">
        <v>134</v>
      </c>
      <c r="E29" s="35">
        <f>+Inputs!E128</f>
        <v>2694.7648194103108</v>
      </c>
      <c r="F29" s="35">
        <f>+Inputs!F128</f>
        <v>2800.0362511380126</v>
      </c>
      <c r="G29" s="35">
        <f>+Inputs!G128</f>
        <v>3718.3556664539515</v>
      </c>
      <c r="H29" s="35">
        <f>+Inputs!H128</f>
        <v>3038.0472387090676</v>
      </c>
      <c r="I29" s="35">
        <f>+Inputs!I128</f>
        <v>2653.0799970575476</v>
      </c>
      <c r="J29" s="35">
        <f>+Inputs!J128</f>
        <v>2713.7743653814778</v>
      </c>
      <c r="K29" s="35">
        <f>+Inputs!K128</f>
        <v>3466.5344888829263</v>
      </c>
      <c r="L29" s="35">
        <f>+Inputs!L128</f>
        <v>4324.0918878429984</v>
      </c>
      <c r="M29" s="35">
        <f>+Inputs!M128</f>
        <v>4258.0487565592339</v>
      </c>
      <c r="N29" s="35">
        <f>+Inputs!N128</f>
        <v>5443.1837894531145</v>
      </c>
      <c r="O29" s="35">
        <f>+Inputs!O128</f>
        <v>5213.7405423742593</v>
      </c>
    </row>
    <row r="30" spans="1:77" ht="12.25" customHeight="1">
      <c r="A30" s="32" t="s">
        <v>135</v>
      </c>
      <c r="E30" s="35">
        <f>+Inputs!E129</f>
        <v>0</v>
      </c>
      <c r="F30" s="35">
        <f>+Inputs!F129</f>
        <v>0</v>
      </c>
      <c r="G30" s="35">
        <f>+Inputs!G129</f>
        <v>0</v>
      </c>
      <c r="H30" s="35">
        <f>+Inputs!H129</f>
        <v>0</v>
      </c>
      <c r="I30" s="35">
        <f>+Inputs!I129</f>
        <v>0</v>
      </c>
      <c r="J30" s="35">
        <f>+Inputs!J129</f>
        <v>137.24556938931298</v>
      </c>
      <c r="K30" s="35">
        <f>+Inputs!K129</f>
        <v>243.89436573389654</v>
      </c>
      <c r="L30" s="35">
        <f>+Inputs!L129</f>
        <v>228.9249463917526</v>
      </c>
      <c r="M30" s="35">
        <f>+Inputs!M129</f>
        <v>165.482</v>
      </c>
      <c r="N30" s="35">
        <f>+Inputs!N129</f>
        <v>301.41711306486377</v>
      </c>
      <c r="O30" s="35">
        <f>+Inputs!O129</f>
        <v>267.42632333333336</v>
      </c>
    </row>
    <row r="31" spans="1:77" ht="12.25" customHeight="1">
      <c r="A31" s="32" t="s">
        <v>136</v>
      </c>
      <c r="E31" s="35">
        <f>+Inputs!E130</f>
        <v>3292.7010108722338</v>
      </c>
      <c r="F31" s="35">
        <f>+Inputs!F130</f>
        <v>3133.4876903533113</v>
      </c>
      <c r="G31" s="35">
        <f>+Inputs!G130</f>
        <v>8009.8025384930879</v>
      </c>
      <c r="H31" s="35">
        <f>+Inputs!H130</f>
        <v>6764.4009149642161</v>
      </c>
      <c r="I31" s="35">
        <f>+Inputs!I130</f>
        <v>5847.950038729502</v>
      </c>
      <c r="J31" s="35">
        <f>+Inputs!J130</f>
        <v>0</v>
      </c>
      <c r="K31" s="35">
        <f>+Inputs!K130</f>
        <v>0</v>
      </c>
      <c r="L31" s="35">
        <f>+Inputs!L130</f>
        <v>0</v>
      </c>
      <c r="M31" s="35">
        <f>+Inputs!M130</f>
        <v>0</v>
      </c>
      <c r="N31" s="35">
        <f>+Inputs!N130</f>
        <v>0</v>
      </c>
      <c r="O31" s="35">
        <f>+Inputs!O130</f>
        <v>0</v>
      </c>
    </row>
    <row r="32" spans="1:77" ht="12.25" customHeight="1">
      <c r="A32" s="32" t="s">
        <v>137</v>
      </c>
      <c r="E32" s="35">
        <f>+Inputs!E131</f>
        <v>229.67331081081082</v>
      </c>
      <c r="F32" s="35">
        <f>+Inputs!F131</f>
        <v>32.318088924176259</v>
      </c>
      <c r="G32" s="35">
        <f>+Inputs!G131</f>
        <v>112.96618672360246</v>
      </c>
      <c r="H32" s="35">
        <f>+Inputs!H131</f>
        <v>107.25851926040062</v>
      </c>
      <c r="I32" s="35">
        <f>+Inputs!I131</f>
        <v>4.5072672706681773</v>
      </c>
      <c r="J32" s="35">
        <f>+Inputs!J131</f>
        <v>0</v>
      </c>
      <c r="K32" s="35">
        <f>+Inputs!K131</f>
        <v>0</v>
      </c>
      <c r="L32" s="35">
        <f>+Inputs!L131</f>
        <v>0</v>
      </c>
      <c r="M32" s="35">
        <f>+Inputs!M131</f>
        <v>0</v>
      </c>
      <c r="N32" s="35">
        <f>+Inputs!N131</f>
        <v>0</v>
      </c>
      <c r="O32" s="35">
        <f>+Inputs!O131</f>
        <v>0</v>
      </c>
    </row>
    <row r="33" spans="1:15" ht="12.25" customHeight="1">
      <c r="A33" s="32" t="s">
        <v>132</v>
      </c>
      <c r="D33" s="52"/>
      <c r="E33" s="52">
        <f t="shared" ref="E33" si="25">SUM(E28:E32)</f>
        <v>14958.928964189165</v>
      </c>
      <c r="F33" s="52">
        <f t="shared" ref="F33" si="26">SUM(F28:F32)</f>
        <v>15718.060779919282</v>
      </c>
      <c r="G33" s="52">
        <f t="shared" ref="G33" si="27">SUM(G28:G32)</f>
        <v>14741.430148083709</v>
      </c>
      <c r="H33" s="52">
        <f t="shared" ref="H33" si="28">SUM(H28:H32)</f>
        <v>12045.612418690203</v>
      </c>
      <c r="I33" s="52">
        <f t="shared" ref="I33" si="29">SUM(I28:I32)</f>
        <v>11486.434295228413</v>
      </c>
      <c r="J33" s="52">
        <f t="shared" ref="J33" si="30">SUM(J28:J32)</f>
        <v>11095.000013787951</v>
      </c>
      <c r="K33" s="52">
        <f t="shared" ref="K33" si="31">SUM(K28:K32)</f>
        <v>16660.203260050454</v>
      </c>
      <c r="L33" s="52">
        <f t="shared" ref="L33" si="32">SUM(L28:L32)</f>
        <v>18654.921354610422</v>
      </c>
      <c r="M33" s="52">
        <f t="shared" ref="M33" si="33">SUM(M28:M32)</f>
        <v>17282.284422182525</v>
      </c>
      <c r="N33" s="52">
        <f t="shared" ref="N33" si="34">SUM(N28:N32)</f>
        <v>18864.438854630072</v>
      </c>
      <c r="O33" s="52">
        <f t="shared" ref="O33" si="35">SUM(O28:O32)</f>
        <v>17271.372398649572</v>
      </c>
    </row>
    <row r="35" spans="1:15" ht="12.25" customHeight="1">
      <c r="A35" s="32" t="s">
        <v>156</v>
      </c>
      <c r="E35" s="35">
        <f t="shared" ref="E35:O35" si="36">+E33-E25</f>
        <v>0</v>
      </c>
      <c r="F35" s="35">
        <f t="shared" si="36"/>
        <v>0</v>
      </c>
      <c r="G35" s="35">
        <f t="shared" si="36"/>
        <v>191.76465472716518</v>
      </c>
      <c r="H35" s="35">
        <f t="shared" si="36"/>
        <v>-953.13775971196083</v>
      </c>
      <c r="I35" s="35">
        <f t="shared" si="36"/>
        <v>430.99033819208125</v>
      </c>
      <c r="J35" s="35">
        <f t="shared" si="36"/>
        <v>-540.00044148210145</v>
      </c>
      <c r="K35" s="35">
        <f t="shared" si="36"/>
        <v>-919.60925184212465</v>
      </c>
      <c r="L35" s="35">
        <f t="shared" si="36"/>
        <v>-495.11950731789693</v>
      </c>
      <c r="M35" s="35">
        <f t="shared" si="36"/>
        <v>-154.72276324227278</v>
      </c>
      <c r="N35" s="35">
        <f t="shared" si="36"/>
        <v>913.01721067460676</v>
      </c>
      <c r="O35" s="35">
        <f t="shared" si="36"/>
        <v>1771.2029374739668</v>
      </c>
    </row>
    <row r="36" spans="1:15" ht="12.25" customHeight="1">
      <c r="A36" s="32" t="s">
        <v>165</v>
      </c>
      <c r="E36" s="118">
        <f>+Inputs!E134</f>
        <v>0</v>
      </c>
      <c r="F36" s="118">
        <f>+Inputs!F134</f>
        <v>0</v>
      </c>
      <c r="G36" s="118">
        <f>+Inputs!G134</f>
        <v>15</v>
      </c>
      <c r="H36" s="118">
        <f>+Inputs!H134</f>
        <v>39</v>
      </c>
      <c r="I36" s="118">
        <f>+Inputs!I134</f>
        <v>22</v>
      </c>
      <c r="J36" s="118">
        <f>+Inputs!J134</f>
        <v>11.964248890316634</v>
      </c>
      <c r="K36" s="118">
        <f>+Inputs!K134</f>
        <v>14.303489395791781</v>
      </c>
      <c r="L36" s="118">
        <f>+Inputs!L134</f>
        <v>13.961076103155962</v>
      </c>
      <c r="M36" s="118">
        <f>+Inputs!M134</f>
        <v>12.519563528062786</v>
      </c>
      <c r="N36" s="118">
        <f>+Inputs!N134</f>
        <v>35</v>
      </c>
      <c r="O36" s="118">
        <f>+Inputs!O134</f>
        <v>39</v>
      </c>
    </row>
    <row r="38" spans="1:15" ht="12.25" customHeight="1">
      <c r="A38" s="32" t="s">
        <v>155</v>
      </c>
    </row>
    <row r="39" spans="1:15" ht="12.25" customHeight="1">
      <c r="A39" s="32" t="s">
        <v>133</v>
      </c>
      <c r="E39" s="35">
        <f t="shared" ref="E39:O39" si="37">IF(E$35&lt;0,E28,E20)</f>
        <v>2539.0473390663333</v>
      </c>
      <c r="F39" s="35">
        <f t="shared" si="37"/>
        <v>2622.6779916633795</v>
      </c>
      <c r="G39" s="35">
        <f t="shared" si="37"/>
        <v>3352.7167035289485</v>
      </c>
      <c r="H39" s="35">
        <f t="shared" si="37"/>
        <v>2135.9057457565186</v>
      </c>
      <c r="I39" s="35">
        <f t="shared" si="37"/>
        <v>2674.1048596197038</v>
      </c>
      <c r="J39" s="35">
        <f t="shared" si="37"/>
        <v>8243.9800790171594</v>
      </c>
      <c r="K39" s="35">
        <f t="shared" si="37"/>
        <v>12949.774405433629</v>
      </c>
      <c r="L39" s="35">
        <f t="shared" si="37"/>
        <v>14101.90452037567</v>
      </c>
      <c r="M39" s="35">
        <f t="shared" si="37"/>
        <v>12858.75366562329</v>
      </c>
      <c r="N39" s="35">
        <f t="shared" si="37"/>
        <v>11422.588212861672</v>
      </c>
      <c r="O39" s="35">
        <f t="shared" si="37"/>
        <v>9344.8405104727899</v>
      </c>
    </row>
    <row r="40" spans="1:15" ht="12.25" customHeight="1">
      <c r="A40" s="32" t="s">
        <v>134</v>
      </c>
      <c r="E40" s="35">
        <f t="shared" ref="E40:O40" si="38">IF(E$35&lt;0,E29,E21)</f>
        <v>2694.7648194103108</v>
      </c>
      <c r="F40" s="35">
        <f t="shared" si="38"/>
        <v>2800.0362511380126</v>
      </c>
      <c r="G40" s="35">
        <f t="shared" si="38"/>
        <v>3038.5678569633455</v>
      </c>
      <c r="H40" s="35">
        <f t="shared" si="38"/>
        <v>3038.0472387090676</v>
      </c>
      <c r="I40" s="35">
        <f t="shared" si="38"/>
        <v>2282.2119149386276</v>
      </c>
      <c r="J40" s="35">
        <f t="shared" si="38"/>
        <v>2713.7743653814778</v>
      </c>
      <c r="K40" s="35">
        <f t="shared" si="38"/>
        <v>3466.5344888829263</v>
      </c>
      <c r="L40" s="35">
        <f t="shared" si="38"/>
        <v>4324.0918878429984</v>
      </c>
      <c r="M40" s="35">
        <f t="shared" si="38"/>
        <v>4258.0487565592339</v>
      </c>
      <c r="N40" s="35">
        <f t="shared" si="38"/>
        <v>6265.9369359023831</v>
      </c>
      <c r="O40" s="35">
        <f t="shared" si="38"/>
        <v>5894.1506623077112</v>
      </c>
    </row>
    <row r="41" spans="1:15" ht="12.25" customHeight="1">
      <c r="A41" s="32" t="s">
        <v>135</v>
      </c>
      <c r="E41" s="35">
        <f t="shared" ref="E41:O41" si="39">IF(E$35&lt;0,E30,E22)</f>
        <v>0</v>
      </c>
      <c r="F41" s="35">
        <f t="shared" si="39"/>
        <v>0</v>
      </c>
      <c r="G41" s="35">
        <f t="shared" si="39"/>
        <v>0</v>
      </c>
      <c r="H41" s="35">
        <f t="shared" si="39"/>
        <v>0</v>
      </c>
      <c r="I41" s="35">
        <f t="shared" si="39"/>
        <v>0</v>
      </c>
      <c r="J41" s="35">
        <f t="shared" si="39"/>
        <v>137.24556938931298</v>
      </c>
      <c r="K41" s="35">
        <f t="shared" si="39"/>
        <v>243.89436573389654</v>
      </c>
      <c r="L41" s="35">
        <f t="shared" si="39"/>
        <v>228.9249463917526</v>
      </c>
      <c r="M41" s="35">
        <f t="shared" si="39"/>
        <v>165.482</v>
      </c>
      <c r="N41" s="35">
        <f t="shared" si="39"/>
        <v>262.89649519140789</v>
      </c>
      <c r="O41" s="35">
        <f t="shared" si="39"/>
        <v>261.17828839510389</v>
      </c>
    </row>
    <row r="42" spans="1:15" ht="12.25" customHeight="1">
      <c r="A42" s="32" t="s">
        <v>136</v>
      </c>
      <c r="E42" s="35">
        <f t="shared" ref="E42:O42" si="40">IF(E$35&lt;0,E31,E23)</f>
        <v>6432.4157948402872</v>
      </c>
      <c r="F42" s="35">
        <f t="shared" si="40"/>
        <v>7161.8588467645804</v>
      </c>
      <c r="G42" s="35">
        <f t="shared" si="40"/>
        <v>8158.3809328642492</v>
      </c>
      <c r="H42" s="35">
        <f t="shared" si="40"/>
        <v>6764.4009149642161</v>
      </c>
      <c r="I42" s="35">
        <f t="shared" si="40"/>
        <v>6099.1271824780006</v>
      </c>
      <c r="J42" s="35">
        <f t="shared" si="40"/>
        <v>0</v>
      </c>
      <c r="K42" s="35">
        <f t="shared" si="40"/>
        <v>0</v>
      </c>
      <c r="L42" s="35">
        <f t="shared" si="40"/>
        <v>0</v>
      </c>
      <c r="M42" s="35">
        <f t="shared" si="40"/>
        <v>0</v>
      </c>
      <c r="N42" s="35">
        <f t="shared" si="40"/>
        <v>0</v>
      </c>
      <c r="O42" s="35">
        <f t="shared" si="40"/>
        <v>0</v>
      </c>
    </row>
    <row r="43" spans="1:15" ht="12.25" customHeight="1">
      <c r="A43" s="32" t="s">
        <v>137</v>
      </c>
      <c r="E43" s="35">
        <f t="shared" ref="E43:O43" si="41">IF(E$35&lt;0,E32,E24)</f>
        <v>3292.7010108722338</v>
      </c>
      <c r="F43" s="35">
        <f t="shared" si="41"/>
        <v>3133.4876903533113</v>
      </c>
      <c r="G43" s="35">
        <f t="shared" si="41"/>
        <v>0</v>
      </c>
      <c r="H43" s="35">
        <f t="shared" si="41"/>
        <v>107.25851926040062</v>
      </c>
      <c r="I43" s="35">
        <f t="shared" si="41"/>
        <v>0</v>
      </c>
      <c r="J43" s="35">
        <f t="shared" si="41"/>
        <v>0</v>
      </c>
      <c r="K43" s="35">
        <f t="shared" si="41"/>
        <v>0</v>
      </c>
      <c r="L43" s="35">
        <f t="shared" si="41"/>
        <v>0</v>
      </c>
      <c r="M43" s="35">
        <f t="shared" si="41"/>
        <v>0</v>
      </c>
      <c r="N43" s="35">
        <f t="shared" si="41"/>
        <v>0</v>
      </c>
      <c r="O43" s="35">
        <f t="shared" si="41"/>
        <v>0</v>
      </c>
    </row>
    <row r="44" spans="1:15" ht="12.25" customHeight="1">
      <c r="A44" s="32" t="s">
        <v>132</v>
      </c>
      <c r="D44" s="52"/>
      <c r="E44" s="52">
        <f>SUM(E39:E43)</f>
        <v>14958.928964189165</v>
      </c>
      <c r="F44" s="52">
        <f t="shared" ref="F44" si="42">SUM(F39:F43)</f>
        <v>15718.060779919284</v>
      </c>
      <c r="G44" s="52">
        <f t="shared" ref="G44" si="43">SUM(G39:G43)</f>
        <v>14549.665493356544</v>
      </c>
      <c r="H44" s="52">
        <f t="shared" ref="H44" si="44">SUM(H39:H43)</f>
        <v>12045.612418690203</v>
      </c>
      <c r="I44" s="52">
        <f t="shared" ref="I44" si="45">SUM(I39:I43)</f>
        <v>11055.443957036332</v>
      </c>
      <c r="J44" s="52">
        <f t="shared" ref="J44" si="46">SUM(J39:J43)</f>
        <v>11095.000013787951</v>
      </c>
      <c r="K44" s="52">
        <f t="shared" ref="K44" si="47">SUM(K39:K43)</f>
        <v>16660.203260050454</v>
      </c>
      <c r="L44" s="52">
        <f t="shared" ref="L44" si="48">SUM(L39:L43)</f>
        <v>18654.921354610422</v>
      </c>
      <c r="M44" s="52">
        <f t="shared" ref="M44" si="49">SUM(M39:M43)</f>
        <v>17282.284422182525</v>
      </c>
      <c r="N44" s="52">
        <f t="shared" ref="N44" si="50">SUM(N39:N43)</f>
        <v>17951.421643955466</v>
      </c>
      <c r="O44" s="52">
        <f t="shared" ref="O44" si="51">SUM(O39:O43)</f>
        <v>15500.169461175605</v>
      </c>
    </row>
    <row r="46" spans="1:15" ht="12.25" customHeight="1">
      <c r="A46" s="32" t="s">
        <v>164</v>
      </c>
    </row>
    <row r="47" spans="1:15" ht="12.25" customHeight="1">
      <c r="A47" s="32" t="s">
        <v>160</v>
      </c>
      <c r="E47" s="35">
        <f>+Inputs!E144</f>
        <v>0</v>
      </c>
      <c r="F47" s="35">
        <f>+Inputs!F144</f>
        <v>0</v>
      </c>
      <c r="G47" s="35">
        <f>+Inputs!G144</f>
        <v>441</v>
      </c>
      <c r="H47" s="35">
        <f>+Inputs!H144</f>
        <v>707</v>
      </c>
      <c r="I47" s="35">
        <f>+Inputs!I144</f>
        <v>398</v>
      </c>
    </row>
    <row r="48" spans="1:15" ht="12.25" customHeight="1">
      <c r="A48" s="32" t="s">
        <v>161</v>
      </c>
      <c r="E48" s="35">
        <f>+Inputs!E145</f>
        <v>0</v>
      </c>
      <c r="F48" s="35">
        <f>+Inputs!F145</f>
        <v>0</v>
      </c>
      <c r="G48" s="35">
        <f>+Inputs!G145</f>
        <v>24</v>
      </c>
      <c r="H48" s="35">
        <f>+Inputs!H145</f>
        <v>25</v>
      </c>
      <c r="I48" s="35">
        <f>+Inputs!I145</f>
        <v>22</v>
      </c>
    </row>
    <row r="49" spans="1:77" ht="12.25" customHeight="1">
      <c r="A49" s="32" t="s">
        <v>162</v>
      </c>
      <c r="E49" s="35">
        <f t="shared" ref="E49:O49" si="52">IF(E35&gt;0,E35,0)</f>
        <v>0</v>
      </c>
      <c r="F49" s="35">
        <f t="shared" si="52"/>
        <v>0</v>
      </c>
      <c r="G49" s="35">
        <f t="shared" si="52"/>
        <v>191.76465472716518</v>
      </c>
      <c r="H49" s="35">
        <f t="shared" si="52"/>
        <v>0</v>
      </c>
      <c r="I49" s="35">
        <f t="shared" si="52"/>
        <v>430.99033819208125</v>
      </c>
      <c r="J49" s="35">
        <f t="shared" si="52"/>
        <v>0</v>
      </c>
      <c r="K49" s="35">
        <f t="shared" si="52"/>
        <v>0</v>
      </c>
      <c r="L49" s="35">
        <f t="shared" si="52"/>
        <v>0</v>
      </c>
      <c r="M49" s="35">
        <f t="shared" si="52"/>
        <v>0</v>
      </c>
      <c r="N49" s="35">
        <f t="shared" si="52"/>
        <v>913.01721067460676</v>
      </c>
      <c r="O49" s="35">
        <f t="shared" si="52"/>
        <v>1771.2029374739668</v>
      </c>
    </row>
    <row r="50" spans="1:77" ht="12.25" customHeight="1">
      <c r="A50" s="32" t="s">
        <v>157</v>
      </c>
      <c r="E50" s="35">
        <f t="shared" ref="E50:O50" si="53">+E36</f>
        <v>0</v>
      </c>
      <c r="F50" s="35">
        <f t="shared" si="53"/>
        <v>0</v>
      </c>
      <c r="G50" s="35">
        <f t="shared" si="53"/>
        <v>15</v>
      </c>
      <c r="H50" s="35">
        <f t="shared" si="53"/>
        <v>39</v>
      </c>
      <c r="I50" s="35">
        <f t="shared" si="53"/>
        <v>22</v>
      </c>
      <c r="J50" s="35">
        <f t="shared" si="53"/>
        <v>11.964248890316634</v>
      </c>
      <c r="K50" s="35">
        <f t="shared" si="53"/>
        <v>14.303489395791781</v>
      </c>
      <c r="L50" s="35">
        <f t="shared" si="53"/>
        <v>13.961076103155962</v>
      </c>
      <c r="M50" s="35">
        <f t="shared" si="53"/>
        <v>12.519563528062786</v>
      </c>
      <c r="N50" s="35">
        <f t="shared" si="53"/>
        <v>35</v>
      </c>
      <c r="O50" s="35">
        <f t="shared" si="53"/>
        <v>39</v>
      </c>
    </row>
    <row r="51" spans="1:77" ht="12.25" customHeight="1">
      <c r="A51" s="32" t="s">
        <v>158</v>
      </c>
      <c r="E51" s="35">
        <f t="shared" ref="E51:N51" si="54">IF(E50&gt;0,E49/E50,0)</f>
        <v>0</v>
      </c>
      <c r="F51" s="35">
        <f t="shared" si="54"/>
        <v>0</v>
      </c>
      <c r="G51" s="35">
        <f t="shared" si="54"/>
        <v>12.784310315144346</v>
      </c>
      <c r="H51" s="35">
        <f t="shared" si="54"/>
        <v>0</v>
      </c>
      <c r="I51" s="35">
        <f t="shared" si="54"/>
        <v>19.590469917821874</v>
      </c>
      <c r="J51" s="35">
        <f t="shared" si="54"/>
        <v>0</v>
      </c>
      <c r="K51" s="35">
        <f t="shared" si="54"/>
        <v>0</v>
      </c>
      <c r="L51" s="35">
        <f t="shared" si="54"/>
        <v>0</v>
      </c>
      <c r="M51" s="35">
        <f t="shared" si="54"/>
        <v>0</v>
      </c>
      <c r="N51" s="35">
        <f t="shared" si="54"/>
        <v>26.086206019274478</v>
      </c>
      <c r="O51" s="35">
        <f>IF(O50&gt;0,O49/O50,0)</f>
        <v>45.415459935229919</v>
      </c>
    </row>
    <row r="52" spans="1:77" ht="12.25" customHeight="1">
      <c r="A52" s="32" t="s">
        <v>159</v>
      </c>
      <c r="E52" s="35">
        <f t="shared" ref="E52:N52" si="55">+E49-(E51*5)</f>
        <v>0</v>
      </c>
      <c r="F52" s="35">
        <f t="shared" si="55"/>
        <v>0</v>
      </c>
      <c r="G52" s="35">
        <f t="shared" si="55"/>
        <v>127.84310315144344</v>
      </c>
      <c r="H52" s="35">
        <f t="shared" si="55"/>
        <v>0</v>
      </c>
      <c r="I52" s="35">
        <f t="shared" si="55"/>
        <v>333.03798860297189</v>
      </c>
      <c r="J52" s="35">
        <f t="shared" si="55"/>
        <v>0</v>
      </c>
      <c r="K52" s="35">
        <f t="shared" si="55"/>
        <v>0</v>
      </c>
      <c r="L52" s="35">
        <f t="shared" si="55"/>
        <v>0</v>
      </c>
      <c r="M52" s="35">
        <f t="shared" si="55"/>
        <v>0</v>
      </c>
      <c r="N52" s="35">
        <f t="shared" si="55"/>
        <v>782.58618057823435</v>
      </c>
      <c r="O52" s="35">
        <f>+O49-(O51*5)</f>
        <v>1544.1256377978173</v>
      </c>
    </row>
    <row r="54" spans="1:77" ht="12.25" customHeight="1">
      <c r="A54" s="50" t="s">
        <v>5</v>
      </c>
      <c r="C54" s="70"/>
      <c r="D54" s="16"/>
      <c r="E54" s="16">
        <f t="shared" ref="E54:I55" si="56">+E47</f>
        <v>0</v>
      </c>
      <c r="F54" s="16">
        <f t="shared" si="56"/>
        <v>0</v>
      </c>
      <c r="G54" s="16">
        <f t="shared" si="56"/>
        <v>441</v>
      </c>
      <c r="H54" s="16">
        <f t="shared" si="56"/>
        <v>707</v>
      </c>
      <c r="I54" s="16">
        <f t="shared" si="56"/>
        <v>398</v>
      </c>
      <c r="J54" s="16">
        <f>+E52</f>
        <v>0</v>
      </c>
      <c r="K54" s="16">
        <f t="shared" ref="K54:T54" si="57">+F52</f>
        <v>0</v>
      </c>
      <c r="L54" s="16">
        <f t="shared" si="57"/>
        <v>127.84310315144344</v>
      </c>
      <c r="M54" s="16">
        <f t="shared" si="57"/>
        <v>0</v>
      </c>
      <c r="N54" s="16">
        <f t="shared" si="57"/>
        <v>333.03798860297189</v>
      </c>
      <c r="O54" s="16">
        <f t="shared" si="57"/>
        <v>0</v>
      </c>
      <c r="P54" s="16">
        <f t="shared" si="57"/>
        <v>0</v>
      </c>
      <c r="Q54" s="16">
        <f t="shared" si="57"/>
        <v>0</v>
      </c>
      <c r="R54" s="16">
        <f t="shared" si="57"/>
        <v>0</v>
      </c>
      <c r="S54" s="16">
        <f t="shared" si="57"/>
        <v>782.58618057823435</v>
      </c>
      <c r="T54" s="16">
        <f t="shared" si="57"/>
        <v>1544.1256377978173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</row>
    <row r="55" spans="1:77" ht="12.25" customHeight="1">
      <c r="A55" s="50" t="s">
        <v>6</v>
      </c>
      <c r="C55" s="70"/>
      <c r="D55" s="16"/>
      <c r="E55" s="16">
        <f t="shared" si="56"/>
        <v>0</v>
      </c>
      <c r="F55" s="16">
        <f t="shared" si="56"/>
        <v>0</v>
      </c>
      <c r="G55" s="16">
        <f t="shared" si="56"/>
        <v>24</v>
      </c>
      <c r="H55" s="16">
        <f t="shared" si="56"/>
        <v>25</v>
      </c>
      <c r="I55" s="16">
        <f t="shared" si="56"/>
        <v>22</v>
      </c>
      <c r="J55" s="16">
        <f>+E50</f>
        <v>0</v>
      </c>
      <c r="K55" s="16">
        <f t="shared" ref="K55:T55" si="58">+F50</f>
        <v>0</v>
      </c>
      <c r="L55" s="16">
        <f t="shared" si="58"/>
        <v>15</v>
      </c>
      <c r="M55" s="16">
        <f t="shared" si="58"/>
        <v>39</v>
      </c>
      <c r="N55" s="16">
        <f t="shared" si="58"/>
        <v>22</v>
      </c>
      <c r="O55" s="16">
        <f t="shared" si="58"/>
        <v>11.964248890316634</v>
      </c>
      <c r="P55" s="16">
        <f t="shared" si="58"/>
        <v>14.303489395791781</v>
      </c>
      <c r="Q55" s="16">
        <f t="shared" si="58"/>
        <v>13.961076103155962</v>
      </c>
      <c r="R55" s="16">
        <f t="shared" si="58"/>
        <v>12.519563528062786</v>
      </c>
      <c r="S55" s="16">
        <f t="shared" si="58"/>
        <v>35</v>
      </c>
      <c r="T55" s="16">
        <f t="shared" si="58"/>
        <v>39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</row>
    <row r="57" spans="1:77" ht="12.25" customHeight="1">
      <c r="A57" s="50">
        <v>2007</v>
      </c>
      <c r="C57" s="70"/>
      <c r="D57" s="16"/>
      <c r="E57" s="16">
        <f>IF(E54=0,0,E54/E55)</f>
        <v>0</v>
      </c>
      <c r="F57" s="16">
        <f t="shared" ref="F57:BF63" si="59">E57</f>
        <v>0</v>
      </c>
      <c r="G57" s="16">
        <f t="shared" si="59"/>
        <v>0</v>
      </c>
      <c r="H57" s="16">
        <f t="shared" si="59"/>
        <v>0</v>
      </c>
      <c r="I57" s="16">
        <f t="shared" si="59"/>
        <v>0</v>
      </c>
      <c r="J57" s="16">
        <f t="shared" si="59"/>
        <v>0</v>
      </c>
      <c r="K57" s="16">
        <f t="shared" si="59"/>
        <v>0</v>
      </c>
      <c r="L57" s="16">
        <f t="shared" si="59"/>
        <v>0</v>
      </c>
      <c r="M57" s="16">
        <f t="shared" si="59"/>
        <v>0</v>
      </c>
      <c r="N57" s="16">
        <f t="shared" si="59"/>
        <v>0</v>
      </c>
      <c r="O57" s="16">
        <f t="shared" si="59"/>
        <v>0</v>
      </c>
      <c r="P57" s="16">
        <f t="shared" si="59"/>
        <v>0</v>
      </c>
      <c r="Q57" s="16">
        <f t="shared" si="59"/>
        <v>0</v>
      </c>
      <c r="R57" s="16">
        <f t="shared" si="59"/>
        <v>0</v>
      </c>
      <c r="S57" s="16">
        <f t="shared" si="59"/>
        <v>0</v>
      </c>
      <c r="T57" s="16">
        <f t="shared" si="59"/>
        <v>0</v>
      </c>
      <c r="U57" s="16">
        <f t="shared" si="59"/>
        <v>0</v>
      </c>
      <c r="V57" s="16">
        <f t="shared" si="59"/>
        <v>0</v>
      </c>
      <c r="W57" s="16">
        <f t="shared" si="59"/>
        <v>0</v>
      </c>
      <c r="X57" s="16">
        <f t="shared" si="59"/>
        <v>0</v>
      </c>
      <c r="Y57" s="16">
        <f t="shared" si="59"/>
        <v>0</v>
      </c>
      <c r="Z57" s="16">
        <f t="shared" si="59"/>
        <v>0</v>
      </c>
      <c r="AA57" s="16">
        <f t="shared" si="59"/>
        <v>0</v>
      </c>
      <c r="AB57" s="16">
        <f t="shared" si="59"/>
        <v>0</v>
      </c>
      <c r="AC57" s="16">
        <f t="shared" si="59"/>
        <v>0</v>
      </c>
      <c r="AD57" s="16">
        <f t="shared" si="59"/>
        <v>0</v>
      </c>
      <c r="AE57" s="16">
        <f t="shared" si="59"/>
        <v>0</v>
      </c>
      <c r="AF57" s="16">
        <f t="shared" si="59"/>
        <v>0</v>
      </c>
      <c r="AG57" s="16">
        <f t="shared" si="59"/>
        <v>0</v>
      </c>
      <c r="AH57" s="16">
        <f t="shared" si="59"/>
        <v>0</v>
      </c>
      <c r="AI57" s="16">
        <f t="shared" si="59"/>
        <v>0</v>
      </c>
      <c r="AJ57" s="16">
        <f t="shared" si="59"/>
        <v>0</v>
      </c>
      <c r="AK57" s="16">
        <f t="shared" si="59"/>
        <v>0</v>
      </c>
      <c r="AL57" s="16">
        <f t="shared" si="59"/>
        <v>0</v>
      </c>
      <c r="AM57" s="16">
        <f t="shared" si="59"/>
        <v>0</v>
      </c>
      <c r="AN57" s="16">
        <f t="shared" si="59"/>
        <v>0</v>
      </c>
      <c r="AO57" s="16">
        <f t="shared" si="59"/>
        <v>0</v>
      </c>
      <c r="AP57" s="16">
        <f t="shared" si="59"/>
        <v>0</v>
      </c>
      <c r="AQ57" s="16">
        <f t="shared" si="59"/>
        <v>0</v>
      </c>
      <c r="AR57" s="16">
        <f t="shared" si="59"/>
        <v>0</v>
      </c>
      <c r="AS57" s="16">
        <f t="shared" si="59"/>
        <v>0</v>
      </c>
      <c r="AT57" s="16">
        <f t="shared" si="59"/>
        <v>0</v>
      </c>
      <c r="AU57" s="16">
        <f t="shared" si="59"/>
        <v>0</v>
      </c>
      <c r="AV57" s="16">
        <f t="shared" si="59"/>
        <v>0</v>
      </c>
      <c r="AW57" s="16">
        <f t="shared" si="59"/>
        <v>0</v>
      </c>
      <c r="AX57" s="16">
        <f t="shared" si="59"/>
        <v>0</v>
      </c>
      <c r="AY57" s="16">
        <f t="shared" si="59"/>
        <v>0</v>
      </c>
      <c r="AZ57" s="16">
        <f t="shared" si="59"/>
        <v>0</v>
      </c>
      <c r="BA57" s="16">
        <f t="shared" si="59"/>
        <v>0</v>
      </c>
      <c r="BB57" s="16">
        <f t="shared" si="59"/>
        <v>0</v>
      </c>
      <c r="BC57" s="16">
        <f t="shared" si="59"/>
        <v>0</v>
      </c>
      <c r="BD57" s="16">
        <f t="shared" si="59"/>
        <v>0</v>
      </c>
      <c r="BE57" s="16">
        <f t="shared" si="59"/>
        <v>0</v>
      </c>
      <c r="BF57" s="16">
        <f t="shared" si="59"/>
        <v>0</v>
      </c>
      <c r="BG57" s="16" t="str">
        <f>IF(SUM(E57:BF57)=E$54,"OK","ERROR")</f>
        <v>OK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</row>
    <row r="58" spans="1:77" ht="12.25" customHeight="1">
      <c r="A58" s="50">
        <v>2008</v>
      </c>
      <c r="C58" s="70"/>
      <c r="D58" s="16"/>
      <c r="E58" s="16"/>
      <c r="F58" s="16">
        <f>IF(F54=0,0,F54/F55)</f>
        <v>0</v>
      </c>
      <c r="G58" s="16">
        <f t="shared" si="59"/>
        <v>0</v>
      </c>
      <c r="H58" s="16">
        <f t="shared" si="59"/>
        <v>0</v>
      </c>
      <c r="I58" s="16">
        <f t="shared" si="59"/>
        <v>0</v>
      </c>
      <c r="J58" s="16">
        <f t="shared" si="59"/>
        <v>0</v>
      </c>
      <c r="K58" s="16">
        <f t="shared" si="59"/>
        <v>0</v>
      </c>
      <c r="L58" s="16">
        <f t="shared" si="59"/>
        <v>0</v>
      </c>
      <c r="M58" s="16">
        <f t="shared" si="59"/>
        <v>0</v>
      </c>
      <c r="N58" s="16">
        <f t="shared" si="59"/>
        <v>0</v>
      </c>
      <c r="O58" s="16">
        <f t="shared" si="59"/>
        <v>0</v>
      </c>
      <c r="P58" s="16">
        <f t="shared" si="59"/>
        <v>0</v>
      </c>
      <c r="Q58" s="16">
        <f t="shared" si="59"/>
        <v>0</v>
      </c>
      <c r="R58" s="16">
        <f t="shared" si="59"/>
        <v>0</v>
      </c>
      <c r="S58" s="16">
        <f t="shared" si="59"/>
        <v>0</v>
      </c>
      <c r="T58" s="16">
        <f t="shared" si="59"/>
        <v>0</v>
      </c>
      <c r="U58" s="16">
        <f t="shared" si="59"/>
        <v>0</v>
      </c>
      <c r="V58" s="16">
        <f t="shared" si="59"/>
        <v>0</v>
      </c>
      <c r="W58" s="16">
        <f t="shared" si="59"/>
        <v>0</v>
      </c>
      <c r="X58" s="16">
        <f t="shared" si="59"/>
        <v>0</v>
      </c>
      <c r="Y58" s="16">
        <f t="shared" si="59"/>
        <v>0</v>
      </c>
      <c r="Z58" s="16">
        <f t="shared" si="59"/>
        <v>0</v>
      </c>
      <c r="AA58" s="16">
        <f t="shared" si="59"/>
        <v>0</v>
      </c>
      <c r="AB58" s="16">
        <f t="shared" si="59"/>
        <v>0</v>
      </c>
      <c r="AC58" s="16">
        <f t="shared" si="59"/>
        <v>0</v>
      </c>
      <c r="AD58" s="16">
        <f t="shared" si="59"/>
        <v>0</v>
      </c>
      <c r="AE58" s="16">
        <f t="shared" si="59"/>
        <v>0</v>
      </c>
      <c r="AF58" s="16">
        <f t="shared" si="59"/>
        <v>0</v>
      </c>
      <c r="AG58" s="16">
        <f t="shared" si="59"/>
        <v>0</v>
      </c>
      <c r="AH58" s="16">
        <f t="shared" si="59"/>
        <v>0</v>
      </c>
      <c r="AI58" s="16">
        <f t="shared" si="59"/>
        <v>0</v>
      </c>
      <c r="AJ58" s="16">
        <f t="shared" si="59"/>
        <v>0</v>
      </c>
      <c r="AK58" s="16">
        <f t="shared" si="59"/>
        <v>0</v>
      </c>
      <c r="AL58" s="16">
        <f t="shared" si="59"/>
        <v>0</v>
      </c>
      <c r="AM58" s="16">
        <f t="shared" si="59"/>
        <v>0</v>
      </c>
      <c r="AN58" s="16">
        <f t="shared" si="59"/>
        <v>0</v>
      </c>
      <c r="AO58" s="16">
        <f t="shared" si="59"/>
        <v>0</v>
      </c>
      <c r="AP58" s="16">
        <f t="shared" si="59"/>
        <v>0</v>
      </c>
      <c r="AQ58" s="16">
        <f t="shared" si="59"/>
        <v>0</v>
      </c>
      <c r="AR58" s="16">
        <f t="shared" si="59"/>
        <v>0</v>
      </c>
      <c r="AS58" s="16">
        <f t="shared" si="59"/>
        <v>0</v>
      </c>
      <c r="AT58" s="16">
        <f t="shared" si="59"/>
        <v>0</v>
      </c>
      <c r="AU58" s="16">
        <f t="shared" si="59"/>
        <v>0</v>
      </c>
      <c r="AV58" s="16">
        <f t="shared" si="59"/>
        <v>0</v>
      </c>
      <c r="AW58" s="16">
        <f t="shared" si="59"/>
        <v>0</v>
      </c>
      <c r="AX58" s="16">
        <f t="shared" si="59"/>
        <v>0</v>
      </c>
      <c r="AY58" s="16">
        <f t="shared" si="59"/>
        <v>0</v>
      </c>
      <c r="AZ58" s="16">
        <f t="shared" si="59"/>
        <v>0</v>
      </c>
      <c r="BA58" s="16">
        <f t="shared" si="59"/>
        <v>0</v>
      </c>
      <c r="BB58" s="16">
        <f t="shared" si="59"/>
        <v>0</v>
      </c>
      <c r="BC58" s="16">
        <f t="shared" si="59"/>
        <v>0</v>
      </c>
      <c r="BD58" s="16">
        <f t="shared" si="59"/>
        <v>0</v>
      </c>
      <c r="BE58" s="16">
        <f t="shared" si="59"/>
        <v>0</v>
      </c>
      <c r="BF58" s="16">
        <f t="shared" si="59"/>
        <v>0</v>
      </c>
      <c r="BG58" s="16" t="str">
        <f>IF(SUM(E58:BF58)=F$54,"OK","ERROR")</f>
        <v>OK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</row>
    <row r="59" spans="1:77" ht="12.25" customHeight="1">
      <c r="A59" s="50">
        <v>2009</v>
      </c>
      <c r="C59" s="70"/>
      <c r="D59" s="16"/>
      <c r="E59" s="16"/>
      <c r="F59" s="16"/>
      <c r="G59" s="16">
        <f>IF(G54=0,0,G54/G55)</f>
        <v>18.375</v>
      </c>
      <c r="H59" s="16">
        <f t="shared" si="59"/>
        <v>18.375</v>
      </c>
      <c r="I59" s="16">
        <f t="shared" si="59"/>
        <v>18.375</v>
      </c>
      <c r="J59" s="16">
        <f t="shared" si="59"/>
        <v>18.375</v>
      </c>
      <c r="K59" s="16">
        <f t="shared" si="59"/>
        <v>18.375</v>
      </c>
      <c r="L59" s="16">
        <f t="shared" si="59"/>
        <v>18.375</v>
      </c>
      <c r="M59" s="16">
        <f t="shared" si="59"/>
        <v>18.375</v>
      </c>
      <c r="N59" s="16">
        <f t="shared" si="59"/>
        <v>18.375</v>
      </c>
      <c r="O59" s="16">
        <f t="shared" si="59"/>
        <v>18.375</v>
      </c>
      <c r="P59" s="16">
        <f t="shared" si="59"/>
        <v>18.375</v>
      </c>
      <c r="Q59" s="16">
        <f t="shared" si="59"/>
        <v>18.375</v>
      </c>
      <c r="R59" s="16">
        <f t="shared" si="59"/>
        <v>18.375</v>
      </c>
      <c r="S59" s="16">
        <f t="shared" si="59"/>
        <v>18.375</v>
      </c>
      <c r="T59" s="16">
        <f t="shared" si="59"/>
        <v>18.375</v>
      </c>
      <c r="U59" s="16">
        <f t="shared" si="59"/>
        <v>18.375</v>
      </c>
      <c r="V59" s="16">
        <f t="shared" si="59"/>
        <v>18.375</v>
      </c>
      <c r="W59" s="16">
        <f t="shared" si="59"/>
        <v>18.375</v>
      </c>
      <c r="X59" s="16">
        <f t="shared" si="59"/>
        <v>18.375</v>
      </c>
      <c r="Y59" s="16">
        <f t="shared" si="59"/>
        <v>18.375</v>
      </c>
      <c r="Z59" s="16">
        <f t="shared" si="59"/>
        <v>18.375</v>
      </c>
      <c r="AA59" s="16">
        <f t="shared" si="59"/>
        <v>18.375</v>
      </c>
      <c r="AB59" s="16">
        <f t="shared" si="59"/>
        <v>18.375</v>
      </c>
      <c r="AC59" s="16">
        <f t="shared" si="59"/>
        <v>18.375</v>
      </c>
      <c r="AD59" s="16">
        <f t="shared" si="59"/>
        <v>18.375</v>
      </c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 t="str">
        <f>IF(SUM(E59:BF59)=G$54,"OK","ERROR")</f>
        <v>OK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</row>
    <row r="60" spans="1:77" ht="12.25" customHeight="1">
      <c r="A60" s="50">
        <v>2010</v>
      </c>
      <c r="C60" s="70"/>
      <c r="D60" s="16"/>
      <c r="E60" s="16"/>
      <c r="F60" s="16"/>
      <c r="G60" s="16"/>
      <c r="H60" s="16">
        <f>IF(H54=0,0,H54/H55)</f>
        <v>28.28</v>
      </c>
      <c r="I60" s="16">
        <f t="shared" si="59"/>
        <v>28.28</v>
      </c>
      <c r="J60" s="16">
        <f t="shared" si="59"/>
        <v>28.28</v>
      </c>
      <c r="K60" s="16">
        <f t="shared" si="59"/>
        <v>28.28</v>
      </c>
      <c r="L60" s="16">
        <f t="shared" si="59"/>
        <v>28.28</v>
      </c>
      <c r="M60" s="16">
        <f t="shared" si="59"/>
        <v>28.28</v>
      </c>
      <c r="N60" s="16">
        <f t="shared" si="59"/>
        <v>28.28</v>
      </c>
      <c r="O60" s="16">
        <f t="shared" si="59"/>
        <v>28.28</v>
      </c>
      <c r="P60" s="16">
        <f t="shared" si="59"/>
        <v>28.28</v>
      </c>
      <c r="Q60" s="16">
        <f t="shared" si="59"/>
        <v>28.28</v>
      </c>
      <c r="R60" s="16">
        <f t="shared" si="59"/>
        <v>28.28</v>
      </c>
      <c r="S60" s="16">
        <f t="shared" si="59"/>
        <v>28.28</v>
      </c>
      <c r="T60" s="16">
        <f t="shared" si="59"/>
        <v>28.28</v>
      </c>
      <c r="U60" s="16">
        <f t="shared" si="59"/>
        <v>28.28</v>
      </c>
      <c r="V60" s="16">
        <f t="shared" si="59"/>
        <v>28.28</v>
      </c>
      <c r="W60" s="16">
        <f t="shared" si="59"/>
        <v>28.28</v>
      </c>
      <c r="X60" s="16">
        <f t="shared" si="59"/>
        <v>28.28</v>
      </c>
      <c r="Y60" s="16">
        <f t="shared" si="59"/>
        <v>28.28</v>
      </c>
      <c r="Z60" s="16">
        <f t="shared" si="59"/>
        <v>28.28</v>
      </c>
      <c r="AA60" s="16">
        <f t="shared" si="59"/>
        <v>28.28</v>
      </c>
      <c r="AB60" s="16">
        <f t="shared" si="59"/>
        <v>28.28</v>
      </c>
      <c r="AC60" s="16">
        <f t="shared" si="59"/>
        <v>28.28</v>
      </c>
      <c r="AD60" s="16">
        <f t="shared" si="59"/>
        <v>28.28</v>
      </c>
      <c r="AE60" s="16">
        <f t="shared" si="59"/>
        <v>28.28</v>
      </c>
      <c r="AF60" s="16">
        <f t="shared" si="59"/>
        <v>28.28</v>
      </c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 t="str">
        <f>IF(SUM(E60:BF60)=H$54,"OK","ERROR")</f>
        <v>OK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</row>
    <row r="61" spans="1:77" ht="12.25" customHeight="1">
      <c r="A61" s="50">
        <v>2011</v>
      </c>
      <c r="C61" s="70"/>
      <c r="D61" s="16"/>
      <c r="E61" s="16"/>
      <c r="F61" s="16"/>
      <c r="G61" s="16"/>
      <c r="H61" s="16"/>
      <c r="I61" s="16">
        <f>IF(I54=0,0,I54/I55)</f>
        <v>18.09090909090909</v>
      </c>
      <c r="J61" s="16">
        <f t="shared" si="59"/>
        <v>18.09090909090909</v>
      </c>
      <c r="K61" s="16">
        <f t="shared" si="59"/>
        <v>18.09090909090909</v>
      </c>
      <c r="L61" s="16">
        <f t="shared" si="59"/>
        <v>18.09090909090909</v>
      </c>
      <c r="M61" s="16">
        <f t="shared" si="59"/>
        <v>18.09090909090909</v>
      </c>
      <c r="N61" s="16">
        <f t="shared" si="59"/>
        <v>18.09090909090909</v>
      </c>
      <c r="O61" s="16">
        <f t="shared" si="59"/>
        <v>18.09090909090909</v>
      </c>
      <c r="P61" s="16">
        <f t="shared" si="59"/>
        <v>18.09090909090909</v>
      </c>
      <c r="Q61" s="16">
        <f t="shared" si="59"/>
        <v>18.09090909090909</v>
      </c>
      <c r="R61" s="16">
        <f t="shared" si="59"/>
        <v>18.09090909090909</v>
      </c>
      <c r="S61" s="16">
        <f t="shared" si="59"/>
        <v>18.09090909090909</v>
      </c>
      <c r="T61" s="16">
        <f t="shared" si="59"/>
        <v>18.09090909090909</v>
      </c>
      <c r="U61" s="16">
        <f t="shared" si="59"/>
        <v>18.09090909090909</v>
      </c>
      <c r="V61" s="16">
        <f t="shared" si="59"/>
        <v>18.09090909090909</v>
      </c>
      <c r="W61" s="16">
        <f t="shared" si="59"/>
        <v>18.09090909090909</v>
      </c>
      <c r="X61" s="16">
        <f t="shared" si="59"/>
        <v>18.09090909090909</v>
      </c>
      <c r="Y61" s="16">
        <f t="shared" si="59"/>
        <v>18.09090909090909</v>
      </c>
      <c r="Z61" s="16">
        <f t="shared" si="59"/>
        <v>18.09090909090909</v>
      </c>
      <c r="AA61" s="16">
        <f t="shared" si="59"/>
        <v>18.09090909090909</v>
      </c>
      <c r="AB61" s="16">
        <f t="shared" si="59"/>
        <v>18.09090909090909</v>
      </c>
      <c r="AC61" s="16">
        <f t="shared" si="59"/>
        <v>18.09090909090909</v>
      </c>
      <c r="AD61" s="16">
        <f t="shared" si="59"/>
        <v>18.09090909090909</v>
      </c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 t="str">
        <f>IF(SUM(E61:BF61)=I$54,"OK","ERROR")</f>
        <v>OK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</row>
    <row r="62" spans="1:77" ht="12.25" customHeight="1">
      <c r="A62" s="50">
        <v>2012</v>
      </c>
      <c r="C62" s="70"/>
      <c r="D62" s="16"/>
      <c r="E62" s="16"/>
      <c r="F62" s="16"/>
      <c r="G62" s="16"/>
      <c r="H62" s="16"/>
      <c r="I62" s="16"/>
      <c r="J62" s="16">
        <f>IF(J54=0,0,J54/J55)</f>
        <v>0</v>
      </c>
      <c r="K62" s="16">
        <f t="shared" si="59"/>
        <v>0</v>
      </c>
      <c r="L62" s="16">
        <f t="shared" si="59"/>
        <v>0</v>
      </c>
      <c r="M62" s="16">
        <f t="shared" si="59"/>
        <v>0</v>
      </c>
      <c r="N62" s="16">
        <f t="shared" si="59"/>
        <v>0</v>
      </c>
      <c r="O62" s="16">
        <f t="shared" si="59"/>
        <v>0</v>
      </c>
      <c r="P62" s="16">
        <f t="shared" si="59"/>
        <v>0</v>
      </c>
      <c r="Q62" s="16">
        <f t="shared" si="59"/>
        <v>0</v>
      </c>
      <c r="R62" s="16">
        <f t="shared" si="59"/>
        <v>0</v>
      </c>
      <c r="S62" s="16">
        <f t="shared" si="59"/>
        <v>0</v>
      </c>
      <c r="T62" s="16">
        <f t="shared" si="59"/>
        <v>0</v>
      </c>
      <c r="U62" s="16">
        <f t="shared" si="59"/>
        <v>0</v>
      </c>
      <c r="V62" s="16">
        <f t="shared" si="59"/>
        <v>0</v>
      </c>
      <c r="W62" s="16">
        <f t="shared" si="59"/>
        <v>0</v>
      </c>
      <c r="X62" s="16">
        <f t="shared" si="59"/>
        <v>0</v>
      </c>
      <c r="Y62" s="16">
        <f t="shared" si="59"/>
        <v>0</v>
      </c>
      <c r="Z62" s="16">
        <f t="shared" si="59"/>
        <v>0</v>
      </c>
      <c r="AA62" s="16">
        <f t="shared" si="59"/>
        <v>0</v>
      </c>
      <c r="AB62" s="16">
        <f t="shared" si="59"/>
        <v>0</v>
      </c>
      <c r="AC62" s="16">
        <f t="shared" si="59"/>
        <v>0</v>
      </c>
      <c r="AD62" s="16">
        <f t="shared" si="59"/>
        <v>0</v>
      </c>
      <c r="AE62" s="16">
        <f t="shared" si="59"/>
        <v>0</v>
      </c>
      <c r="AF62" s="16">
        <f t="shared" si="59"/>
        <v>0</v>
      </c>
      <c r="AG62" s="16">
        <f t="shared" si="59"/>
        <v>0</v>
      </c>
      <c r="AH62" s="16">
        <f t="shared" si="59"/>
        <v>0</v>
      </c>
      <c r="AI62" s="16">
        <f t="shared" si="59"/>
        <v>0</v>
      </c>
      <c r="AJ62" s="16">
        <f t="shared" si="59"/>
        <v>0</v>
      </c>
      <c r="AK62" s="16">
        <f t="shared" si="59"/>
        <v>0</v>
      </c>
      <c r="AL62" s="16">
        <f t="shared" si="59"/>
        <v>0</v>
      </c>
      <c r="AM62" s="16">
        <f t="shared" si="59"/>
        <v>0</v>
      </c>
      <c r="AN62" s="16">
        <f t="shared" si="59"/>
        <v>0</v>
      </c>
      <c r="AO62" s="16">
        <f t="shared" si="59"/>
        <v>0</v>
      </c>
      <c r="AP62" s="16">
        <f t="shared" si="59"/>
        <v>0</v>
      </c>
      <c r="AQ62" s="16">
        <f t="shared" si="59"/>
        <v>0</v>
      </c>
      <c r="AR62" s="16">
        <f t="shared" si="59"/>
        <v>0</v>
      </c>
      <c r="AS62" s="16">
        <f t="shared" si="59"/>
        <v>0</v>
      </c>
      <c r="AT62" s="16">
        <f t="shared" si="59"/>
        <v>0</v>
      </c>
      <c r="AU62" s="16">
        <f t="shared" si="59"/>
        <v>0</v>
      </c>
      <c r="AV62" s="16">
        <f t="shared" si="59"/>
        <v>0</v>
      </c>
      <c r="AW62" s="16">
        <f t="shared" si="59"/>
        <v>0</v>
      </c>
      <c r="AX62" s="16">
        <f t="shared" si="59"/>
        <v>0</v>
      </c>
      <c r="AY62" s="16">
        <f t="shared" si="59"/>
        <v>0</v>
      </c>
      <c r="AZ62" s="16">
        <f t="shared" si="59"/>
        <v>0</v>
      </c>
      <c r="BA62" s="16">
        <f t="shared" si="59"/>
        <v>0</v>
      </c>
      <c r="BB62" s="16">
        <f t="shared" si="59"/>
        <v>0</v>
      </c>
      <c r="BC62" s="16">
        <f t="shared" si="59"/>
        <v>0</v>
      </c>
      <c r="BD62" s="16">
        <f t="shared" si="59"/>
        <v>0</v>
      </c>
      <c r="BE62" s="16">
        <f t="shared" si="59"/>
        <v>0</v>
      </c>
      <c r="BF62" s="16">
        <f t="shared" si="59"/>
        <v>0</v>
      </c>
      <c r="BG62" s="16" t="str">
        <f>IF(SUM(E62:BF62)=J$54,"OK","ERROR")</f>
        <v>OK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</row>
    <row r="63" spans="1:77" ht="12.25" customHeight="1">
      <c r="A63" s="50">
        <v>2013</v>
      </c>
      <c r="C63" s="70"/>
      <c r="D63" s="16"/>
      <c r="E63" s="16"/>
      <c r="F63" s="16"/>
      <c r="G63" s="16"/>
      <c r="H63" s="16"/>
      <c r="I63" s="16"/>
      <c r="J63" s="16"/>
      <c r="K63" s="16">
        <f>IF(K54=0,0,K54/K55)</f>
        <v>0</v>
      </c>
      <c r="L63" s="16">
        <f t="shared" si="59"/>
        <v>0</v>
      </c>
      <c r="M63" s="16">
        <f t="shared" si="59"/>
        <v>0</v>
      </c>
      <c r="N63" s="16">
        <f t="shared" si="59"/>
        <v>0</v>
      </c>
      <c r="O63" s="16">
        <f t="shared" si="59"/>
        <v>0</v>
      </c>
      <c r="P63" s="16">
        <f t="shared" si="59"/>
        <v>0</v>
      </c>
      <c r="Q63" s="16">
        <f t="shared" si="59"/>
        <v>0</v>
      </c>
      <c r="R63" s="16">
        <f t="shared" si="59"/>
        <v>0</v>
      </c>
      <c r="S63" s="16">
        <f t="shared" si="59"/>
        <v>0</v>
      </c>
      <c r="T63" s="16">
        <f t="shared" si="59"/>
        <v>0</v>
      </c>
      <c r="U63" s="16">
        <f t="shared" si="59"/>
        <v>0</v>
      </c>
      <c r="V63" s="16">
        <f t="shared" si="59"/>
        <v>0</v>
      </c>
      <c r="W63" s="16">
        <f t="shared" si="59"/>
        <v>0</v>
      </c>
      <c r="X63" s="16">
        <f t="shared" si="59"/>
        <v>0</v>
      </c>
      <c r="Y63" s="16">
        <f t="shared" si="59"/>
        <v>0</v>
      </c>
      <c r="Z63" s="16">
        <f t="shared" si="59"/>
        <v>0</v>
      </c>
      <c r="AA63" s="16">
        <f t="shared" si="59"/>
        <v>0</v>
      </c>
      <c r="AB63" s="16">
        <f t="shared" si="59"/>
        <v>0</v>
      </c>
      <c r="AC63" s="16">
        <f t="shared" si="59"/>
        <v>0</v>
      </c>
      <c r="AD63" s="16">
        <f t="shared" si="59"/>
        <v>0</v>
      </c>
      <c r="AE63" s="16">
        <f t="shared" si="59"/>
        <v>0</v>
      </c>
      <c r="AF63" s="16">
        <f t="shared" si="59"/>
        <v>0</v>
      </c>
      <c r="AG63" s="16">
        <f t="shared" si="59"/>
        <v>0</v>
      </c>
      <c r="AH63" s="16">
        <f t="shared" si="59"/>
        <v>0</v>
      </c>
      <c r="AI63" s="16">
        <f t="shared" si="59"/>
        <v>0</v>
      </c>
      <c r="AJ63" s="16">
        <f t="shared" si="59"/>
        <v>0</v>
      </c>
      <c r="AK63" s="16">
        <f t="shared" si="59"/>
        <v>0</v>
      </c>
      <c r="AL63" s="16">
        <f t="shared" si="59"/>
        <v>0</v>
      </c>
      <c r="AM63" s="16">
        <f t="shared" si="59"/>
        <v>0</v>
      </c>
      <c r="AN63" s="16">
        <f t="shared" si="59"/>
        <v>0</v>
      </c>
      <c r="AO63" s="16">
        <f t="shared" si="59"/>
        <v>0</v>
      </c>
      <c r="AP63" s="16">
        <f t="shared" si="59"/>
        <v>0</v>
      </c>
      <c r="AQ63" s="16">
        <f t="shared" si="59"/>
        <v>0</v>
      </c>
      <c r="AR63" s="16">
        <f t="shared" si="59"/>
        <v>0</v>
      </c>
      <c r="AS63" s="16">
        <f t="shared" si="59"/>
        <v>0</v>
      </c>
      <c r="AT63" s="16">
        <f t="shared" ref="AT63:BF63" si="60">AS63</f>
        <v>0</v>
      </c>
      <c r="AU63" s="16">
        <f t="shared" si="60"/>
        <v>0</v>
      </c>
      <c r="AV63" s="16">
        <f t="shared" si="60"/>
        <v>0</v>
      </c>
      <c r="AW63" s="16">
        <f t="shared" si="60"/>
        <v>0</v>
      </c>
      <c r="AX63" s="16">
        <f t="shared" si="60"/>
        <v>0</v>
      </c>
      <c r="AY63" s="16">
        <f t="shared" si="60"/>
        <v>0</v>
      </c>
      <c r="AZ63" s="16">
        <f t="shared" si="60"/>
        <v>0</v>
      </c>
      <c r="BA63" s="16">
        <f t="shared" si="60"/>
        <v>0</v>
      </c>
      <c r="BB63" s="16">
        <f t="shared" si="60"/>
        <v>0</v>
      </c>
      <c r="BC63" s="16">
        <f t="shared" si="60"/>
        <v>0</v>
      </c>
      <c r="BD63" s="16">
        <f t="shared" si="60"/>
        <v>0</v>
      </c>
      <c r="BE63" s="16">
        <f t="shared" si="60"/>
        <v>0</v>
      </c>
      <c r="BF63" s="16">
        <f t="shared" si="60"/>
        <v>0</v>
      </c>
      <c r="BG63" s="16" t="str">
        <f>IF(SUM(E63:BF63)=K$54,"OK","ERROR")</f>
        <v>OK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</row>
    <row r="64" spans="1:77" ht="12.25" customHeight="1">
      <c r="A64" s="50">
        <v>2014</v>
      </c>
      <c r="C64" s="70"/>
      <c r="D64" s="16"/>
      <c r="E64" s="16"/>
      <c r="F64" s="16"/>
      <c r="G64" s="16"/>
      <c r="H64" s="16"/>
      <c r="I64" s="16"/>
      <c r="J64" s="16"/>
      <c r="K64" s="16"/>
      <c r="L64" s="16">
        <f>IF(L54=0,0,L54/L55)</f>
        <v>8.5228735434295633</v>
      </c>
      <c r="M64" s="16">
        <f t="shared" ref="M64:AB72" si="61">L64</f>
        <v>8.5228735434295633</v>
      </c>
      <c r="N64" s="16">
        <f t="shared" si="61"/>
        <v>8.5228735434295633</v>
      </c>
      <c r="O64" s="16">
        <f t="shared" si="61"/>
        <v>8.5228735434295633</v>
      </c>
      <c r="P64" s="16">
        <f t="shared" si="61"/>
        <v>8.5228735434295633</v>
      </c>
      <c r="Q64" s="16">
        <f t="shared" si="61"/>
        <v>8.5228735434295633</v>
      </c>
      <c r="R64" s="16">
        <f t="shared" si="61"/>
        <v>8.5228735434295633</v>
      </c>
      <c r="S64" s="16">
        <f t="shared" si="61"/>
        <v>8.5228735434295633</v>
      </c>
      <c r="T64" s="16">
        <f t="shared" si="61"/>
        <v>8.5228735434295633</v>
      </c>
      <c r="U64" s="16">
        <f t="shared" si="61"/>
        <v>8.5228735434295633</v>
      </c>
      <c r="V64" s="16">
        <f t="shared" si="61"/>
        <v>8.5228735434295633</v>
      </c>
      <c r="W64" s="16">
        <f t="shared" si="61"/>
        <v>8.5228735434295633</v>
      </c>
      <c r="X64" s="16">
        <f t="shared" si="61"/>
        <v>8.5228735434295633</v>
      </c>
      <c r="Y64" s="16">
        <f t="shared" si="61"/>
        <v>8.5228735434295633</v>
      </c>
      <c r="Z64" s="16">
        <f t="shared" si="61"/>
        <v>8.5228735434295633</v>
      </c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 t="str">
        <f>IF(SUM(E64:BF64)=L$54,"OK","ERROR")</f>
        <v>OK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</row>
    <row r="65" spans="1:77" ht="12.25" customHeight="1">
      <c r="A65" s="50">
        <v>2015</v>
      </c>
      <c r="C65" s="70"/>
      <c r="D65" s="16"/>
      <c r="E65" s="16"/>
      <c r="F65" s="16"/>
      <c r="G65" s="16"/>
      <c r="H65" s="16"/>
      <c r="I65" s="16"/>
      <c r="J65" s="16"/>
      <c r="K65" s="16"/>
      <c r="L65" s="16"/>
      <c r="M65" s="16">
        <f>IF(M54=0,0,M54/M55)</f>
        <v>0</v>
      </c>
      <c r="N65" s="16">
        <f t="shared" si="61"/>
        <v>0</v>
      </c>
      <c r="O65" s="16">
        <f t="shared" si="61"/>
        <v>0</v>
      </c>
      <c r="P65" s="16">
        <f t="shared" si="61"/>
        <v>0</v>
      </c>
      <c r="Q65" s="16">
        <f t="shared" si="61"/>
        <v>0</v>
      </c>
      <c r="R65" s="16">
        <f t="shared" si="61"/>
        <v>0</v>
      </c>
      <c r="S65" s="16">
        <f t="shared" si="61"/>
        <v>0</v>
      </c>
      <c r="T65" s="16">
        <f t="shared" si="61"/>
        <v>0</v>
      </c>
      <c r="U65" s="16">
        <f t="shared" si="61"/>
        <v>0</v>
      </c>
      <c r="V65" s="16">
        <f t="shared" si="61"/>
        <v>0</v>
      </c>
      <c r="W65" s="16">
        <f t="shared" si="61"/>
        <v>0</v>
      </c>
      <c r="X65" s="16">
        <f t="shared" si="61"/>
        <v>0</v>
      </c>
      <c r="Y65" s="16">
        <f t="shared" si="61"/>
        <v>0</v>
      </c>
      <c r="Z65" s="16">
        <f t="shared" si="61"/>
        <v>0</v>
      </c>
      <c r="AA65" s="16">
        <f t="shared" si="61"/>
        <v>0</v>
      </c>
      <c r="AB65" s="16">
        <f t="shared" si="61"/>
        <v>0</v>
      </c>
      <c r="AC65" s="16">
        <f t="shared" ref="AC65:BF72" si="62">AB65</f>
        <v>0</v>
      </c>
      <c r="AD65" s="16">
        <f t="shared" si="62"/>
        <v>0</v>
      </c>
      <c r="AE65" s="16">
        <f t="shared" si="62"/>
        <v>0</v>
      </c>
      <c r="AF65" s="16">
        <f t="shared" si="62"/>
        <v>0</v>
      </c>
      <c r="AG65" s="16">
        <f t="shared" si="62"/>
        <v>0</v>
      </c>
      <c r="AH65" s="16">
        <f t="shared" si="62"/>
        <v>0</v>
      </c>
      <c r="AI65" s="16">
        <f t="shared" si="62"/>
        <v>0</v>
      </c>
      <c r="AJ65" s="16">
        <f t="shared" si="62"/>
        <v>0</v>
      </c>
      <c r="AK65" s="16">
        <f t="shared" si="62"/>
        <v>0</v>
      </c>
      <c r="AL65" s="16">
        <f t="shared" si="62"/>
        <v>0</v>
      </c>
      <c r="AM65" s="16">
        <f t="shared" si="62"/>
        <v>0</v>
      </c>
      <c r="AN65" s="16">
        <f t="shared" si="62"/>
        <v>0</v>
      </c>
      <c r="AO65" s="16">
        <f t="shared" si="62"/>
        <v>0</v>
      </c>
      <c r="AP65" s="16">
        <f t="shared" si="62"/>
        <v>0</v>
      </c>
      <c r="AQ65" s="16">
        <f t="shared" si="62"/>
        <v>0</v>
      </c>
      <c r="AR65" s="16">
        <f t="shared" si="62"/>
        <v>0</v>
      </c>
      <c r="AS65" s="16">
        <f t="shared" si="62"/>
        <v>0</v>
      </c>
      <c r="AT65" s="16">
        <f t="shared" si="62"/>
        <v>0</v>
      </c>
      <c r="AU65" s="16">
        <f t="shared" si="62"/>
        <v>0</v>
      </c>
      <c r="AV65" s="16">
        <f t="shared" si="62"/>
        <v>0</v>
      </c>
      <c r="AW65" s="16">
        <f t="shared" si="62"/>
        <v>0</v>
      </c>
      <c r="AX65" s="16">
        <f t="shared" si="62"/>
        <v>0</v>
      </c>
      <c r="AY65" s="16">
        <f t="shared" si="62"/>
        <v>0</v>
      </c>
      <c r="AZ65" s="16">
        <f t="shared" si="62"/>
        <v>0</v>
      </c>
      <c r="BA65" s="16">
        <f t="shared" si="62"/>
        <v>0</v>
      </c>
      <c r="BB65" s="16">
        <f t="shared" si="62"/>
        <v>0</v>
      </c>
      <c r="BC65" s="16">
        <f t="shared" si="62"/>
        <v>0</v>
      </c>
      <c r="BD65" s="16">
        <f t="shared" si="62"/>
        <v>0</v>
      </c>
      <c r="BE65" s="16">
        <f t="shared" si="62"/>
        <v>0</v>
      </c>
      <c r="BF65" s="16">
        <f t="shared" si="62"/>
        <v>0</v>
      </c>
      <c r="BG65" s="16" t="str">
        <f>IF(SUM(E65:BF65)=M$54,"OK","ERROR")</f>
        <v>OK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</row>
    <row r="66" spans="1:77" ht="12.25" customHeight="1">
      <c r="A66" s="50">
        <v>2016</v>
      </c>
      <c r="C66" s="70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>
        <f>IF(N54=0,0,N54/N55)</f>
        <v>15.138090391044177</v>
      </c>
      <c r="O66" s="16">
        <f t="shared" si="61"/>
        <v>15.138090391044177</v>
      </c>
      <c r="P66" s="16">
        <f t="shared" si="61"/>
        <v>15.138090391044177</v>
      </c>
      <c r="Q66" s="16">
        <f t="shared" si="61"/>
        <v>15.138090391044177</v>
      </c>
      <c r="R66" s="16">
        <f t="shared" si="61"/>
        <v>15.138090391044177</v>
      </c>
      <c r="S66" s="16">
        <f t="shared" si="61"/>
        <v>15.138090391044177</v>
      </c>
      <c r="T66" s="16">
        <f t="shared" si="61"/>
        <v>15.138090391044177</v>
      </c>
      <c r="U66" s="16">
        <f t="shared" si="61"/>
        <v>15.138090391044177</v>
      </c>
      <c r="V66" s="16">
        <f t="shared" si="61"/>
        <v>15.138090391044177</v>
      </c>
      <c r="W66" s="16">
        <f t="shared" si="61"/>
        <v>15.138090391044177</v>
      </c>
      <c r="X66" s="16">
        <f t="shared" si="61"/>
        <v>15.138090391044177</v>
      </c>
      <c r="Y66" s="16">
        <f t="shared" si="61"/>
        <v>15.138090391044177</v>
      </c>
      <c r="Z66" s="16">
        <f t="shared" si="61"/>
        <v>15.138090391044177</v>
      </c>
      <c r="AA66" s="16">
        <f t="shared" si="61"/>
        <v>15.138090391044177</v>
      </c>
      <c r="AB66" s="16">
        <f t="shared" si="61"/>
        <v>15.138090391044177</v>
      </c>
      <c r="AC66" s="16">
        <f t="shared" si="62"/>
        <v>15.138090391044177</v>
      </c>
      <c r="AD66" s="16">
        <f t="shared" si="62"/>
        <v>15.138090391044177</v>
      </c>
      <c r="AE66" s="16">
        <f t="shared" si="62"/>
        <v>15.138090391044177</v>
      </c>
      <c r="AF66" s="16">
        <f t="shared" si="62"/>
        <v>15.138090391044177</v>
      </c>
      <c r="AG66" s="16">
        <f t="shared" si="62"/>
        <v>15.138090391044177</v>
      </c>
      <c r="AH66" s="16">
        <f t="shared" si="62"/>
        <v>15.138090391044177</v>
      </c>
      <c r="AI66" s="16">
        <f t="shared" si="62"/>
        <v>15.138090391044177</v>
      </c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 t="str">
        <f>IF(SUM(E66:BF66)=N$54,"OK","ERROR")</f>
        <v>OK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</row>
    <row r="67" spans="1:77" ht="12.25" customHeight="1">
      <c r="A67" s="50">
        <v>2017</v>
      </c>
      <c r="C67" s="70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>
        <f>IF(O54=0,0,O54/O55)</f>
        <v>0</v>
      </c>
      <c r="P67" s="16">
        <f t="shared" si="61"/>
        <v>0</v>
      </c>
      <c r="Q67" s="16">
        <f t="shared" si="61"/>
        <v>0</v>
      </c>
      <c r="R67" s="16">
        <f t="shared" si="61"/>
        <v>0</v>
      </c>
      <c r="S67" s="16">
        <f t="shared" si="61"/>
        <v>0</v>
      </c>
      <c r="T67" s="16">
        <f t="shared" si="61"/>
        <v>0</v>
      </c>
      <c r="U67" s="16">
        <f t="shared" si="61"/>
        <v>0</v>
      </c>
      <c r="V67" s="16">
        <f t="shared" si="61"/>
        <v>0</v>
      </c>
      <c r="W67" s="16">
        <f t="shared" si="61"/>
        <v>0</v>
      </c>
      <c r="X67" s="16">
        <f t="shared" si="61"/>
        <v>0</v>
      </c>
      <c r="Y67" s="16">
        <f t="shared" si="61"/>
        <v>0</v>
      </c>
      <c r="Z67" s="16">
        <f t="shared" si="61"/>
        <v>0</v>
      </c>
      <c r="AA67" s="16">
        <f t="shared" si="61"/>
        <v>0</v>
      </c>
      <c r="AB67" s="16">
        <f t="shared" si="61"/>
        <v>0</v>
      </c>
      <c r="AC67" s="16">
        <f t="shared" si="62"/>
        <v>0</v>
      </c>
      <c r="AD67" s="16">
        <f t="shared" si="62"/>
        <v>0</v>
      </c>
      <c r="AE67" s="16">
        <f t="shared" si="62"/>
        <v>0</v>
      </c>
      <c r="AF67" s="16">
        <f t="shared" si="62"/>
        <v>0</v>
      </c>
      <c r="AG67" s="16">
        <f t="shared" si="62"/>
        <v>0</v>
      </c>
      <c r="AH67" s="16">
        <f t="shared" si="62"/>
        <v>0</v>
      </c>
      <c r="AI67" s="16">
        <f t="shared" si="62"/>
        <v>0</v>
      </c>
      <c r="AJ67" s="16">
        <f t="shared" si="62"/>
        <v>0</v>
      </c>
      <c r="AK67" s="16">
        <f t="shared" si="62"/>
        <v>0</v>
      </c>
      <c r="AL67" s="16">
        <f t="shared" si="62"/>
        <v>0</v>
      </c>
      <c r="AM67" s="16">
        <f t="shared" si="62"/>
        <v>0</v>
      </c>
      <c r="AN67" s="16">
        <f t="shared" si="62"/>
        <v>0</v>
      </c>
      <c r="AO67" s="16">
        <f t="shared" si="62"/>
        <v>0</v>
      </c>
      <c r="AP67" s="16">
        <f t="shared" si="62"/>
        <v>0</v>
      </c>
      <c r="AQ67" s="16">
        <f t="shared" si="62"/>
        <v>0</v>
      </c>
      <c r="AR67" s="16">
        <f t="shared" si="62"/>
        <v>0</v>
      </c>
      <c r="AS67" s="16">
        <f t="shared" si="62"/>
        <v>0</v>
      </c>
      <c r="AT67" s="16">
        <f t="shared" si="62"/>
        <v>0</v>
      </c>
      <c r="AU67" s="16">
        <f t="shared" si="62"/>
        <v>0</v>
      </c>
      <c r="AV67" s="16">
        <f t="shared" si="62"/>
        <v>0</v>
      </c>
      <c r="AW67" s="16">
        <f t="shared" si="62"/>
        <v>0</v>
      </c>
      <c r="AX67" s="16">
        <f t="shared" si="62"/>
        <v>0</v>
      </c>
      <c r="AY67" s="16">
        <f t="shared" si="62"/>
        <v>0</v>
      </c>
      <c r="AZ67" s="16">
        <f t="shared" si="62"/>
        <v>0</v>
      </c>
      <c r="BA67" s="16">
        <f t="shared" si="62"/>
        <v>0</v>
      </c>
      <c r="BB67" s="16">
        <f t="shared" si="62"/>
        <v>0</v>
      </c>
      <c r="BC67" s="16">
        <f t="shared" si="62"/>
        <v>0</v>
      </c>
      <c r="BD67" s="16">
        <f t="shared" si="62"/>
        <v>0</v>
      </c>
      <c r="BE67" s="16">
        <f t="shared" si="62"/>
        <v>0</v>
      </c>
      <c r="BF67" s="16">
        <f t="shared" si="62"/>
        <v>0</v>
      </c>
      <c r="BG67" s="16" t="str">
        <f>IF(SUM(E67:BF67)=O$54,"OK","ERROR")</f>
        <v>OK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</row>
    <row r="68" spans="1:77" ht="12.25" customHeight="1">
      <c r="A68" s="50">
        <v>2018</v>
      </c>
      <c r="C68" s="70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>
        <f>IF(P54=0,0,P54/P55)</f>
        <v>0</v>
      </c>
      <c r="Q68" s="16">
        <f t="shared" si="61"/>
        <v>0</v>
      </c>
      <c r="R68" s="16">
        <f t="shared" si="61"/>
        <v>0</v>
      </c>
      <c r="S68" s="16">
        <f t="shared" si="61"/>
        <v>0</v>
      </c>
      <c r="T68" s="16">
        <f t="shared" si="61"/>
        <v>0</v>
      </c>
      <c r="U68" s="16">
        <f t="shared" si="61"/>
        <v>0</v>
      </c>
      <c r="V68" s="16">
        <f t="shared" si="61"/>
        <v>0</v>
      </c>
      <c r="W68" s="16">
        <f t="shared" si="61"/>
        <v>0</v>
      </c>
      <c r="X68" s="16">
        <f t="shared" si="61"/>
        <v>0</v>
      </c>
      <c r="Y68" s="16">
        <f t="shared" si="61"/>
        <v>0</v>
      </c>
      <c r="Z68" s="16">
        <f t="shared" si="61"/>
        <v>0</v>
      </c>
      <c r="AA68" s="16">
        <f t="shared" si="61"/>
        <v>0</v>
      </c>
      <c r="AB68" s="16">
        <f t="shared" si="61"/>
        <v>0</v>
      </c>
      <c r="AC68" s="16">
        <f t="shared" si="62"/>
        <v>0</v>
      </c>
      <c r="AD68" s="16">
        <f t="shared" si="62"/>
        <v>0</v>
      </c>
      <c r="AE68" s="16">
        <f t="shared" si="62"/>
        <v>0</v>
      </c>
      <c r="AF68" s="16">
        <f t="shared" si="62"/>
        <v>0</v>
      </c>
      <c r="AG68" s="16">
        <f t="shared" si="62"/>
        <v>0</v>
      </c>
      <c r="AH68" s="16">
        <f t="shared" si="62"/>
        <v>0</v>
      </c>
      <c r="AI68" s="16">
        <f t="shared" si="62"/>
        <v>0</v>
      </c>
      <c r="AJ68" s="16">
        <f t="shared" si="62"/>
        <v>0</v>
      </c>
      <c r="AK68" s="16">
        <f t="shared" si="62"/>
        <v>0</v>
      </c>
      <c r="AL68" s="16">
        <f t="shared" si="62"/>
        <v>0</v>
      </c>
      <c r="AM68" s="16">
        <f t="shared" si="62"/>
        <v>0</v>
      </c>
      <c r="AN68" s="16">
        <f t="shared" si="62"/>
        <v>0</v>
      </c>
      <c r="AO68" s="16">
        <f t="shared" si="62"/>
        <v>0</v>
      </c>
      <c r="AP68" s="16">
        <f t="shared" si="62"/>
        <v>0</v>
      </c>
      <c r="AQ68" s="16">
        <f t="shared" si="62"/>
        <v>0</v>
      </c>
      <c r="AR68" s="16">
        <f t="shared" si="62"/>
        <v>0</v>
      </c>
      <c r="AS68" s="16">
        <f t="shared" si="62"/>
        <v>0</v>
      </c>
      <c r="AT68" s="16">
        <f t="shared" si="62"/>
        <v>0</v>
      </c>
      <c r="AU68" s="16">
        <f t="shared" si="62"/>
        <v>0</v>
      </c>
      <c r="AV68" s="16">
        <f t="shared" si="62"/>
        <v>0</v>
      </c>
      <c r="AW68" s="16">
        <f t="shared" si="62"/>
        <v>0</v>
      </c>
      <c r="AX68" s="16">
        <f t="shared" si="62"/>
        <v>0</v>
      </c>
      <c r="AY68" s="16">
        <f t="shared" si="62"/>
        <v>0</v>
      </c>
      <c r="AZ68" s="16">
        <f t="shared" si="62"/>
        <v>0</v>
      </c>
      <c r="BA68" s="16">
        <f t="shared" si="62"/>
        <v>0</v>
      </c>
      <c r="BB68" s="16">
        <f t="shared" si="62"/>
        <v>0</v>
      </c>
      <c r="BC68" s="16">
        <f t="shared" si="62"/>
        <v>0</v>
      </c>
      <c r="BD68" s="16">
        <f t="shared" si="62"/>
        <v>0</v>
      </c>
      <c r="BE68" s="16">
        <f t="shared" si="62"/>
        <v>0</v>
      </c>
      <c r="BF68" s="16">
        <f t="shared" si="62"/>
        <v>0</v>
      </c>
      <c r="BG68" s="16" t="str">
        <f>IF(SUM(E68:BF68)=P$54,"OK","ERROR")</f>
        <v>OK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</row>
    <row r="69" spans="1:77" ht="12.25" customHeight="1">
      <c r="A69" s="50">
        <v>2019</v>
      </c>
      <c r="C69" s="70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f>IF(Q54=0,0,Q54/Q55)</f>
        <v>0</v>
      </c>
      <c r="R69" s="16">
        <f t="shared" si="61"/>
        <v>0</v>
      </c>
      <c r="S69" s="16">
        <f t="shared" si="61"/>
        <v>0</v>
      </c>
      <c r="T69" s="16">
        <f t="shared" si="61"/>
        <v>0</v>
      </c>
      <c r="U69" s="16">
        <f t="shared" si="61"/>
        <v>0</v>
      </c>
      <c r="V69" s="16">
        <f t="shared" si="61"/>
        <v>0</v>
      </c>
      <c r="W69" s="16">
        <f t="shared" si="61"/>
        <v>0</v>
      </c>
      <c r="X69" s="16">
        <f t="shared" si="61"/>
        <v>0</v>
      </c>
      <c r="Y69" s="16">
        <f t="shared" si="61"/>
        <v>0</v>
      </c>
      <c r="Z69" s="16">
        <f t="shared" si="61"/>
        <v>0</v>
      </c>
      <c r="AA69" s="16">
        <f t="shared" si="61"/>
        <v>0</v>
      </c>
      <c r="AB69" s="16">
        <f t="shared" si="61"/>
        <v>0</v>
      </c>
      <c r="AC69" s="16">
        <f t="shared" si="62"/>
        <v>0</v>
      </c>
      <c r="AD69" s="16">
        <f t="shared" si="62"/>
        <v>0</v>
      </c>
      <c r="AE69" s="16">
        <f t="shared" si="62"/>
        <v>0</v>
      </c>
      <c r="AF69" s="16">
        <f t="shared" si="62"/>
        <v>0</v>
      </c>
      <c r="AG69" s="16">
        <f t="shared" si="62"/>
        <v>0</v>
      </c>
      <c r="AH69" s="16">
        <f t="shared" si="62"/>
        <v>0</v>
      </c>
      <c r="AI69" s="16">
        <f t="shared" si="62"/>
        <v>0</v>
      </c>
      <c r="AJ69" s="16">
        <f t="shared" si="62"/>
        <v>0</v>
      </c>
      <c r="AK69" s="16">
        <f t="shared" si="62"/>
        <v>0</v>
      </c>
      <c r="AL69" s="16">
        <f t="shared" si="62"/>
        <v>0</v>
      </c>
      <c r="AM69" s="16">
        <f t="shared" si="62"/>
        <v>0</v>
      </c>
      <c r="AN69" s="16">
        <f t="shared" si="62"/>
        <v>0</v>
      </c>
      <c r="AO69" s="16">
        <f t="shared" si="62"/>
        <v>0</v>
      </c>
      <c r="AP69" s="16">
        <f t="shared" si="62"/>
        <v>0</v>
      </c>
      <c r="AQ69" s="16">
        <f t="shared" si="62"/>
        <v>0</v>
      </c>
      <c r="AR69" s="16">
        <f t="shared" si="62"/>
        <v>0</v>
      </c>
      <c r="AS69" s="16">
        <f t="shared" si="62"/>
        <v>0</v>
      </c>
      <c r="AT69" s="16">
        <f t="shared" si="62"/>
        <v>0</v>
      </c>
      <c r="AU69" s="16">
        <f t="shared" si="62"/>
        <v>0</v>
      </c>
      <c r="AV69" s="16">
        <f t="shared" si="62"/>
        <v>0</v>
      </c>
      <c r="AW69" s="16">
        <f t="shared" si="62"/>
        <v>0</v>
      </c>
      <c r="AX69" s="16">
        <f t="shared" si="62"/>
        <v>0</v>
      </c>
      <c r="AY69" s="16">
        <f t="shared" si="62"/>
        <v>0</v>
      </c>
      <c r="AZ69" s="16">
        <f t="shared" si="62"/>
        <v>0</v>
      </c>
      <c r="BA69" s="16">
        <f t="shared" si="62"/>
        <v>0</v>
      </c>
      <c r="BB69" s="16">
        <f t="shared" si="62"/>
        <v>0</v>
      </c>
      <c r="BC69" s="16">
        <f t="shared" si="62"/>
        <v>0</v>
      </c>
      <c r="BD69" s="16">
        <f t="shared" si="62"/>
        <v>0</v>
      </c>
      <c r="BE69" s="16">
        <f t="shared" si="62"/>
        <v>0</v>
      </c>
      <c r="BF69" s="16">
        <f t="shared" si="62"/>
        <v>0</v>
      </c>
      <c r="BG69" s="16" t="str">
        <f>IF(SUM(E69:BF69)=Q$54,"OK","ERROR")</f>
        <v>OK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</row>
    <row r="70" spans="1:77" ht="12.25" customHeight="1">
      <c r="A70" s="50">
        <v>2020</v>
      </c>
      <c r="C70" s="7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>
        <f>IF(R54=0,0,R54/R55)</f>
        <v>0</v>
      </c>
      <c r="S70" s="16">
        <f t="shared" si="61"/>
        <v>0</v>
      </c>
      <c r="T70" s="16">
        <f t="shared" si="61"/>
        <v>0</v>
      </c>
      <c r="U70" s="16">
        <f t="shared" si="61"/>
        <v>0</v>
      </c>
      <c r="V70" s="16">
        <f t="shared" si="61"/>
        <v>0</v>
      </c>
      <c r="W70" s="16">
        <f t="shared" si="61"/>
        <v>0</v>
      </c>
      <c r="X70" s="16">
        <f t="shared" si="61"/>
        <v>0</v>
      </c>
      <c r="Y70" s="16">
        <f t="shared" si="61"/>
        <v>0</v>
      </c>
      <c r="Z70" s="16">
        <f t="shared" si="61"/>
        <v>0</v>
      </c>
      <c r="AA70" s="16">
        <f t="shared" si="61"/>
        <v>0</v>
      </c>
      <c r="AB70" s="16">
        <f t="shared" si="61"/>
        <v>0</v>
      </c>
      <c r="AC70" s="16">
        <f t="shared" si="62"/>
        <v>0</v>
      </c>
      <c r="AD70" s="16">
        <f t="shared" si="62"/>
        <v>0</v>
      </c>
      <c r="AE70" s="16">
        <f t="shared" si="62"/>
        <v>0</v>
      </c>
      <c r="AF70" s="16">
        <f t="shared" si="62"/>
        <v>0</v>
      </c>
      <c r="AG70" s="16">
        <f t="shared" si="62"/>
        <v>0</v>
      </c>
      <c r="AH70" s="16">
        <f t="shared" si="62"/>
        <v>0</v>
      </c>
      <c r="AI70" s="16">
        <f t="shared" si="62"/>
        <v>0</v>
      </c>
      <c r="AJ70" s="16">
        <f t="shared" si="62"/>
        <v>0</v>
      </c>
      <c r="AK70" s="16">
        <f t="shared" si="62"/>
        <v>0</v>
      </c>
      <c r="AL70" s="16">
        <f t="shared" si="62"/>
        <v>0</v>
      </c>
      <c r="AM70" s="16">
        <f t="shared" si="62"/>
        <v>0</v>
      </c>
      <c r="AN70" s="16">
        <f t="shared" si="62"/>
        <v>0</v>
      </c>
      <c r="AO70" s="16">
        <f t="shared" si="62"/>
        <v>0</v>
      </c>
      <c r="AP70" s="16">
        <f t="shared" si="62"/>
        <v>0</v>
      </c>
      <c r="AQ70" s="16">
        <f t="shared" si="62"/>
        <v>0</v>
      </c>
      <c r="AR70" s="16">
        <f t="shared" si="62"/>
        <v>0</v>
      </c>
      <c r="AS70" s="16">
        <f t="shared" si="62"/>
        <v>0</v>
      </c>
      <c r="AT70" s="16">
        <f t="shared" si="62"/>
        <v>0</v>
      </c>
      <c r="AU70" s="16">
        <f t="shared" si="62"/>
        <v>0</v>
      </c>
      <c r="AV70" s="16">
        <f t="shared" si="62"/>
        <v>0</v>
      </c>
      <c r="AW70" s="16">
        <f t="shared" si="62"/>
        <v>0</v>
      </c>
      <c r="AX70" s="16">
        <f t="shared" si="62"/>
        <v>0</v>
      </c>
      <c r="AY70" s="16">
        <f t="shared" si="62"/>
        <v>0</v>
      </c>
      <c r="AZ70" s="16">
        <f t="shared" si="62"/>
        <v>0</v>
      </c>
      <c r="BA70" s="16">
        <f t="shared" si="62"/>
        <v>0</v>
      </c>
      <c r="BB70" s="16">
        <f t="shared" si="62"/>
        <v>0</v>
      </c>
      <c r="BC70" s="16">
        <f t="shared" si="62"/>
        <v>0</v>
      </c>
      <c r="BD70" s="16">
        <f t="shared" si="62"/>
        <v>0</v>
      </c>
      <c r="BE70" s="16">
        <f t="shared" si="62"/>
        <v>0</v>
      </c>
      <c r="BF70" s="16">
        <f t="shared" si="62"/>
        <v>0</v>
      </c>
      <c r="BG70" s="16" t="str">
        <f>IF(SUM(E70:BF70)=R$54,"OK","ERROR")</f>
        <v>OK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</row>
    <row r="71" spans="1:77" ht="12.25" customHeight="1">
      <c r="A71" s="50">
        <v>2021</v>
      </c>
      <c r="C71" s="7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>
        <f>IF(S54=0,0,S54/S55)</f>
        <v>22.359605159378123</v>
      </c>
      <c r="T71" s="16">
        <f t="shared" si="61"/>
        <v>22.359605159378123</v>
      </c>
      <c r="U71" s="16">
        <f t="shared" si="61"/>
        <v>22.359605159378123</v>
      </c>
      <c r="V71" s="16">
        <f t="shared" si="61"/>
        <v>22.359605159378123</v>
      </c>
      <c r="W71" s="16">
        <f t="shared" si="61"/>
        <v>22.359605159378123</v>
      </c>
      <c r="X71" s="16">
        <f t="shared" si="61"/>
        <v>22.359605159378123</v>
      </c>
      <c r="Y71" s="16">
        <f t="shared" si="61"/>
        <v>22.359605159378123</v>
      </c>
      <c r="Z71" s="16">
        <f t="shared" si="61"/>
        <v>22.359605159378123</v>
      </c>
      <c r="AA71" s="16">
        <f t="shared" si="61"/>
        <v>22.359605159378123</v>
      </c>
      <c r="AB71" s="16">
        <f t="shared" si="61"/>
        <v>22.359605159378123</v>
      </c>
      <c r="AC71" s="16">
        <f t="shared" si="62"/>
        <v>22.359605159378123</v>
      </c>
      <c r="AD71" s="16">
        <f t="shared" si="62"/>
        <v>22.359605159378123</v>
      </c>
      <c r="AE71" s="16">
        <f t="shared" si="62"/>
        <v>22.359605159378123</v>
      </c>
      <c r="AF71" s="16">
        <f t="shared" si="62"/>
        <v>22.359605159378123</v>
      </c>
      <c r="AG71" s="16">
        <f t="shared" si="62"/>
        <v>22.359605159378123</v>
      </c>
      <c r="AH71" s="16">
        <f t="shared" si="62"/>
        <v>22.359605159378123</v>
      </c>
      <c r="AI71" s="16">
        <f t="shared" si="62"/>
        <v>22.359605159378123</v>
      </c>
      <c r="AJ71" s="16">
        <f t="shared" si="62"/>
        <v>22.359605159378123</v>
      </c>
      <c r="AK71" s="16">
        <f t="shared" si="62"/>
        <v>22.359605159378123</v>
      </c>
      <c r="AL71" s="16">
        <f t="shared" si="62"/>
        <v>22.359605159378123</v>
      </c>
      <c r="AM71" s="16">
        <f t="shared" si="62"/>
        <v>22.359605159378123</v>
      </c>
      <c r="AN71" s="16">
        <f t="shared" si="62"/>
        <v>22.359605159378123</v>
      </c>
      <c r="AO71" s="16">
        <f t="shared" si="62"/>
        <v>22.359605159378123</v>
      </c>
      <c r="AP71" s="16">
        <f t="shared" si="62"/>
        <v>22.359605159378123</v>
      </c>
      <c r="AQ71" s="16">
        <f t="shared" si="62"/>
        <v>22.359605159378123</v>
      </c>
      <c r="AR71" s="16">
        <f t="shared" si="62"/>
        <v>22.359605159378123</v>
      </c>
      <c r="AS71" s="16">
        <f t="shared" si="62"/>
        <v>22.359605159378123</v>
      </c>
      <c r="AT71" s="16">
        <f t="shared" si="62"/>
        <v>22.359605159378123</v>
      </c>
      <c r="AU71" s="16">
        <f t="shared" si="62"/>
        <v>22.359605159378123</v>
      </c>
      <c r="AV71" s="16">
        <f t="shared" si="62"/>
        <v>22.359605159378123</v>
      </c>
      <c r="AW71" s="16">
        <f t="shared" si="62"/>
        <v>22.359605159378123</v>
      </c>
      <c r="AX71" s="16">
        <f t="shared" si="62"/>
        <v>22.359605159378123</v>
      </c>
      <c r="AY71" s="16">
        <f t="shared" si="62"/>
        <v>22.359605159378123</v>
      </c>
      <c r="AZ71" s="16">
        <f t="shared" si="62"/>
        <v>22.359605159378123</v>
      </c>
      <c r="BA71" s="16">
        <f t="shared" si="62"/>
        <v>22.359605159378123</v>
      </c>
      <c r="BB71" s="16">
        <v>0</v>
      </c>
      <c r="BC71" s="16">
        <v>0</v>
      </c>
      <c r="BD71" s="16">
        <f t="shared" si="62"/>
        <v>0</v>
      </c>
      <c r="BE71" s="16">
        <f t="shared" si="62"/>
        <v>0</v>
      </c>
      <c r="BF71" s="16">
        <f t="shared" si="62"/>
        <v>0</v>
      </c>
      <c r="BG71" s="16" t="str">
        <f>IF(ROUND(SUM(E71:BF71),0)=ROUND(S$54,0),"OK","ERROR")</f>
        <v>OK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</row>
    <row r="72" spans="1:77" ht="12.25" customHeight="1">
      <c r="A72" s="50">
        <v>2022</v>
      </c>
      <c r="C72" s="7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>
        <f>IF(T54=0,0,T54/T55)</f>
        <v>39.592965071738902</v>
      </c>
      <c r="U72" s="16">
        <f t="shared" si="61"/>
        <v>39.592965071738902</v>
      </c>
      <c r="V72" s="16">
        <f t="shared" si="61"/>
        <v>39.592965071738902</v>
      </c>
      <c r="W72" s="16">
        <f t="shared" si="61"/>
        <v>39.592965071738902</v>
      </c>
      <c r="X72" s="16">
        <f t="shared" si="61"/>
        <v>39.592965071738902</v>
      </c>
      <c r="Y72" s="16">
        <f t="shared" si="61"/>
        <v>39.592965071738902</v>
      </c>
      <c r="Z72" s="16">
        <f t="shared" si="61"/>
        <v>39.592965071738902</v>
      </c>
      <c r="AA72" s="16">
        <f t="shared" si="61"/>
        <v>39.592965071738902</v>
      </c>
      <c r="AB72" s="16">
        <f t="shared" si="61"/>
        <v>39.592965071738902</v>
      </c>
      <c r="AC72" s="16">
        <f t="shared" si="62"/>
        <v>39.592965071738902</v>
      </c>
      <c r="AD72" s="16">
        <f t="shared" si="62"/>
        <v>39.592965071738902</v>
      </c>
      <c r="AE72" s="16">
        <f t="shared" si="62"/>
        <v>39.592965071738902</v>
      </c>
      <c r="AF72" s="16">
        <f t="shared" si="62"/>
        <v>39.592965071738902</v>
      </c>
      <c r="AG72" s="16">
        <f t="shared" si="62"/>
        <v>39.592965071738902</v>
      </c>
      <c r="AH72" s="16">
        <f t="shared" si="62"/>
        <v>39.592965071738902</v>
      </c>
      <c r="AI72" s="16">
        <f t="shared" si="62"/>
        <v>39.592965071738902</v>
      </c>
      <c r="AJ72" s="16">
        <f t="shared" si="62"/>
        <v>39.592965071738902</v>
      </c>
      <c r="AK72" s="16">
        <f t="shared" si="62"/>
        <v>39.592965071738902</v>
      </c>
      <c r="AL72" s="16">
        <f t="shared" si="62"/>
        <v>39.592965071738902</v>
      </c>
      <c r="AM72" s="16">
        <f t="shared" si="62"/>
        <v>39.592965071738902</v>
      </c>
      <c r="AN72" s="16">
        <f t="shared" si="62"/>
        <v>39.592965071738902</v>
      </c>
      <c r="AO72" s="16">
        <f t="shared" si="62"/>
        <v>39.592965071738902</v>
      </c>
      <c r="AP72" s="16">
        <f t="shared" si="62"/>
        <v>39.592965071738902</v>
      </c>
      <c r="AQ72" s="16">
        <f t="shared" si="62"/>
        <v>39.592965071738902</v>
      </c>
      <c r="AR72" s="16">
        <f t="shared" si="62"/>
        <v>39.592965071738902</v>
      </c>
      <c r="AS72" s="16">
        <f t="shared" si="62"/>
        <v>39.592965071738902</v>
      </c>
      <c r="AT72" s="16">
        <f t="shared" si="62"/>
        <v>39.592965071738902</v>
      </c>
      <c r="AU72" s="16">
        <f t="shared" si="62"/>
        <v>39.592965071738902</v>
      </c>
      <c r="AV72" s="16">
        <f t="shared" si="62"/>
        <v>39.592965071738902</v>
      </c>
      <c r="AW72" s="16">
        <f t="shared" si="62"/>
        <v>39.592965071738902</v>
      </c>
      <c r="AX72" s="16">
        <f t="shared" si="62"/>
        <v>39.592965071738902</v>
      </c>
      <c r="AY72" s="16">
        <f t="shared" si="62"/>
        <v>39.592965071738902</v>
      </c>
      <c r="AZ72" s="16">
        <f t="shared" si="62"/>
        <v>39.592965071738902</v>
      </c>
      <c r="BA72" s="16">
        <f t="shared" si="62"/>
        <v>39.592965071738902</v>
      </c>
      <c r="BB72" s="16">
        <f t="shared" si="62"/>
        <v>39.592965071738902</v>
      </c>
      <c r="BC72" s="16">
        <f t="shared" si="62"/>
        <v>39.592965071738902</v>
      </c>
      <c r="BD72" s="16">
        <f t="shared" si="62"/>
        <v>39.592965071738902</v>
      </c>
      <c r="BE72" s="16">
        <f t="shared" si="62"/>
        <v>39.592965071738902</v>
      </c>
      <c r="BF72" s="16">
        <f t="shared" si="62"/>
        <v>39.592965071738902</v>
      </c>
      <c r="BG72" s="16" t="str">
        <f>IF(ROUND(SUM(E72:BF72),0)=ROUND(T$54,0),"OK","ERROR")</f>
        <v>OK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</row>
    <row r="73" spans="1:77" ht="12.25" customHeight="1">
      <c r="A73" s="50" t="s">
        <v>163</v>
      </c>
      <c r="C73" s="70"/>
      <c r="D73" s="53"/>
      <c r="E73" s="53">
        <f t="shared" ref="E73:AJ73" si="63">SUM(E57:E72)</f>
        <v>0</v>
      </c>
      <c r="F73" s="53">
        <f t="shared" si="63"/>
        <v>0</v>
      </c>
      <c r="G73" s="53">
        <f t="shared" si="63"/>
        <v>18.375</v>
      </c>
      <c r="H73" s="53">
        <f t="shared" si="63"/>
        <v>46.655000000000001</v>
      </c>
      <c r="I73" s="53">
        <f t="shared" si="63"/>
        <v>64.745909090909095</v>
      </c>
      <c r="J73" s="53">
        <f t="shared" si="63"/>
        <v>64.745909090909095</v>
      </c>
      <c r="K73" s="53">
        <f t="shared" si="63"/>
        <v>64.745909090909095</v>
      </c>
      <c r="L73" s="53">
        <f t="shared" si="63"/>
        <v>73.268782634338663</v>
      </c>
      <c r="M73" s="53">
        <f t="shared" si="63"/>
        <v>73.268782634338663</v>
      </c>
      <c r="N73" s="53">
        <f t="shared" si="63"/>
        <v>88.406873025382836</v>
      </c>
      <c r="O73" s="53">
        <f t="shared" si="63"/>
        <v>88.406873025382836</v>
      </c>
      <c r="P73" s="53">
        <f t="shared" si="63"/>
        <v>88.406873025382836</v>
      </c>
      <c r="Q73" s="53">
        <f t="shared" si="63"/>
        <v>88.406873025382836</v>
      </c>
      <c r="R73" s="53">
        <f t="shared" si="63"/>
        <v>88.406873025382836</v>
      </c>
      <c r="S73" s="53">
        <f t="shared" si="63"/>
        <v>110.76647818476096</v>
      </c>
      <c r="T73" s="53">
        <f t="shared" si="63"/>
        <v>150.35944325649984</v>
      </c>
      <c r="U73" s="53">
        <f t="shared" si="63"/>
        <v>150.35944325649984</v>
      </c>
      <c r="V73" s="53">
        <f t="shared" si="63"/>
        <v>150.35944325649984</v>
      </c>
      <c r="W73" s="53">
        <f t="shared" si="63"/>
        <v>150.35944325649984</v>
      </c>
      <c r="X73" s="53">
        <f t="shared" si="63"/>
        <v>150.35944325649984</v>
      </c>
      <c r="Y73" s="53">
        <f t="shared" si="63"/>
        <v>150.35944325649984</v>
      </c>
      <c r="Z73" s="53">
        <f t="shared" si="63"/>
        <v>150.35944325649984</v>
      </c>
      <c r="AA73" s="53">
        <f t="shared" si="63"/>
        <v>141.83656971307028</v>
      </c>
      <c r="AB73" s="53">
        <f t="shared" si="63"/>
        <v>141.83656971307028</v>
      </c>
      <c r="AC73" s="53">
        <f t="shared" si="63"/>
        <v>141.83656971307028</v>
      </c>
      <c r="AD73" s="53">
        <f t="shared" si="63"/>
        <v>141.83656971307028</v>
      </c>
      <c r="AE73" s="53">
        <f t="shared" si="63"/>
        <v>105.3706606221612</v>
      </c>
      <c r="AF73" s="53">
        <f t="shared" si="63"/>
        <v>105.3706606221612</v>
      </c>
      <c r="AG73" s="53">
        <f t="shared" si="63"/>
        <v>77.090660622161209</v>
      </c>
      <c r="AH73" s="53">
        <f t="shared" si="63"/>
        <v>77.090660622161209</v>
      </c>
      <c r="AI73" s="53">
        <f t="shared" si="63"/>
        <v>77.090660622161209</v>
      </c>
      <c r="AJ73" s="53">
        <f t="shared" si="63"/>
        <v>61.952570231117022</v>
      </c>
      <c r="AK73" s="53">
        <f t="shared" ref="AK73:BF73" si="64">SUM(AK57:AK72)</f>
        <v>61.952570231117022</v>
      </c>
      <c r="AL73" s="53">
        <f t="shared" si="64"/>
        <v>61.952570231117022</v>
      </c>
      <c r="AM73" s="53">
        <f t="shared" si="64"/>
        <v>61.952570231117022</v>
      </c>
      <c r="AN73" s="53">
        <f t="shared" si="64"/>
        <v>61.952570231117022</v>
      </c>
      <c r="AO73" s="53">
        <f t="shared" si="64"/>
        <v>61.952570231117022</v>
      </c>
      <c r="AP73" s="53">
        <f t="shared" si="64"/>
        <v>61.952570231117022</v>
      </c>
      <c r="AQ73" s="53">
        <f t="shared" si="64"/>
        <v>61.952570231117022</v>
      </c>
      <c r="AR73" s="53">
        <f t="shared" si="64"/>
        <v>61.952570231117022</v>
      </c>
      <c r="AS73" s="53">
        <f t="shared" si="64"/>
        <v>61.952570231117022</v>
      </c>
      <c r="AT73" s="53">
        <f t="shared" si="64"/>
        <v>61.952570231117022</v>
      </c>
      <c r="AU73" s="53">
        <f t="shared" si="64"/>
        <v>61.952570231117022</v>
      </c>
      <c r="AV73" s="53">
        <f t="shared" si="64"/>
        <v>61.952570231117022</v>
      </c>
      <c r="AW73" s="53">
        <f t="shared" si="64"/>
        <v>61.952570231117022</v>
      </c>
      <c r="AX73" s="53">
        <f t="shared" si="64"/>
        <v>61.952570231117022</v>
      </c>
      <c r="AY73" s="53">
        <f t="shared" si="64"/>
        <v>61.952570231117022</v>
      </c>
      <c r="AZ73" s="53">
        <f t="shared" si="64"/>
        <v>61.952570231117022</v>
      </c>
      <c r="BA73" s="53">
        <f t="shared" si="64"/>
        <v>61.952570231117022</v>
      </c>
      <c r="BB73" s="53">
        <f t="shared" si="64"/>
        <v>39.592965071738902</v>
      </c>
      <c r="BC73" s="53">
        <f t="shared" si="64"/>
        <v>39.592965071738902</v>
      </c>
      <c r="BD73" s="53">
        <f t="shared" si="64"/>
        <v>39.592965071738902</v>
      </c>
      <c r="BE73" s="53">
        <f t="shared" si="64"/>
        <v>39.592965071738902</v>
      </c>
      <c r="BF73" s="53">
        <f t="shared" si="64"/>
        <v>39.592965071738902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</row>
    <row r="75" spans="1:77" ht="12.25" customHeight="1">
      <c r="A75" s="32" t="s">
        <v>249</v>
      </c>
      <c r="E75" s="35">
        <f>+E54*Inputs!$M$31</f>
        <v>0</v>
      </c>
      <c r="F75" s="35">
        <f>+F54*Inputs!$M$31</f>
        <v>0</v>
      </c>
      <c r="G75" s="35">
        <f>+G54*Inputs!$M$31</f>
        <v>464.23683207784978</v>
      </c>
      <c r="H75" s="35">
        <f>+H54*Inputs!$M$31</f>
        <v>744.25269904544166</v>
      </c>
      <c r="I75" s="35">
        <f>+I54*Inputs!$M$31</f>
        <v>418.97110922218639</v>
      </c>
      <c r="J75" s="35">
        <f>+J54*Inputs!$M$31</f>
        <v>0</v>
      </c>
      <c r="K75" s="35">
        <f>+K54*Inputs!$M$31</f>
        <v>0</v>
      </c>
      <c r="L75" s="35">
        <f>+L54*Inputs!$M$31</f>
        <v>134.57931340142375</v>
      </c>
      <c r="M75" s="35">
        <f>+M54*Inputs!$M$31</f>
        <v>0</v>
      </c>
      <c r="N75" s="35">
        <f>+N54*Inputs!$M$31</f>
        <v>350.58616959324877</v>
      </c>
      <c r="O75" s="35">
        <f>+O54*Inputs!$M$31</f>
        <v>0</v>
      </c>
      <c r="P75" s="35">
        <f>+P54*Inputs!$M$31</f>
        <v>0</v>
      </c>
      <c r="Q75" s="35">
        <f>+Q54*Inputs!$M$31</f>
        <v>0</v>
      </c>
      <c r="R75" s="35">
        <f>+R54*Inputs!$M$31</f>
        <v>0</v>
      </c>
      <c r="S75" s="35">
        <f>+S54*Inputs!$M$31</f>
        <v>823.82160838898778</v>
      </c>
      <c r="T75" s="35">
        <f>+T54*Inputs!$M$31</f>
        <v>1625.4875156948933</v>
      </c>
      <c r="U75" s="35">
        <f>+U54*Inputs!$M$31</f>
        <v>0</v>
      </c>
      <c r="V75" s="35">
        <f>+V54*Inputs!$M$31</f>
        <v>0</v>
      </c>
      <c r="W75" s="35">
        <f>+W54*Inputs!$M$31</f>
        <v>0</v>
      </c>
      <c r="X75" s="35">
        <f>+X54*Inputs!$M$31</f>
        <v>0</v>
      </c>
      <c r="Y75" s="35">
        <f>+Y54*Inputs!$M$31</f>
        <v>0</v>
      </c>
      <c r="Z75" s="35">
        <f>+Z54*Inputs!$M$31</f>
        <v>0</v>
      </c>
      <c r="AA75" s="35">
        <f>+AA54*Inputs!$M$31</f>
        <v>0</v>
      </c>
      <c r="AB75" s="35">
        <f>+AB54*Inputs!$M$31</f>
        <v>0</v>
      </c>
      <c r="AC75" s="35">
        <f>+AC54*Inputs!$M$31</f>
        <v>0</v>
      </c>
      <c r="AD75" s="35">
        <f>+AD54*Inputs!$M$31</f>
        <v>0</v>
      </c>
      <c r="AE75" s="35">
        <f>+AE54*Inputs!$M$31</f>
        <v>0</v>
      </c>
      <c r="AF75" s="35">
        <f>+AF54*Inputs!$M$31</f>
        <v>0</v>
      </c>
      <c r="AG75" s="35">
        <f>+AG54*Inputs!$M$31</f>
        <v>0</v>
      </c>
      <c r="AH75" s="35">
        <f>+AH54*Inputs!$M$31</f>
        <v>0</v>
      </c>
      <c r="AI75" s="35">
        <f>+AI54*Inputs!$M$31</f>
        <v>0</v>
      </c>
      <c r="AJ75" s="35">
        <f>+AJ54*Inputs!$M$31</f>
        <v>0</v>
      </c>
      <c r="AK75" s="35">
        <f>+AK54*Inputs!$M$31</f>
        <v>0</v>
      </c>
      <c r="AL75" s="35">
        <f>+AL54*Inputs!$M$31</f>
        <v>0</v>
      </c>
      <c r="AM75" s="35">
        <f>+AM54*Inputs!$M$31</f>
        <v>0</v>
      </c>
      <c r="AN75" s="35">
        <f>+AN54*Inputs!$M$31</f>
        <v>0</v>
      </c>
      <c r="AO75" s="35">
        <f>+AO54*Inputs!$M$31</f>
        <v>0</v>
      </c>
      <c r="AP75" s="35">
        <f>+AP54*Inputs!$M$31</f>
        <v>0</v>
      </c>
      <c r="AQ75" s="35">
        <f>+AQ54*Inputs!$M$31</f>
        <v>0</v>
      </c>
      <c r="AR75" s="35">
        <f>+AR54*Inputs!$M$31</f>
        <v>0</v>
      </c>
      <c r="AS75" s="35">
        <f>+AS54*Inputs!$M$31</f>
        <v>0</v>
      </c>
      <c r="AT75" s="35">
        <f>+AT54*Inputs!$M$31</f>
        <v>0</v>
      </c>
      <c r="AU75" s="35">
        <f>+AU54*Inputs!$M$31</f>
        <v>0</v>
      </c>
      <c r="AV75" s="35">
        <f>+AV54*Inputs!$M$31</f>
        <v>0</v>
      </c>
      <c r="AW75" s="35">
        <f>+AW54*Inputs!$M$31</f>
        <v>0</v>
      </c>
      <c r="AX75" s="35">
        <f>+AX54*Inputs!$M$31</f>
        <v>0</v>
      </c>
      <c r="AY75" s="35">
        <f>+AY54*Inputs!$M$31</f>
        <v>0</v>
      </c>
      <c r="AZ75" s="35">
        <f>+AZ54*Inputs!$M$31</f>
        <v>0</v>
      </c>
      <c r="BA75" s="35">
        <f>+BA54*Inputs!$M$31</f>
        <v>0</v>
      </c>
      <c r="BB75" s="35">
        <f>+BB54*Inputs!$M$31</f>
        <v>0</v>
      </c>
      <c r="BC75" s="35">
        <f>+BC54*Inputs!$M$31</f>
        <v>0</v>
      </c>
      <c r="BD75" s="35">
        <f>+BD54*Inputs!$M$31</f>
        <v>0</v>
      </c>
      <c r="BE75" s="35">
        <f>+BE54*Inputs!$M$31</f>
        <v>0</v>
      </c>
      <c r="BF75" s="35">
        <f>+BF54*Inputs!$M$31</f>
        <v>0</v>
      </c>
    </row>
    <row r="76" spans="1:77" ht="12.25" customHeight="1">
      <c r="A76" s="32" t="s">
        <v>250</v>
      </c>
      <c r="E76" s="35">
        <f>+E73*Inputs!$M$31</f>
        <v>0</v>
      </c>
      <c r="F76" s="35">
        <f>+F73*Inputs!$M$31</f>
        <v>0</v>
      </c>
      <c r="G76" s="35">
        <f>+G73*Inputs!$M$31</f>
        <v>19.343201336577074</v>
      </c>
      <c r="H76" s="35">
        <f>+H73*Inputs!$M$31</f>
        <v>49.113309298394739</v>
      </c>
      <c r="I76" s="35">
        <f>+I73*Inputs!$M$31</f>
        <v>68.157450626675953</v>
      </c>
      <c r="J76" s="35">
        <f>+J73*Inputs!$M$31</f>
        <v>68.157450626675953</v>
      </c>
      <c r="K76" s="35">
        <f>+K73*Inputs!$M$31</f>
        <v>68.157450626675953</v>
      </c>
      <c r="L76" s="35">
        <f>+L73*Inputs!$M$31</f>
        <v>77.129404853437535</v>
      </c>
      <c r="M76" s="35">
        <f>+M73*Inputs!$M$31</f>
        <v>77.129404853437535</v>
      </c>
      <c r="N76" s="35">
        <f>+N73*Inputs!$M$31</f>
        <v>93.065139834948837</v>
      </c>
      <c r="O76" s="35">
        <f>+O73*Inputs!$M$31</f>
        <v>93.065139834948837</v>
      </c>
      <c r="P76" s="35">
        <f>+P73*Inputs!$M$31</f>
        <v>93.065139834948837</v>
      </c>
      <c r="Q76" s="35">
        <f>+Q73*Inputs!$M$31</f>
        <v>93.065139834948837</v>
      </c>
      <c r="R76" s="35">
        <f>+R73*Inputs!$M$31</f>
        <v>93.065139834948837</v>
      </c>
      <c r="S76" s="35">
        <f>+S73*Inputs!$M$31</f>
        <v>116.60290007463419</v>
      </c>
      <c r="T76" s="35">
        <f>+T73*Inputs!$M$31</f>
        <v>158.28206714373403</v>
      </c>
      <c r="U76" s="35">
        <f>+U73*Inputs!$M$31</f>
        <v>158.28206714373403</v>
      </c>
      <c r="V76" s="35">
        <f>+V73*Inputs!$M$31</f>
        <v>158.28206714373403</v>
      </c>
      <c r="W76" s="35">
        <f>+W73*Inputs!$M$31</f>
        <v>158.28206714373403</v>
      </c>
      <c r="X76" s="35">
        <f>+X73*Inputs!$M$31</f>
        <v>158.28206714373403</v>
      </c>
      <c r="Y76" s="35">
        <f>+Y73*Inputs!$M$31</f>
        <v>158.28206714373403</v>
      </c>
      <c r="Z76" s="35">
        <f>+Z73*Inputs!$M$31</f>
        <v>158.28206714373403</v>
      </c>
      <c r="AA76" s="35">
        <f>+AA73*Inputs!$M$31</f>
        <v>149.31011291697243</v>
      </c>
      <c r="AB76" s="35">
        <f>+AB73*Inputs!$M$31</f>
        <v>149.31011291697243</v>
      </c>
      <c r="AC76" s="35">
        <f>+AC73*Inputs!$M$31</f>
        <v>149.31011291697243</v>
      </c>
      <c r="AD76" s="35">
        <f>+AD73*Inputs!$M$31</f>
        <v>149.31011291697243</v>
      </c>
      <c r="AE76" s="35">
        <f>+AE73*Inputs!$M$31</f>
        <v>110.92277025211416</v>
      </c>
      <c r="AF76" s="35">
        <f>+AF73*Inputs!$M$31</f>
        <v>110.92277025211416</v>
      </c>
      <c r="AG76" s="35">
        <f>+AG73*Inputs!$M$31</f>
        <v>81.152662290296504</v>
      </c>
      <c r="AH76" s="35">
        <f>+AH73*Inputs!$M$31</f>
        <v>81.152662290296504</v>
      </c>
      <c r="AI76" s="35">
        <f>+AI73*Inputs!$M$31</f>
        <v>81.152662290296504</v>
      </c>
      <c r="AJ76" s="35">
        <f>+AJ73*Inputs!$M$31</f>
        <v>65.216927308785188</v>
      </c>
      <c r="AK76" s="35">
        <f>+AK73*Inputs!$M$31</f>
        <v>65.216927308785188</v>
      </c>
      <c r="AL76" s="35">
        <f>+AL73*Inputs!$M$31</f>
        <v>65.216927308785188</v>
      </c>
      <c r="AM76" s="35">
        <f>+AM73*Inputs!$M$31</f>
        <v>65.216927308785188</v>
      </c>
      <c r="AN76" s="35">
        <f>+AN73*Inputs!$M$31</f>
        <v>65.216927308785188</v>
      </c>
      <c r="AO76" s="35">
        <f>+AO73*Inputs!$M$31</f>
        <v>65.216927308785188</v>
      </c>
      <c r="AP76" s="35">
        <f>+AP73*Inputs!$M$31</f>
        <v>65.216927308785188</v>
      </c>
      <c r="AQ76" s="35">
        <f>+AQ73*Inputs!$M$31</f>
        <v>65.216927308785188</v>
      </c>
      <c r="AR76" s="35">
        <f>+AR73*Inputs!$M$31</f>
        <v>65.216927308785188</v>
      </c>
      <c r="AS76" s="35">
        <f>+AS73*Inputs!$M$31</f>
        <v>65.216927308785188</v>
      </c>
      <c r="AT76" s="35">
        <f>+AT73*Inputs!$M$31</f>
        <v>65.216927308785188</v>
      </c>
      <c r="AU76" s="35">
        <f>+AU73*Inputs!$M$31</f>
        <v>65.216927308785188</v>
      </c>
      <c r="AV76" s="35">
        <f>+AV73*Inputs!$M$31</f>
        <v>65.216927308785188</v>
      </c>
      <c r="AW76" s="35">
        <f>+AW73*Inputs!$M$31</f>
        <v>65.216927308785188</v>
      </c>
      <c r="AX76" s="35">
        <f>+AX73*Inputs!$M$31</f>
        <v>65.216927308785188</v>
      </c>
      <c r="AY76" s="35">
        <f>+AY73*Inputs!$M$31</f>
        <v>65.216927308785188</v>
      </c>
      <c r="AZ76" s="35">
        <f>+AZ73*Inputs!$M$31</f>
        <v>65.216927308785188</v>
      </c>
      <c r="BA76" s="35">
        <f>+BA73*Inputs!$M$31</f>
        <v>65.216927308785188</v>
      </c>
      <c r="BB76" s="35">
        <f>+BB73*Inputs!$M$31</f>
        <v>41.679167069099826</v>
      </c>
      <c r="BC76" s="35">
        <f>+BC73*Inputs!$M$31</f>
        <v>41.679167069099826</v>
      </c>
      <c r="BD76" s="35">
        <f>+BD73*Inputs!$M$31</f>
        <v>41.679167069099826</v>
      </c>
      <c r="BE76" s="35">
        <f>+BE73*Inputs!$M$31</f>
        <v>41.679167069099826</v>
      </c>
      <c r="BF76" s="35">
        <f>+BF73*Inputs!$M$31</f>
        <v>41.679167069099826</v>
      </c>
    </row>
  </sheetData>
  <dataConsolidate/>
  <pageMargins left="0.70866141732283472" right="0.70866141732283472" top="0.74803149606299213" bottom="0.74803149606299213" header="0.31496062992125984" footer="0.31496062992125984"/>
  <pageSetup paperSize="8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4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ColWidth="9.36328125" defaultRowHeight="13"/>
  <cols>
    <col min="1" max="1" width="34" style="37" bestFit="1" customWidth="1"/>
    <col min="2" max="2" width="2.6328125" style="35" bestFit="1" customWidth="1"/>
    <col min="3" max="3" width="2.36328125" style="35" bestFit="1" customWidth="1"/>
    <col min="4" max="15" width="6.08984375" style="43" bestFit="1" customWidth="1"/>
    <col min="16" max="16" width="9.36328125" style="37"/>
    <col min="17" max="17" width="18" style="37" bestFit="1" customWidth="1"/>
    <col min="18" max="16384" width="9.36328125" style="37"/>
  </cols>
  <sheetData>
    <row r="1" spans="1:20" s="30" customFormat="1">
      <c r="A1" s="65" t="s">
        <v>60</v>
      </c>
      <c r="B1" s="40"/>
      <c r="C1" s="41"/>
      <c r="D1" s="112">
        <f>+Inputs!D1</f>
        <v>2011</v>
      </c>
      <c r="E1" s="112">
        <f>+Inputs!E1</f>
        <v>2012</v>
      </c>
      <c r="F1" s="112">
        <f>+Inputs!F1</f>
        <v>2013</v>
      </c>
      <c r="G1" s="112">
        <f>+Inputs!G1</f>
        <v>2014</v>
      </c>
      <c r="H1" s="112">
        <f>+Inputs!H1</f>
        <v>2015</v>
      </c>
      <c r="I1" s="112">
        <f>+Inputs!I1</f>
        <v>2016</v>
      </c>
      <c r="J1" s="112">
        <f>+Inputs!J1</f>
        <v>2017</v>
      </c>
      <c r="K1" s="112">
        <f>+Inputs!K1</f>
        <v>2018</v>
      </c>
      <c r="L1" s="112">
        <f>+Inputs!L1</f>
        <v>2019</v>
      </c>
      <c r="M1" s="112">
        <f>+Inputs!M1</f>
        <v>2020</v>
      </c>
      <c r="N1" s="112">
        <f>+Inputs!N1</f>
        <v>2021</v>
      </c>
      <c r="O1" s="112">
        <f>+Inputs!O1</f>
        <v>2022</v>
      </c>
      <c r="P1" s="42"/>
      <c r="Q1" s="42"/>
      <c r="R1" s="42"/>
      <c r="S1" s="42"/>
      <c r="T1" s="42"/>
    </row>
    <row r="2" spans="1:20">
      <c r="A2" s="39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0">
      <c r="A3" s="29" t="s">
        <v>64</v>
      </c>
      <c r="C3" s="23"/>
      <c r="D3" s="45"/>
      <c r="E3" s="45">
        <f t="shared" ref="E3:O3" si="0">+D30</f>
        <v>468765.46416218602</v>
      </c>
      <c r="F3" s="45">
        <f t="shared" si="0"/>
        <v>469427.94558706007</v>
      </c>
      <c r="G3" s="45">
        <f t="shared" si="0"/>
        <v>470314.36106372561</v>
      </c>
      <c r="H3" s="45">
        <f t="shared" si="0"/>
        <v>469935.52054769412</v>
      </c>
      <c r="I3" s="45">
        <f t="shared" si="0"/>
        <v>467784.89508336445</v>
      </c>
      <c r="J3" s="45">
        <f t="shared" si="0"/>
        <v>462970.61162944941</v>
      </c>
      <c r="K3" s="45">
        <f t="shared" si="0"/>
        <v>457848.18248537992</v>
      </c>
      <c r="L3" s="45">
        <f t="shared" si="0"/>
        <v>457998.33266961412</v>
      </c>
      <c r="M3" s="45">
        <f t="shared" si="0"/>
        <v>459092.12700029358</v>
      </c>
      <c r="N3" s="45">
        <f t="shared" si="0"/>
        <v>457647.82113956893</v>
      </c>
      <c r="O3" s="45">
        <f t="shared" si="0"/>
        <v>456279.95650216693</v>
      </c>
    </row>
    <row r="4" spans="1:20">
      <c r="A4" s="29" t="s">
        <v>63</v>
      </c>
      <c r="C4" s="24"/>
      <c r="D4" s="46"/>
      <c r="E4" s="47">
        <f>+'DAV Inputs'!E54</f>
        <v>0</v>
      </c>
      <c r="F4" s="47">
        <f>+'DAV Inputs'!F54</f>
        <v>0</v>
      </c>
      <c r="G4" s="47">
        <f>+'DAV Inputs'!G54</f>
        <v>441</v>
      </c>
      <c r="H4" s="47">
        <f>+'DAV Inputs'!H54</f>
        <v>707</v>
      </c>
      <c r="I4" s="47">
        <f>+'DAV Inputs'!I54</f>
        <v>398</v>
      </c>
      <c r="J4" s="47">
        <f>+'DAV Inputs'!J54</f>
        <v>0</v>
      </c>
      <c r="K4" s="47">
        <f>+'DAV Inputs'!K54</f>
        <v>0</v>
      </c>
      <c r="L4" s="47">
        <f>+'DAV Inputs'!L54</f>
        <v>127.84310315144344</v>
      </c>
      <c r="M4" s="47">
        <f>+'DAV Inputs'!M54</f>
        <v>0</v>
      </c>
      <c r="N4" s="47">
        <f>+'DAV Inputs'!N54</f>
        <v>333.03798860297189</v>
      </c>
      <c r="O4" s="47">
        <f>+'DAV Inputs'!O54</f>
        <v>0</v>
      </c>
    </row>
    <row r="5" spans="1:20">
      <c r="A5" s="29" t="s">
        <v>23</v>
      </c>
      <c r="C5" s="24"/>
      <c r="D5" s="46"/>
      <c r="E5" s="116">
        <f>+E3+E4</f>
        <v>468765.46416218602</v>
      </c>
      <c r="F5" s="116">
        <f t="shared" ref="F5:O5" si="1">+F3+F4</f>
        <v>469427.94558706007</v>
      </c>
      <c r="G5" s="116">
        <f t="shared" si="1"/>
        <v>470755.36106372561</v>
      </c>
      <c r="H5" s="116">
        <f t="shared" si="1"/>
        <v>470642.52054769412</v>
      </c>
      <c r="I5" s="116">
        <f t="shared" si="1"/>
        <v>468182.89508336445</v>
      </c>
      <c r="J5" s="116">
        <f t="shared" si="1"/>
        <v>462970.61162944941</v>
      </c>
      <c r="K5" s="116">
        <f t="shared" si="1"/>
        <v>457848.18248537992</v>
      </c>
      <c r="L5" s="116">
        <f t="shared" si="1"/>
        <v>458126.17577276553</v>
      </c>
      <c r="M5" s="116">
        <f t="shared" si="1"/>
        <v>459092.12700029358</v>
      </c>
      <c r="N5" s="116">
        <f t="shared" si="1"/>
        <v>457980.85912817193</v>
      </c>
      <c r="O5" s="116">
        <f t="shared" si="1"/>
        <v>456279.95650216693</v>
      </c>
    </row>
    <row r="6" spans="1:20">
      <c r="A6" s="39"/>
      <c r="C6" s="24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20">
      <c r="A7" s="31" t="s">
        <v>133</v>
      </c>
      <c r="B7" s="38"/>
      <c r="E7" s="45">
        <f>+'DAV Inputs'!E20</f>
        <v>2539.0473390663333</v>
      </c>
      <c r="F7" s="45">
        <f>+'DAV Inputs'!F20</f>
        <v>2622.6779916633795</v>
      </c>
      <c r="G7" s="45">
        <f>+'DAV Inputs'!G20</f>
        <v>3352.7167035289485</v>
      </c>
      <c r="H7" s="45">
        <f>+'DAV Inputs'!H20</f>
        <v>3400.5163625224714</v>
      </c>
      <c r="I7" s="45">
        <f>+'DAV Inputs'!I20</f>
        <v>2674.1048596197038</v>
      </c>
      <c r="J7" s="45">
        <f>+'DAV Inputs'!J20</f>
        <v>7730.1601489980303</v>
      </c>
      <c r="K7" s="45">
        <f>+'DAV Inputs'!K20</f>
        <v>12853.709929778026</v>
      </c>
      <c r="L7" s="45">
        <f>+'DAV Inputs'!L20</f>
        <v>13590.733042204311</v>
      </c>
      <c r="M7" s="45">
        <f>+'DAV Inputs'!M20</f>
        <v>12012.652832331996</v>
      </c>
      <c r="N7" s="45">
        <f>+'DAV Inputs'!N20</f>
        <v>11422.588212861672</v>
      </c>
      <c r="O7" s="45">
        <f>+'DAV Inputs'!O20</f>
        <v>9344.8405104727899</v>
      </c>
      <c r="Q7" s="37" t="s">
        <v>230</v>
      </c>
    </row>
    <row r="8" spans="1:20">
      <c r="A8" s="31" t="s">
        <v>134</v>
      </c>
      <c r="B8" s="38"/>
      <c r="E8" s="45">
        <f>+'DAV Inputs'!E21</f>
        <v>2694.7648194103108</v>
      </c>
      <c r="F8" s="45">
        <f>+'DAV Inputs'!F21</f>
        <v>2800.0362511380126</v>
      </c>
      <c r="G8" s="45">
        <f>+'DAV Inputs'!G21</f>
        <v>3038.5678569633455</v>
      </c>
      <c r="H8" s="45">
        <f>+'DAV Inputs'!H21</f>
        <v>2607.7136504609093</v>
      </c>
      <c r="I8" s="45">
        <f>+'DAV Inputs'!I21</f>
        <v>2282.2119149386276</v>
      </c>
      <c r="J8" s="45">
        <f>+'DAV Inputs'!J21</f>
        <v>3633.8990744336829</v>
      </c>
      <c r="K8" s="45">
        <f>+'DAV Inputs'!K21</f>
        <v>4457.4790226139239</v>
      </c>
      <c r="L8" s="45">
        <f>+'DAV Inputs'!L21</f>
        <v>5292.9409260110451</v>
      </c>
      <c r="M8" s="45">
        <f>+'DAV Inputs'!M21</f>
        <v>5159.7283475828344</v>
      </c>
      <c r="N8" s="45">
        <f>+'DAV Inputs'!N21</f>
        <v>6265.9369359023831</v>
      </c>
      <c r="O8" s="45">
        <f>+'DAV Inputs'!O21</f>
        <v>5894.1506623077112</v>
      </c>
    </row>
    <row r="9" spans="1:20">
      <c r="A9" s="31" t="s">
        <v>135</v>
      </c>
      <c r="B9" s="38"/>
      <c r="E9" s="45">
        <f>+'DAV Inputs'!E22</f>
        <v>0</v>
      </c>
      <c r="F9" s="45">
        <f>+'DAV Inputs'!F22</f>
        <v>0</v>
      </c>
      <c r="G9" s="45">
        <f>+'DAV Inputs'!G22</f>
        <v>0</v>
      </c>
      <c r="H9" s="45">
        <f>+'DAV Inputs'!H22</f>
        <v>0</v>
      </c>
      <c r="I9" s="45">
        <f>+'DAV Inputs'!I22</f>
        <v>0</v>
      </c>
      <c r="J9" s="45">
        <f>+'DAV Inputs'!J22</f>
        <v>270.94123183833835</v>
      </c>
      <c r="K9" s="45">
        <f>+'DAV Inputs'!K22</f>
        <v>268.6235595006284</v>
      </c>
      <c r="L9" s="45">
        <f>+'DAV Inputs'!L22</f>
        <v>266.36689371296217</v>
      </c>
      <c r="M9" s="45">
        <f>+'DAV Inputs'!M22</f>
        <v>264.62600550996495</v>
      </c>
      <c r="N9" s="45">
        <f>+'DAV Inputs'!N22</f>
        <v>262.89649519140789</v>
      </c>
      <c r="O9" s="45">
        <f>+'DAV Inputs'!O22</f>
        <v>261.17828839510389</v>
      </c>
    </row>
    <row r="10" spans="1:20">
      <c r="A10" s="31" t="s">
        <v>136</v>
      </c>
      <c r="B10" s="38"/>
      <c r="E10" s="45">
        <f>+'DAV Inputs'!E23</f>
        <v>6432.4157948402872</v>
      </c>
      <c r="F10" s="45">
        <f>+'DAV Inputs'!F23</f>
        <v>7161.8588467645804</v>
      </c>
      <c r="G10" s="45">
        <f>+'DAV Inputs'!G23</f>
        <v>8158.3809328642492</v>
      </c>
      <c r="H10" s="45">
        <f>+'DAV Inputs'!H23</f>
        <v>6990.520165418784</v>
      </c>
      <c r="I10" s="45">
        <f>+'DAV Inputs'!I23</f>
        <v>6099.1271824780006</v>
      </c>
      <c r="J10" s="45">
        <f>+'DAV Inputs'!J23</f>
        <v>0</v>
      </c>
      <c r="K10" s="45">
        <f>+'DAV Inputs'!K23</f>
        <v>0</v>
      </c>
      <c r="L10" s="45">
        <f>+'DAV Inputs'!L23</f>
        <v>0</v>
      </c>
      <c r="M10" s="45">
        <f>+'DAV Inputs'!M23</f>
        <v>0</v>
      </c>
      <c r="N10" s="45">
        <f>+'DAV Inputs'!N23</f>
        <v>0</v>
      </c>
      <c r="O10" s="45">
        <f>+'DAV Inputs'!O23</f>
        <v>0</v>
      </c>
    </row>
    <row r="11" spans="1:20">
      <c r="A11" s="31" t="s">
        <v>137</v>
      </c>
      <c r="B11" s="38"/>
      <c r="E11" s="45">
        <f>+'DAV Inputs'!E24</f>
        <v>3292.7010108722338</v>
      </c>
      <c r="F11" s="45">
        <f>+'DAV Inputs'!F24</f>
        <v>3133.4876903533113</v>
      </c>
      <c r="G11" s="45">
        <f>+'DAV Inputs'!G24</f>
        <v>0</v>
      </c>
      <c r="H11" s="45">
        <f>+'DAV Inputs'!H24</f>
        <v>0</v>
      </c>
      <c r="I11" s="45">
        <f>+'DAV Inputs'!I24</f>
        <v>0</v>
      </c>
      <c r="J11" s="45">
        <f>+'DAV Inputs'!J24</f>
        <v>0</v>
      </c>
      <c r="K11" s="45">
        <f>+'DAV Inputs'!K24</f>
        <v>0</v>
      </c>
      <c r="L11" s="45">
        <f>+'DAV Inputs'!L24</f>
        <v>0</v>
      </c>
      <c r="M11" s="45">
        <f>+'DAV Inputs'!M24</f>
        <v>0</v>
      </c>
      <c r="N11" s="45">
        <f>+'DAV Inputs'!N24</f>
        <v>0</v>
      </c>
      <c r="O11" s="45">
        <f>+'DAV Inputs'!O24</f>
        <v>0</v>
      </c>
    </row>
    <row r="12" spans="1:20">
      <c r="A12" s="29"/>
      <c r="C12" s="24"/>
      <c r="D12" s="46"/>
      <c r="E12" s="116">
        <f>SUM(E7:E11)</f>
        <v>14958.928964189165</v>
      </c>
      <c r="F12" s="116">
        <f t="shared" ref="F12:N12" si="2">SUM(F7:F11)</f>
        <v>15718.060779919284</v>
      </c>
      <c r="G12" s="116">
        <f t="shared" si="2"/>
        <v>14549.665493356544</v>
      </c>
      <c r="H12" s="116">
        <f t="shared" si="2"/>
        <v>12998.750178402164</v>
      </c>
      <c r="I12" s="116">
        <f t="shared" si="2"/>
        <v>11055.443957036332</v>
      </c>
      <c r="J12" s="116">
        <f t="shared" si="2"/>
        <v>11635.000455270052</v>
      </c>
      <c r="K12" s="116">
        <f t="shared" si="2"/>
        <v>17579.812511892578</v>
      </c>
      <c r="L12" s="116">
        <f t="shared" si="2"/>
        <v>19150.040861928319</v>
      </c>
      <c r="M12" s="116">
        <f t="shared" si="2"/>
        <v>17437.007185424798</v>
      </c>
      <c r="N12" s="116">
        <f t="shared" si="2"/>
        <v>17951.421643955466</v>
      </c>
      <c r="O12" s="116">
        <f>SUM(O7:O11)</f>
        <v>15500.169461175605</v>
      </c>
    </row>
    <row r="13" spans="1:20">
      <c r="A13" s="31"/>
      <c r="B13" s="38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20">
      <c r="A14" s="31" t="s">
        <v>138</v>
      </c>
      <c r="B14" s="38"/>
      <c r="C14" s="38">
        <f>+Inputs!C103</f>
        <v>40</v>
      </c>
      <c r="D14" s="45"/>
      <c r="E14" s="45">
        <f t="shared" ref="E14:O18" si="3">E7/$C14</f>
        <v>63.476183476658335</v>
      </c>
      <c r="F14" s="45">
        <f t="shared" si="3"/>
        <v>65.566949791584491</v>
      </c>
      <c r="G14" s="45">
        <f t="shared" si="3"/>
        <v>83.817917588223708</v>
      </c>
      <c r="H14" s="45">
        <f t="shared" si="3"/>
        <v>85.012909063061784</v>
      </c>
      <c r="I14" s="45">
        <f t="shared" si="3"/>
        <v>66.852621490492595</v>
      </c>
      <c r="J14" s="45">
        <f t="shared" si="3"/>
        <v>193.25400372495076</v>
      </c>
      <c r="K14" s="45">
        <f t="shared" si="3"/>
        <v>321.34274824445066</v>
      </c>
      <c r="L14" s="45">
        <f t="shared" si="3"/>
        <v>339.76832605510776</v>
      </c>
      <c r="M14" s="45">
        <f t="shared" si="3"/>
        <v>300.31632080829991</v>
      </c>
      <c r="N14" s="45">
        <f t="shared" si="3"/>
        <v>285.56470532154179</v>
      </c>
      <c r="O14" s="45">
        <f t="shared" si="3"/>
        <v>233.62101276181974</v>
      </c>
    </row>
    <row r="15" spans="1:20">
      <c r="A15" s="31" t="s">
        <v>139</v>
      </c>
      <c r="B15" s="38"/>
      <c r="C15" s="38">
        <f>+Inputs!C104</f>
        <v>15</v>
      </c>
      <c r="D15" s="45"/>
      <c r="E15" s="45">
        <f t="shared" si="3"/>
        <v>179.65098796068739</v>
      </c>
      <c r="F15" s="45">
        <f t="shared" si="3"/>
        <v>186.66908340920085</v>
      </c>
      <c r="G15" s="45">
        <f t="shared" si="3"/>
        <v>202.57119046422304</v>
      </c>
      <c r="H15" s="45">
        <f t="shared" si="3"/>
        <v>173.84757669739395</v>
      </c>
      <c r="I15" s="45">
        <f t="shared" si="3"/>
        <v>152.14746099590852</v>
      </c>
      <c r="J15" s="45">
        <f t="shared" si="3"/>
        <v>242.25993829557885</v>
      </c>
      <c r="K15" s="45">
        <f t="shared" si="3"/>
        <v>297.1652681742616</v>
      </c>
      <c r="L15" s="45">
        <f t="shared" si="3"/>
        <v>352.86272840073633</v>
      </c>
      <c r="M15" s="45">
        <f t="shared" si="3"/>
        <v>343.98188983885564</v>
      </c>
      <c r="N15" s="45">
        <f t="shared" si="3"/>
        <v>417.72912906015887</v>
      </c>
      <c r="O15" s="45">
        <f t="shared" si="3"/>
        <v>392.94337748718073</v>
      </c>
    </row>
    <row r="16" spans="1:20">
      <c r="A16" s="31" t="s">
        <v>140</v>
      </c>
      <c r="B16" s="38"/>
      <c r="C16" s="38">
        <f>+Inputs!C105</f>
        <v>5</v>
      </c>
      <c r="D16" s="45"/>
      <c r="E16" s="45">
        <f t="shared" si="3"/>
        <v>0</v>
      </c>
      <c r="F16" s="45">
        <f t="shared" si="3"/>
        <v>0</v>
      </c>
      <c r="G16" s="45">
        <f t="shared" si="3"/>
        <v>0</v>
      </c>
      <c r="H16" s="45">
        <f t="shared" si="3"/>
        <v>0</v>
      </c>
      <c r="I16" s="45">
        <f t="shared" si="3"/>
        <v>0</v>
      </c>
      <c r="J16" s="45">
        <f t="shared" si="3"/>
        <v>54.188246367667674</v>
      </c>
      <c r="K16" s="45">
        <f t="shared" si="3"/>
        <v>53.724711900125683</v>
      </c>
      <c r="L16" s="45">
        <f t="shared" si="3"/>
        <v>53.273378742592435</v>
      </c>
      <c r="M16" s="45">
        <f t="shared" si="3"/>
        <v>52.92520110199299</v>
      </c>
      <c r="N16" s="45">
        <f t="shared" si="3"/>
        <v>52.579299038281576</v>
      </c>
      <c r="O16" s="45">
        <f t="shared" si="3"/>
        <v>52.235657679020775</v>
      </c>
    </row>
    <row r="17" spans="1:15">
      <c r="A17" s="31" t="s">
        <v>141</v>
      </c>
      <c r="B17" s="38"/>
      <c r="C17" s="38">
        <f>+Inputs!C106</f>
        <v>35</v>
      </c>
      <c r="D17" s="45"/>
      <c r="E17" s="45">
        <f t="shared" si="3"/>
        <v>183.7833084240082</v>
      </c>
      <c r="F17" s="45">
        <f t="shared" si="3"/>
        <v>204.624538478988</v>
      </c>
      <c r="G17" s="45">
        <f t="shared" si="3"/>
        <v>233.09659808183568</v>
      </c>
      <c r="H17" s="45">
        <f t="shared" si="3"/>
        <v>199.72914758339383</v>
      </c>
      <c r="I17" s="45">
        <f t="shared" si="3"/>
        <v>174.26077664222859</v>
      </c>
      <c r="J17" s="45">
        <f t="shared" si="3"/>
        <v>0</v>
      </c>
      <c r="K17" s="45">
        <f t="shared" si="3"/>
        <v>0</v>
      </c>
      <c r="L17" s="45">
        <f t="shared" si="3"/>
        <v>0</v>
      </c>
      <c r="M17" s="45">
        <f t="shared" si="3"/>
        <v>0</v>
      </c>
      <c r="N17" s="45">
        <f t="shared" si="3"/>
        <v>0</v>
      </c>
      <c r="O17" s="45">
        <f t="shared" si="3"/>
        <v>0</v>
      </c>
    </row>
    <row r="18" spans="1:15">
      <c r="A18" s="31" t="s">
        <v>142</v>
      </c>
      <c r="B18" s="38"/>
      <c r="C18" s="38">
        <f>+Inputs!C107</f>
        <v>40</v>
      </c>
      <c r="D18" s="45"/>
      <c r="E18" s="45">
        <f t="shared" si="3"/>
        <v>82.317525271805849</v>
      </c>
      <c r="F18" s="45">
        <f t="shared" si="3"/>
        <v>78.337192258832786</v>
      </c>
      <c r="G18" s="45">
        <f t="shared" si="3"/>
        <v>0</v>
      </c>
      <c r="H18" s="45">
        <f t="shared" si="3"/>
        <v>0</v>
      </c>
      <c r="I18" s="45">
        <f t="shared" si="3"/>
        <v>0</v>
      </c>
      <c r="J18" s="45">
        <f t="shared" si="3"/>
        <v>0</v>
      </c>
      <c r="K18" s="45">
        <f t="shared" si="3"/>
        <v>0</v>
      </c>
      <c r="L18" s="45">
        <f t="shared" si="3"/>
        <v>0</v>
      </c>
      <c r="M18" s="45">
        <f t="shared" si="3"/>
        <v>0</v>
      </c>
      <c r="N18" s="45">
        <f t="shared" si="3"/>
        <v>0</v>
      </c>
      <c r="O18" s="45">
        <f t="shared" si="3"/>
        <v>0</v>
      </c>
    </row>
    <row r="19" spans="1:15">
      <c r="A19" s="29"/>
      <c r="C19" s="38"/>
      <c r="D19" s="46"/>
      <c r="E19" s="116">
        <f t="shared" ref="E19:O19" si="4">SUM(E14:E18)</f>
        <v>509.22800513315974</v>
      </c>
      <c r="F19" s="116">
        <f t="shared" si="4"/>
        <v>535.19776393860616</v>
      </c>
      <c r="G19" s="116">
        <f t="shared" si="4"/>
        <v>519.48570613428251</v>
      </c>
      <c r="H19" s="116">
        <f t="shared" si="4"/>
        <v>458.58963334384953</v>
      </c>
      <c r="I19" s="116">
        <f t="shared" si="4"/>
        <v>393.2608591286297</v>
      </c>
      <c r="J19" s="116">
        <f t="shared" si="4"/>
        <v>489.70218838819727</v>
      </c>
      <c r="K19" s="116">
        <f t="shared" si="4"/>
        <v>672.23272831883799</v>
      </c>
      <c r="L19" s="116">
        <f t="shared" si="4"/>
        <v>745.90443319843655</v>
      </c>
      <c r="M19" s="116">
        <f t="shared" si="4"/>
        <v>697.22341174914857</v>
      </c>
      <c r="N19" s="116">
        <f t="shared" si="4"/>
        <v>755.8731334199822</v>
      </c>
      <c r="O19" s="116">
        <f t="shared" si="4"/>
        <v>678.80004792802117</v>
      </c>
    </row>
    <row r="20" spans="1:15">
      <c r="A20" s="39"/>
      <c r="C20" s="38"/>
      <c r="D20" s="4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>
      <c r="A21" s="29" t="s">
        <v>148</v>
      </c>
      <c r="B21" s="38"/>
      <c r="C21" s="38">
        <f>+Inputs!C108</f>
        <v>34</v>
      </c>
      <c r="D21" s="45"/>
      <c r="E21" s="45">
        <f>+D30/C21</f>
        <v>13787.219534181942</v>
      </c>
      <c r="F21" s="45">
        <f>+E21</f>
        <v>13787.219534181942</v>
      </c>
      <c r="G21" s="45">
        <f t="shared" ref="G21:O21" si="5">+F21</f>
        <v>13787.219534181942</v>
      </c>
      <c r="H21" s="45">
        <f t="shared" si="5"/>
        <v>13787.219534181942</v>
      </c>
      <c r="I21" s="45">
        <f t="shared" si="5"/>
        <v>13787.219534181942</v>
      </c>
      <c r="J21" s="45">
        <f t="shared" si="5"/>
        <v>13787.219534181942</v>
      </c>
      <c r="K21" s="45">
        <f t="shared" si="5"/>
        <v>13787.219534181942</v>
      </c>
      <c r="L21" s="45">
        <f t="shared" si="5"/>
        <v>13787.219534181942</v>
      </c>
      <c r="M21" s="45">
        <f t="shared" si="5"/>
        <v>13787.219534181942</v>
      </c>
      <c r="N21" s="45">
        <f t="shared" si="5"/>
        <v>13787.219534181942</v>
      </c>
      <c r="O21" s="45">
        <f t="shared" si="5"/>
        <v>13787.219534181942</v>
      </c>
    </row>
    <row r="22" spans="1:15">
      <c r="A22" s="29" t="s">
        <v>149</v>
      </c>
      <c r="C22" s="25"/>
      <c r="D22" s="45"/>
      <c r="E22" s="97">
        <f>+'DAV Inputs'!E73</f>
        <v>0</v>
      </c>
      <c r="F22" s="97">
        <f>+'DAV Inputs'!F73</f>
        <v>0</v>
      </c>
      <c r="G22" s="97">
        <f>+'DAV Inputs'!G73</f>
        <v>18.375</v>
      </c>
      <c r="H22" s="97">
        <f>+'DAV Inputs'!H73</f>
        <v>46.655000000000001</v>
      </c>
      <c r="I22" s="97">
        <f>+'DAV Inputs'!I73</f>
        <v>64.745909090909095</v>
      </c>
      <c r="J22" s="97">
        <f>+'DAV Inputs'!J73</f>
        <v>64.745909090909095</v>
      </c>
      <c r="K22" s="97">
        <f>+'DAV Inputs'!K73</f>
        <v>64.745909090909095</v>
      </c>
      <c r="L22" s="97">
        <f>+'DAV Inputs'!L73</f>
        <v>73.268782634338663</v>
      </c>
      <c r="M22" s="97">
        <f>+'DAV Inputs'!M73</f>
        <v>73.268782634338663</v>
      </c>
      <c r="N22" s="97">
        <f>+'DAV Inputs'!N73</f>
        <v>88.406873025382836</v>
      </c>
      <c r="O22" s="97">
        <f>+'DAV Inputs'!O73</f>
        <v>88.406873025382836</v>
      </c>
    </row>
    <row r="23" spans="1:15">
      <c r="A23" s="31" t="s">
        <v>143</v>
      </c>
      <c r="B23" s="24"/>
      <c r="C23" s="24"/>
      <c r="D23" s="45"/>
      <c r="E23" s="97">
        <f>SUM($E$14:E$14)</f>
        <v>63.476183476658335</v>
      </c>
      <c r="F23" s="97">
        <f>SUM($E$14:F$14)</f>
        <v>129.04313326824283</v>
      </c>
      <c r="G23" s="97">
        <f>SUM($E$14:G$14)</f>
        <v>212.86105085646653</v>
      </c>
      <c r="H23" s="97">
        <f>SUM($E$14:H$14)</f>
        <v>297.87395991952832</v>
      </c>
      <c r="I23" s="97">
        <f>SUM($E$14:I$14)</f>
        <v>364.72658141002091</v>
      </c>
      <c r="J23" s="97">
        <f>SUM($E$14:J$14)</f>
        <v>557.98058513497165</v>
      </c>
      <c r="K23" s="97">
        <f>SUM($E$14:K$14)</f>
        <v>879.32333337942237</v>
      </c>
      <c r="L23" s="97">
        <f>SUM($E$14:L$14)</f>
        <v>1219.0916594345301</v>
      </c>
      <c r="M23" s="97">
        <f>SUM($E$14:M$14)</f>
        <v>1519.40798024283</v>
      </c>
      <c r="N23" s="97">
        <f>SUM($E$14:N$14)</f>
        <v>1804.9726855643719</v>
      </c>
      <c r="O23" s="97">
        <f>SUM($E$14:O$14)</f>
        <v>2038.5936983261915</v>
      </c>
    </row>
    <row r="24" spans="1:15">
      <c r="A24" s="31" t="s">
        <v>144</v>
      </c>
      <c r="B24" s="24"/>
      <c r="C24" s="24"/>
      <c r="D24" s="45"/>
      <c r="E24" s="97">
        <f>SUM($E$15:E$15)</f>
        <v>179.65098796068739</v>
      </c>
      <c r="F24" s="97">
        <f>SUM($E$15:F$15)</f>
        <v>366.32007136988824</v>
      </c>
      <c r="G24" s="97">
        <f>SUM($E$15:G$15)</f>
        <v>568.89126183411122</v>
      </c>
      <c r="H24" s="97">
        <f>SUM($E$15:H$15)</f>
        <v>742.73883853150517</v>
      </c>
      <c r="I24" s="97">
        <f>SUM($E$15:I$15)</f>
        <v>894.88629952741371</v>
      </c>
      <c r="J24" s="97">
        <f>SUM($E$15:J$15)</f>
        <v>1137.1462378229926</v>
      </c>
      <c r="K24" s="97">
        <f>SUM($E$15:K$15)</f>
        <v>1434.3115059972542</v>
      </c>
      <c r="L24" s="97">
        <f>SUM($E$15:L$15)</f>
        <v>1787.1742343979906</v>
      </c>
      <c r="M24" s="97">
        <f>SUM($E$15:M$15)</f>
        <v>2131.1561242368462</v>
      </c>
      <c r="N24" s="97">
        <f>SUM($E$15:N$15)</f>
        <v>2548.885253297005</v>
      </c>
      <c r="O24" s="97">
        <f>SUM($E$15:O$15)</f>
        <v>2941.8286307841859</v>
      </c>
    </row>
    <row r="25" spans="1:15">
      <c r="A25" s="31" t="s">
        <v>145</v>
      </c>
      <c r="B25" s="24"/>
      <c r="C25" s="24"/>
      <c r="D25" s="45"/>
      <c r="E25" s="97"/>
      <c r="F25" s="97"/>
      <c r="G25" s="97"/>
      <c r="H25" s="97"/>
      <c r="I25" s="97"/>
      <c r="J25" s="97">
        <f t="shared" ref="J25:O25" si="6">SUM(F16:J16)</f>
        <v>54.188246367667674</v>
      </c>
      <c r="K25" s="97">
        <f t="shared" si="6"/>
        <v>107.91295826779336</v>
      </c>
      <c r="L25" s="97">
        <f t="shared" si="6"/>
        <v>161.18633701038578</v>
      </c>
      <c r="M25" s="97">
        <f t="shared" si="6"/>
        <v>214.11153811237878</v>
      </c>
      <c r="N25" s="97">
        <f t="shared" si="6"/>
        <v>266.69083715066034</v>
      </c>
      <c r="O25" s="97">
        <f t="shared" si="6"/>
        <v>264.73824846201347</v>
      </c>
    </row>
    <row r="26" spans="1:15">
      <c r="A26" s="31" t="s">
        <v>146</v>
      </c>
      <c r="B26" s="24"/>
      <c r="C26" s="24"/>
      <c r="D26" s="45"/>
      <c r="E26" s="97">
        <f>SUM($E$17:E$17)</f>
        <v>183.7833084240082</v>
      </c>
      <c r="F26" s="97">
        <f>SUM($E$17:F$17)</f>
        <v>388.4078469029962</v>
      </c>
      <c r="G26" s="97">
        <f>SUM($E$17:G$17)</f>
        <v>621.50444498483193</v>
      </c>
      <c r="H26" s="97">
        <f>SUM($E$17:H$17)</f>
        <v>821.23359256822573</v>
      </c>
      <c r="I26" s="97">
        <f>SUM($E$17:I$17)</f>
        <v>995.49436921045435</v>
      </c>
      <c r="J26" s="97">
        <f>SUM($E$17:J$17)</f>
        <v>995.49436921045435</v>
      </c>
      <c r="K26" s="97">
        <f>SUM($E$17:K$17)</f>
        <v>995.49436921045435</v>
      </c>
      <c r="L26" s="97">
        <f>SUM($E$17:L$17)</f>
        <v>995.49436921045435</v>
      </c>
      <c r="M26" s="97">
        <f>SUM($E$17:M$17)</f>
        <v>995.49436921045435</v>
      </c>
      <c r="N26" s="97">
        <f>SUM($E$17:N$17)</f>
        <v>995.49436921045435</v>
      </c>
      <c r="O26" s="97">
        <f>SUM($E$17:O$17)</f>
        <v>995.49436921045435</v>
      </c>
    </row>
    <row r="27" spans="1:15">
      <c r="A27" s="31" t="s">
        <v>147</v>
      </c>
      <c r="B27" s="24"/>
      <c r="C27" s="24"/>
      <c r="D27" s="45"/>
      <c r="E27" s="97">
        <f>SUM($E$18:E$18)</f>
        <v>82.317525271805849</v>
      </c>
      <c r="F27" s="97">
        <f>SUM($E$18:F$18)</f>
        <v>160.65471753063864</v>
      </c>
      <c r="G27" s="97">
        <f>SUM($E$18:G$18)</f>
        <v>160.65471753063864</v>
      </c>
      <c r="H27" s="97">
        <f>SUM($E$18:H$18)</f>
        <v>160.65471753063864</v>
      </c>
      <c r="I27" s="97">
        <f>SUM($E$18:I$18)</f>
        <v>160.65471753063864</v>
      </c>
      <c r="J27" s="97">
        <f>SUM($E$18:J$18)</f>
        <v>160.65471753063864</v>
      </c>
      <c r="K27" s="97">
        <f>SUM($E$18:K$18)</f>
        <v>160.65471753063864</v>
      </c>
      <c r="L27" s="97">
        <f>SUM($E$18:L$18)</f>
        <v>160.65471753063864</v>
      </c>
      <c r="M27" s="97">
        <f>SUM($E$18:M$18)</f>
        <v>160.65471753063864</v>
      </c>
      <c r="N27" s="97">
        <f>SUM($E$18:N$18)</f>
        <v>160.65471753063864</v>
      </c>
      <c r="O27" s="97">
        <f>SUM($E$18:O$18)</f>
        <v>160.65471753063864</v>
      </c>
    </row>
    <row r="28" spans="1:15">
      <c r="A28" s="29"/>
      <c r="C28" s="24"/>
      <c r="D28" s="46"/>
      <c r="E28" s="116">
        <f>SUM(E21:E27)</f>
        <v>14296.447539315102</v>
      </c>
      <c r="F28" s="116">
        <f>SUM(F21:F27)</f>
        <v>14831.645303253707</v>
      </c>
      <c r="G28" s="116">
        <f t="shared" ref="G28:O28" si="7">SUM(G21:G27)</f>
        <v>15369.506009387991</v>
      </c>
      <c r="H28" s="116">
        <f t="shared" si="7"/>
        <v>15856.37564273184</v>
      </c>
      <c r="I28" s="116">
        <f t="shared" si="7"/>
        <v>16267.72741095138</v>
      </c>
      <c r="J28" s="116">
        <f t="shared" si="7"/>
        <v>16757.429599339575</v>
      </c>
      <c r="K28" s="116">
        <f t="shared" si="7"/>
        <v>17429.662327658414</v>
      </c>
      <c r="L28" s="116">
        <f t="shared" si="7"/>
        <v>18184.089634400279</v>
      </c>
      <c r="M28" s="116">
        <f t="shared" si="7"/>
        <v>18881.313046149426</v>
      </c>
      <c r="N28" s="116">
        <f t="shared" si="7"/>
        <v>19652.324269960453</v>
      </c>
      <c r="O28" s="116">
        <f t="shared" si="7"/>
        <v>20276.936071520806</v>
      </c>
    </row>
    <row r="29" spans="1:15">
      <c r="A29" s="39"/>
      <c r="C29" s="2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>
      <c r="A30" s="29" t="s">
        <v>9</v>
      </c>
      <c r="C30" s="23"/>
      <c r="D30" s="119">
        <f>+Inputs!D39/Inputs!E27*Inputs!M27</f>
        <v>468765.46416218602</v>
      </c>
      <c r="E30" s="119">
        <f t="shared" ref="E30:O30" si="8">+E5+E12-E28</f>
        <v>469427.94558706007</v>
      </c>
      <c r="F30" s="119">
        <f t="shared" si="8"/>
        <v>470314.36106372561</v>
      </c>
      <c r="G30" s="119">
        <f t="shared" si="8"/>
        <v>469935.52054769412</v>
      </c>
      <c r="H30" s="119">
        <f>+H5+H12-H28</f>
        <v>467784.89508336445</v>
      </c>
      <c r="I30" s="119">
        <f t="shared" si="8"/>
        <v>462970.61162944941</v>
      </c>
      <c r="J30" s="119">
        <f t="shared" si="8"/>
        <v>457848.18248537992</v>
      </c>
      <c r="K30" s="119">
        <f t="shared" si="8"/>
        <v>457998.33266961412</v>
      </c>
      <c r="L30" s="119">
        <f t="shared" si="8"/>
        <v>459092.12700029358</v>
      </c>
      <c r="M30" s="119">
        <f t="shared" si="8"/>
        <v>457647.82113956893</v>
      </c>
      <c r="N30" s="119">
        <f t="shared" si="8"/>
        <v>456279.95650216693</v>
      </c>
      <c r="O30" s="119">
        <f t="shared" si="8"/>
        <v>451503.18989182176</v>
      </c>
    </row>
    <row r="31" spans="1:15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>
      <c r="B32" s="24"/>
    </row>
    <row r="47" spans="1:1">
      <c r="A47" s="26"/>
    </row>
  </sheetData>
  <pageMargins left="0.74803149606299213" right="0.74803149606299213" top="0.98425196850393704" bottom="0.98425196850393704" header="0.51181102362204722" footer="0.51181102362204722"/>
  <pageSetup paperSize="8" scale="77" fitToWidth="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65"/>
  <sheetViews>
    <sheetView workbookViewId="0">
      <pane xSplit="3" ySplit="1" topLeftCell="R2" activePane="bottomRight" state="frozen"/>
      <selection pane="topRight" activeCell="D1" sqref="D1"/>
      <selection pane="bottomLeft" activeCell="A2" sqref="A2"/>
      <selection pane="bottomRight" activeCell="U63" sqref="U63"/>
    </sheetView>
  </sheetViews>
  <sheetFormatPr defaultColWidth="9.36328125" defaultRowHeight="13"/>
  <cols>
    <col min="1" max="1" width="34" style="37" bestFit="1" customWidth="1"/>
    <col min="2" max="2" width="2.6328125" style="35" bestFit="1" customWidth="1"/>
    <col min="3" max="3" width="2.36328125" style="35" bestFit="1" customWidth="1"/>
    <col min="4" max="39" width="6.08984375" style="43" bestFit="1" customWidth="1"/>
    <col min="40" max="16384" width="9.36328125" style="37"/>
  </cols>
  <sheetData>
    <row r="1" spans="1:44" s="30" customFormat="1">
      <c r="A1" s="65" t="s">
        <v>60</v>
      </c>
      <c r="B1" s="40"/>
      <c r="C1" s="41"/>
      <c r="D1" s="112">
        <f>+Inputs!D1</f>
        <v>2011</v>
      </c>
      <c r="E1" s="112">
        <f>+Inputs!E1</f>
        <v>2012</v>
      </c>
      <c r="F1" s="112">
        <f>+Inputs!F1</f>
        <v>2013</v>
      </c>
      <c r="G1" s="112">
        <f>+Inputs!G1</f>
        <v>2014</v>
      </c>
      <c r="H1" s="112">
        <f>+Inputs!H1</f>
        <v>2015</v>
      </c>
      <c r="I1" s="112">
        <f>+Inputs!I1</f>
        <v>2016</v>
      </c>
      <c r="J1" s="112">
        <f>+Inputs!J1</f>
        <v>2017</v>
      </c>
      <c r="K1" s="112">
        <f>+Inputs!K1</f>
        <v>2018</v>
      </c>
      <c r="L1" s="112">
        <f>+Inputs!L1</f>
        <v>2019</v>
      </c>
      <c r="M1" s="112">
        <f>+Inputs!M1</f>
        <v>2020</v>
      </c>
      <c r="N1" s="112">
        <f>+Inputs!N1</f>
        <v>2021</v>
      </c>
      <c r="O1" s="112">
        <f>+Inputs!O1</f>
        <v>2022</v>
      </c>
      <c r="P1" s="112">
        <f>+Inputs!P1</f>
        <v>2023</v>
      </c>
      <c r="Q1" s="112">
        <f>+Inputs!Q1</f>
        <v>2024</v>
      </c>
      <c r="R1" s="112">
        <f>+Inputs!R1</f>
        <v>2025</v>
      </c>
      <c r="S1" s="112">
        <f>+Inputs!S1</f>
        <v>2026</v>
      </c>
      <c r="T1" s="112">
        <f>+Inputs!T1</f>
        <v>2027</v>
      </c>
      <c r="U1" s="112">
        <f>+Inputs!U1</f>
        <v>2028</v>
      </c>
      <c r="V1" s="112">
        <f>+Inputs!V1</f>
        <v>2029</v>
      </c>
      <c r="W1" s="112">
        <f>+Inputs!W1</f>
        <v>2030</v>
      </c>
      <c r="X1" s="112">
        <f>+Inputs!X1</f>
        <v>2031</v>
      </c>
      <c r="Y1" s="112">
        <f>+Inputs!Y1</f>
        <v>2032</v>
      </c>
      <c r="Z1" s="112">
        <f>+Inputs!Z1</f>
        <v>2033</v>
      </c>
      <c r="AA1" s="112">
        <f>+Inputs!AA1</f>
        <v>2034</v>
      </c>
      <c r="AB1" s="112">
        <f>+Inputs!AB1</f>
        <v>2035</v>
      </c>
      <c r="AC1" s="112">
        <f>+Inputs!AC1</f>
        <v>2036</v>
      </c>
      <c r="AD1" s="112">
        <f>+Inputs!AD1</f>
        <v>2037</v>
      </c>
      <c r="AE1" s="112">
        <f>+Inputs!AE1</f>
        <v>2038</v>
      </c>
      <c r="AF1" s="112">
        <f>+Inputs!AF1</f>
        <v>2039</v>
      </c>
      <c r="AG1" s="112">
        <f>+Inputs!AG1</f>
        <v>2040</v>
      </c>
      <c r="AH1" s="112">
        <f>+Inputs!AH1</f>
        <v>2041</v>
      </c>
      <c r="AI1" s="112">
        <f>+Inputs!AI1</f>
        <v>2042</v>
      </c>
      <c r="AJ1" s="112">
        <f>+Inputs!AJ1</f>
        <v>2043</v>
      </c>
      <c r="AK1" s="112">
        <f>+Inputs!AK1</f>
        <v>2044</v>
      </c>
      <c r="AL1" s="112">
        <f>+Inputs!AL1</f>
        <v>2045</v>
      </c>
      <c r="AM1" s="112">
        <f>+Inputs!AM1</f>
        <v>2046</v>
      </c>
      <c r="AN1" s="42"/>
      <c r="AO1" s="42"/>
      <c r="AP1" s="42"/>
      <c r="AQ1" s="42"/>
      <c r="AR1" s="42"/>
    </row>
    <row r="2" spans="1:44" s="30" customFormat="1">
      <c r="A2" s="65"/>
      <c r="B2" s="40"/>
      <c r="C2" s="4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42"/>
      <c r="AO2" s="42"/>
      <c r="AP2" s="42"/>
      <c r="AQ2" s="42"/>
      <c r="AR2" s="42"/>
    </row>
    <row r="3" spans="1:44" s="30" customFormat="1">
      <c r="A3" s="109" t="s">
        <v>248</v>
      </c>
      <c r="B3" s="40"/>
      <c r="C3" s="4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42"/>
      <c r="AO3" s="42"/>
      <c r="AP3" s="42"/>
      <c r="AQ3" s="42"/>
      <c r="AR3" s="42"/>
    </row>
    <row r="4" spans="1:44">
      <c r="A4" s="39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44">
      <c r="A5" s="29" t="s">
        <v>64</v>
      </c>
      <c r="C5" s="23"/>
      <c r="D5" s="45"/>
      <c r="E5" s="45">
        <f t="shared" ref="E5:O5" si="0">+D32</f>
        <v>468765.46416218602</v>
      </c>
      <c r="F5" s="45">
        <f t="shared" si="0"/>
        <v>469427.94558706007</v>
      </c>
      <c r="G5" s="45">
        <f t="shared" si="0"/>
        <v>470314.36106372561</v>
      </c>
      <c r="H5" s="45">
        <f t="shared" si="0"/>
        <v>469935.52054769412</v>
      </c>
      <c r="I5" s="45">
        <f t="shared" si="0"/>
        <v>466838.46277021995</v>
      </c>
      <c r="J5" s="45">
        <f t="shared" si="0"/>
        <v>462030.8847628723</v>
      </c>
      <c r="K5" s="45">
        <f t="shared" si="0"/>
        <v>456450.39590539754</v>
      </c>
      <c r="L5" s="45">
        <f t="shared" si="0"/>
        <v>455831.48476164381</v>
      </c>
      <c r="M5" s="45">
        <f t="shared" si="0"/>
        <v>456640.00654724741</v>
      </c>
      <c r="N5" s="45">
        <f t="shared" si="0"/>
        <v>455309.6131385272</v>
      </c>
      <c r="O5" s="45">
        <f t="shared" si="0"/>
        <v>454210.3837163719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44">
      <c r="A6" s="29" t="s">
        <v>63</v>
      </c>
      <c r="C6" s="24"/>
      <c r="D6" s="46"/>
      <c r="E6" s="47">
        <f>+'DAV Inputs'!E54</f>
        <v>0</v>
      </c>
      <c r="F6" s="47">
        <f>+'DAV Inputs'!F54</f>
        <v>0</v>
      </c>
      <c r="G6" s="47">
        <f>+'DAV Inputs'!G54</f>
        <v>441</v>
      </c>
      <c r="H6" s="47">
        <f>+'DAV Inputs'!H54</f>
        <v>707</v>
      </c>
      <c r="I6" s="47">
        <f>+'DAV Inputs'!I54</f>
        <v>398</v>
      </c>
      <c r="J6" s="47">
        <f>+'DAV Inputs'!J54</f>
        <v>0</v>
      </c>
      <c r="K6" s="47">
        <f>+'DAV Inputs'!K54</f>
        <v>0</v>
      </c>
      <c r="L6" s="47">
        <f>+'DAV Inputs'!L54</f>
        <v>127.84310315144344</v>
      </c>
      <c r="M6" s="47">
        <f>+'DAV Inputs'!M54</f>
        <v>0</v>
      </c>
      <c r="N6" s="47">
        <f>+'DAV Inputs'!N54</f>
        <v>333.03798860297189</v>
      </c>
      <c r="O6" s="47">
        <f>+'DAV Inputs'!O54</f>
        <v>0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44">
      <c r="A7" s="29" t="s">
        <v>23</v>
      </c>
      <c r="C7" s="24"/>
      <c r="D7" s="46"/>
      <c r="E7" s="116">
        <f t="shared" ref="E7:O7" si="1">+E5+E6</f>
        <v>468765.46416218602</v>
      </c>
      <c r="F7" s="116">
        <f t="shared" si="1"/>
        <v>469427.94558706007</v>
      </c>
      <c r="G7" s="116">
        <f t="shared" si="1"/>
        <v>470755.36106372561</v>
      </c>
      <c r="H7" s="116">
        <f t="shared" si="1"/>
        <v>470642.52054769412</v>
      </c>
      <c r="I7" s="116">
        <f t="shared" si="1"/>
        <v>467236.46277021995</v>
      </c>
      <c r="J7" s="116">
        <f t="shared" si="1"/>
        <v>462030.8847628723</v>
      </c>
      <c r="K7" s="116">
        <f t="shared" si="1"/>
        <v>456450.39590539754</v>
      </c>
      <c r="L7" s="116">
        <f t="shared" si="1"/>
        <v>455959.32786479522</v>
      </c>
      <c r="M7" s="116">
        <f t="shared" si="1"/>
        <v>456640.00654724741</v>
      </c>
      <c r="N7" s="116">
        <f t="shared" si="1"/>
        <v>455642.6511271302</v>
      </c>
      <c r="O7" s="116">
        <f t="shared" si="1"/>
        <v>454210.3837163719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8" spans="1:44">
      <c r="A8" s="39"/>
      <c r="C8" s="24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</row>
    <row r="9" spans="1:44">
      <c r="A9" s="31" t="s">
        <v>133</v>
      </c>
      <c r="B9" s="38"/>
      <c r="E9" s="45">
        <f>+'DAV Inputs'!E39</f>
        <v>2539.0473390663333</v>
      </c>
      <c r="F9" s="45">
        <f>+'DAV Inputs'!F39</f>
        <v>2622.6779916633795</v>
      </c>
      <c r="G9" s="45">
        <f>+'DAV Inputs'!G39</f>
        <v>3352.7167035289485</v>
      </c>
      <c r="H9" s="45">
        <f>+'DAV Inputs'!H39</f>
        <v>2135.9057457565186</v>
      </c>
      <c r="I9" s="45">
        <f>+'DAV Inputs'!I39</f>
        <v>2674.1048596197038</v>
      </c>
      <c r="J9" s="45">
        <f>+'DAV Inputs'!J39</f>
        <v>8243.9800790171594</v>
      </c>
      <c r="K9" s="45">
        <f>+'DAV Inputs'!K39</f>
        <v>12949.774405433629</v>
      </c>
      <c r="L9" s="45">
        <f>+'DAV Inputs'!L39</f>
        <v>14101.90452037567</v>
      </c>
      <c r="M9" s="45">
        <f>+'DAV Inputs'!M39</f>
        <v>12858.75366562329</v>
      </c>
      <c r="N9" s="45">
        <f>+'DAV Inputs'!N39</f>
        <v>11422.588212861672</v>
      </c>
      <c r="O9" s="45">
        <f>+'DAV Inputs'!O39</f>
        <v>9344.8405104727899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</row>
    <row r="10" spans="1:44">
      <c r="A10" s="31" t="s">
        <v>134</v>
      </c>
      <c r="B10" s="38"/>
      <c r="E10" s="45">
        <f>+'DAV Inputs'!E40</f>
        <v>2694.7648194103108</v>
      </c>
      <c r="F10" s="45">
        <f>+'DAV Inputs'!F40</f>
        <v>2800.0362511380126</v>
      </c>
      <c r="G10" s="45">
        <f>+'DAV Inputs'!G40</f>
        <v>3038.5678569633455</v>
      </c>
      <c r="H10" s="45">
        <f>+'DAV Inputs'!H40</f>
        <v>3038.0472387090676</v>
      </c>
      <c r="I10" s="45">
        <f>+'DAV Inputs'!I40</f>
        <v>2282.2119149386276</v>
      </c>
      <c r="J10" s="45">
        <f>+'DAV Inputs'!J40</f>
        <v>2713.7743653814778</v>
      </c>
      <c r="K10" s="45">
        <f>+'DAV Inputs'!K40</f>
        <v>3466.5344888829263</v>
      </c>
      <c r="L10" s="45">
        <f>+'DAV Inputs'!L40</f>
        <v>4324.0918878429984</v>
      </c>
      <c r="M10" s="45">
        <f>+'DAV Inputs'!M40</f>
        <v>4258.0487565592339</v>
      </c>
      <c r="N10" s="45">
        <f>+'DAV Inputs'!N40</f>
        <v>6265.9369359023831</v>
      </c>
      <c r="O10" s="45">
        <f>+'DAV Inputs'!O40</f>
        <v>5894.1506623077112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44">
      <c r="A11" s="31" t="s">
        <v>135</v>
      </c>
      <c r="B11" s="38"/>
      <c r="E11" s="45">
        <f>+'DAV Inputs'!E41</f>
        <v>0</v>
      </c>
      <c r="F11" s="45">
        <f>+'DAV Inputs'!F41</f>
        <v>0</v>
      </c>
      <c r="G11" s="45">
        <f>+'DAV Inputs'!G41</f>
        <v>0</v>
      </c>
      <c r="H11" s="45">
        <f>+'DAV Inputs'!H41</f>
        <v>0</v>
      </c>
      <c r="I11" s="45">
        <f>+'DAV Inputs'!I41</f>
        <v>0</v>
      </c>
      <c r="J11" s="45">
        <f>+'DAV Inputs'!J41</f>
        <v>137.24556938931298</v>
      </c>
      <c r="K11" s="45">
        <f>+'DAV Inputs'!K41</f>
        <v>243.89436573389654</v>
      </c>
      <c r="L11" s="45">
        <f>+'DAV Inputs'!L41</f>
        <v>228.9249463917526</v>
      </c>
      <c r="M11" s="45">
        <f>+'DAV Inputs'!M41</f>
        <v>165.482</v>
      </c>
      <c r="N11" s="45">
        <f>+'DAV Inputs'!N41</f>
        <v>262.89649519140789</v>
      </c>
      <c r="O11" s="45">
        <f>+'DAV Inputs'!O41</f>
        <v>261.17828839510389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</row>
    <row r="12" spans="1:44">
      <c r="A12" s="31" t="s">
        <v>136</v>
      </c>
      <c r="B12" s="38"/>
      <c r="E12" s="45">
        <f>+'DAV Inputs'!E42</f>
        <v>6432.4157948402872</v>
      </c>
      <c r="F12" s="45">
        <f>+'DAV Inputs'!F42</f>
        <v>7161.8588467645804</v>
      </c>
      <c r="G12" s="45">
        <f>+'DAV Inputs'!G42</f>
        <v>8158.3809328642492</v>
      </c>
      <c r="H12" s="45">
        <f>+'DAV Inputs'!H42</f>
        <v>6764.4009149642161</v>
      </c>
      <c r="I12" s="45">
        <f>+'DAV Inputs'!I42</f>
        <v>6099.1271824780006</v>
      </c>
      <c r="J12" s="45">
        <f>+'DAV Inputs'!J42</f>
        <v>0</v>
      </c>
      <c r="K12" s="45">
        <f>+'DAV Inputs'!K42</f>
        <v>0</v>
      </c>
      <c r="L12" s="45">
        <f>+'DAV Inputs'!L42</f>
        <v>0</v>
      </c>
      <c r="M12" s="45">
        <f>+'DAV Inputs'!M42</f>
        <v>0</v>
      </c>
      <c r="N12" s="45">
        <f>+'DAV Inputs'!N42</f>
        <v>0</v>
      </c>
      <c r="O12" s="45">
        <f>+'DAV Inputs'!O42</f>
        <v>0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</row>
    <row r="13" spans="1:44">
      <c r="A13" s="31" t="s">
        <v>137</v>
      </c>
      <c r="B13" s="38"/>
      <c r="E13" s="45">
        <f>+'DAV Inputs'!E43</f>
        <v>3292.7010108722338</v>
      </c>
      <c r="F13" s="45">
        <f>+'DAV Inputs'!F43</f>
        <v>3133.4876903533113</v>
      </c>
      <c r="G13" s="45">
        <f>+'DAV Inputs'!G43</f>
        <v>0</v>
      </c>
      <c r="H13" s="45">
        <f>+'DAV Inputs'!H43</f>
        <v>107.25851926040062</v>
      </c>
      <c r="I13" s="45">
        <f>+'DAV Inputs'!I43</f>
        <v>0</v>
      </c>
      <c r="J13" s="45">
        <f>+'DAV Inputs'!J43</f>
        <v>0</v>
      </c>
      <c r="K13" s="45">
        <f>+'DAV Inputs'!K43</f>
        <v>0</v>
      </c>
      <c r="L13" s="45">
        <f>+'DAV Inputs'!L43</f>
        <v>0</v>
      </c>
      <c r="M13" s="45">
        <f>+'DAV Inputs'!M43</f>
        <v>0</v>
      </c>
      <c r="N13" s="45">
        <f>+'DAV Inputs'!N43</f>
        <v>0</v>
      </c>
      <c r="O13" s="45">
        <f>+'DAV Inputs'!O43</f>
        <v>0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</row>
    <row r="14" spans="1:44">
      <c r="A14" s="29"/>
      <c r="C14" s="24"/>
      <c r="D14" s="46"/>
      <c r="E14" s="116">
        <f t="shared" ref="E14:O14" si="2">SUM(E9:E13)</f>
        <v>14958.928964189165</v>
      </c>
      <c r="F14" s="116">
        <f t="shared" si="2"/>
        <v>15718.060779919284</v>
      </c>
      <c r="G14" s="116">
        <f t="shared" si="2"/>
        <v>14549.665493356544</v>
      </c>
      <c r="H14" s="116">
        <f t="shared" si="2"/>
        <v>12045.612418690203</v>
      </c>
      <c r="I14" s="116">
        <f t="shared" si="2"/>
        <v>11055.443957036332</v>
      </c>
      <c r="J14" s="116">
        <f t="shared" si="2"/>
        <v>11095.000013787951</v>
      </c>
      <c r="K14" s="116">
        <f t="shared" si="2"/>
        <v>16660.203260050454</v>
      </c>
      <c r="L14" s="116">
        <f t="shared" si="2"/>
        <v>18654.921354610422</v>
      </c>
      <c r="M14" s="116">
        <f t="shared" si="2"/>
        <v>17282.284422182525</v>
      </c>
      <c r="N14" s="116">
        <f t="shared" si="2"/>
        <v>17951.421643955466</v>
      </c>
      <c r="O14" s="116">
        <f t="shared" si="2"/>
        <v>15500.169461175605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</row>
    <row r="15" spans="1:44">
      <c r="A15" s="31"/>
      <c r="B15" s="38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</row>
    <row r="16" spans="1:44">
      <c r="A16" s="31" t="s">
        <v>138</v>
      </c>
      <c r="B16" s="38"/>
      <c r="C16" s="38">
        <f>+Inputs!C103</f>
        <v>40</v>
      </c>
      <c r="D16" s="45"/>
      <c r="E16" s="45">
        <f t="shared" ref="E16:O16" si="3">E9/$C16</f>
        <v>63.476183476658335</v>
      </c>
      <c r="F16" s="45">
        <f t="shared" si="3"/>
        <v>65.566949791584491</v>
      </c>
      <c r="G16" s="45">
        <f t="shared" si="3"/>
        <v>83.817917588223708</v>
      </c>
      <c r="H16" s="45">
        <f t="shared" si="3"/>
        <v>53.397643643912964</v>
      </c>
      <c r="I16" s="45">
        <f t="shared" si="3"/>
        <v>66.852621490492595</v>
      </c>
      <c r="J16" s="45">
        <f t="shared" si="3"/>
        <v>206.09950197542898</v>
      </c>
      <c r="K16" s="45">
        <f t="shared" si="3"/>
        <v>323.74436013584074</v>
      </c>
      <c r="L16" s="45">
        <f t="shared" si="3"/>
        <v>352.54761300939174</v>
      </c>
      <c r="M16" s="45">
        <f t="shared" si="3"/>
        <v>321.46884164058224</v>
      </c>
      <c r="N16" s="45">
        <f t="shared" si="3"/>
        <v>285.56470532154179</v>
      </c>
      <c r="O16" s="45">
        <f t="shared" si="3"/>
        <v>233.62101276181974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</row>
    <row r="17" spans="1:39">
      <c r="A17" s="31" t="s">
        <v>139</v>
      </c>
      <c r="B17" s="38"/>
      <c r="C17" s="38">
        <f>+Inputs!C104</f>
        <v>15</v>
      </c>
      <c r="D17" s="45"/>
      <c r="E17" s="45">
        <f t="shared" ref="E17:O17" si="4">E10/$C17</f>
        <v>179.65098796068739</v>
      </c>
      <c r="F17" s="45">
        <f t="shared" si="4"/>
        <v>186.66908340920085</v>
      </c>
      <c r="G17" s="45">
        <f t="shared" si="4"/>
        <v>202.57119046422304</v>
      </c>
      <c r="H17" s="45">
        <f t="shared" si="4"/>
        <v>202.53648258060451</v>
      </c>
      <c r="I17" s="45">
        <f t="shared" si="4"/>
        <v>152.14746099590852</v>
      </c>
      <c r="J17" s="45">
        <f t="shared" si="4"/>
        <v>180.91829102543184</v>
      </c>
      <c r="K17" s="45">
        <f t="shared" si="4"/>
        <v>231.10229925886176</v>
      </c>
      <c r="L17" s="45">
        <f t="shared" si="4"/>
        <v>288.27279252286655</v>
      </c>
      <c r="M17" s="45">
        <f t="shared" si="4"/>
        <v>283.86991710394892</v>
      </c>
      <c r="N17" s="45">
        <f t="shared" si="4"/>
        <v>417.72912906015887</v>
      </c>
      <c r="O17" s="45">
        <f t="shared" si="4"/>
        <v>392.94337748718073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</row>
    <row r="18" spans="1:39">
      <c r="A18" s="31" t="s">
        <v>140</v>
      </c>
      <c r="B18" s="38"/>
      <c r="C18" s="38">
        <f>+Inputs!C105</f>
        <v>5</v>
      </c>
      <c r="D18" s="45"/>
      <c r="E18" s="45">
        <f t="shared" ref="E18:O18" si="5">E11/$C18</f>
        <v>0</v>
      </c>
      <c r="F18" s="45">
        <f t="shared" si="5"/>
        <v>0</v>
      </c>
      <c r="G18" s="45">
        <f t="shared" si="5"/>
        <v>0</v>
      </c>
      <c r="H18" s="45">
        <f t="shared" si="5"/>
        <v>0</v>
      </c>
      <c r="I18" s="45">
        <f t="shared" si="5"/>
        <v>0</v>
      </c>
      <c r="J18" s="45">
        <f t="shared" si="5"/>
        <v>27.449113877862594</v>
      </c>
      <c r="K18" s="45">
        <f t="shared" si="5"/>
        <v>48.778873146779304</v>
      </c>
      <c r="L18" s="45">
        <f t="shared" si="5"/>
        <v>45.784989278350523</v>
      </c>
      <c r="M18" s="45">
        <f t="shared" si="5"/>
        <v>33.096400000000003</v>
      </c>
      <c r="N18" s="45">
        <f t="shared" si="5"/>
        <v>52.579299038281576</v>
      </c>
      <c r="O18" s="45">
        <f t="shared" si="5"/>
        <v>52.235657679020775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>
      <c r="A19" s="31" t="s">
        <v>141</v>
      </c>
      <c r="B19" s="38"/>
      <c r="C19" s="38">
        <f>+Inputs!C106</f>
        <v>35</v>
      </c>
      <c r="D19" s="45"/>
      <c r="E19" s="45">
        <f t="shared" ref="E19:O19" si="6">E12/$C19</f>
        <v>183.7833084240082</v>
      </c>
      <c r="F19" s="45">
        <f t="shared" si="6"/>
        <v>204.624538478988</v>
      </c>
      <c r="G19" s="45">
        <f t="shared" si="6"/>
        <v>233.09659808183568</v>
      </c>
      <c r="H19" s="45">
        <f t="shared" si="6"/>
        <v>193.26859757040617</v>
      </c>
      <c r="I19" s="45">
        <f t="shared" si="6"/>
        <v>174.26077664222859</v>
      </c>
      <c r="J19" s="45">
        <f t="shared" si="6"/>
        <v>0</v>
      </c>
      <c r="K19" s="45">
        <f t="shared" si="6"/>
        <v>0</v>
      </c>
      <c r="L19" s="45">
        <f t="shared" si="6"/>
        <v>0</v>
      </c>
      <c r="M19" s="45">
        <f t="shared" si="6"/>
        <v>0</v>
      </c>
      <c r="N19" s="45">
        <f t="shared" si="6"/>
        <v>0</v>
      </c>
      <c r="O19" s="45">
        <f t="shared" si="6"/>
        <v>0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</row>
    <row r="20" spans="1:39">
      <c r="A20" s="31" t="s">
        <v>142</v>
      </c>
      <c r="B20" s="38"/>
      <c r="C20" s="38">
        <f>+Inputs!C107</f>
        <v>40</v>
      </c>
      <c r="D20" s="45"/>
      <c r="E20" s="45">
        <f t="shared" ref="E20:O20" si="7">E13/$C20</f>
        <v>82.317525271805849</v>
      </c>
      <c r="F20" s="45">
        <f t="shared" si="7"/>
        <v>78.337192258832786</v>
      </c>
      <c r="G20" s="45">
        <f t="shared" si="7"/>
        <v>0</v>
      </c>
      <c r="H20" s="45">
        <f t="shared" si="7"/>
        <v>2.6814629815100153</v>
      </c>
      <c r="I20" s="45">
        <f t="shared" si="7"/>
        <v>0</v>
      </c>
      <c r="J20" s="45">
        <f t="shared" si="7"/>
        <v>0</v>
      </c>
      <c r="K20" s="45">
        <f t="shared" si="7"/>
        <v>0</v>
      </c>
      <c r="L20" s="45">
        <f t="shared" si="7"/>
        <v>0</v>
      </c>
      <c r="M20" s="45">
        <f t="shared" si="7"/>
        <v>0</v>
      </c>
      <c r="N20" s="45">
        <f t="shared" si="7"/>
        <v>0</v>
      </c>
      <c r="O20" s="45">
        <f t="shared" si="7"/>
        <v>0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1:39">
      <c r="A21" s="29"/>
      <c r="C21" s="38"/>
      <c r="D21" s="46"/>
      <c r="E21" s="116">
        <f t="shared" ref="E21:O21" si="8">SUM(E16:E20)</f>
        <v>509.22800513315974</v>
      </c>
      <c r="F21" s="116">
        <f t="shared" si="8"/>
        <v>535.19776393860616</v>
      </c>
      <c r="G21" s="116">
        <f t="shared" si="8"/>
        <v>519.48570613428251</v>
      </c>
      <c r="H21" s="116">
        <f t="shared" si="8"/>
        <v>451.88418677643369</v>
      </c>
      <c r="I21" s="116">
        <f t="shared" si="8"/>
        <v>393.2608591286297</v>
      </c>
      <c r="J21" s="116">
        <f t="shared" si="8"/>
        <v>414.46690687872342</v>
      </c>
      <c r="K21" s="116">
        <f t="shared" si="8"/>
        <v>603.6255325414819</v>
      </c>
      <c r="L21" s="116">
        <f t="shared" si="8"/>
        <v>686.6053948106088</v>
      </c>
      <c r="M21" s="116">
        <f t="shared" si="8"/>
        <v>638.43515874453112</v>
      </c>
      <c r="N21" s="116">
        <f t="shared" si="8"/>
        <v>755.8731334199822</v>
      </c>
      <c r="O21" s="116">
        <f t="shared" si="8"/>
        <v>678.80004792802117</v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</row>
    <row r="22" spans="1:39">
      <c r="A22" s="39"/>
      <c r="C22" s="38"/>
      <c r="D22" s="4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39">
      <c r="A23" s="29" t="s">
        <v>148</v>
      </c>
      <c r="B23" s="38"/>
      <c r="C23" s="38">
        <f>+Inputs!C108</f>
        <v>34</v>
      </c>
      <c r="D23" s="45"/>
      <c r="E23" s="45">
        <f>+D32/C23</f>
        <v>13787.219534181942</v>
      </c>
      <c r="F23" s="45">
        <f t="shared" ref="F23:O23" si="9">+E23</f>
        <v>13787.219534181942</v>
      </c>
      <c r="G23" s="45">
        <f t="shared" si="9"/>
        <v>13787.219534181942</v>
      </c>
      <c r="H23" s="45">
        <f t="shared" si="9"/>
        <v>13787.219534181942</v>
      </c>
      <c r="I23" s="45">
        <f t="shared" si="9"/>
        <v>13787.219534181942</v>
      </c>
      <c r="J23" s="45">
        <f t="shared" si="9"/>
        <v>13787.219534181942</v>
      </c>
      <c r="K23" s="45">
        <f t="shared" si="9"/>
        <v>13787.219534181942</v>
      </c>
      <c r="L23" s="45">
        <f t="shared" si="9"/>
        <v>13787.219534181942</v>
      </c>
      <c r="M23" s="45">
        <f t="shared" si="9"/>
        <v>13787.219534181942</v>
      </c>
      <c r="N23" s="45">
        <f t="shared" si="9"/>
        <v>13787.219534181942</v>
      </c>
      <c r="O23" s="45">
        <f t="shared" si="9"/>
        <v>13787.219534181942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39">
      <c r="A24" s="29" t="s">
        <v>149</v>
      </c>
      <c r="C24" s="25"/>
      <c r="D24" s="45"/>
      <c r="E24" s="97">
        <f>+'DAV Inputs'!E73</f>
        <v>0</v>
      </c>
      <c r="F24" s="97">
        <f>+'DAV Inputs'!F73</f>
        <v>0</v>
      </c>
      <c r="G24" s="97">
        <f>+'DAV Inputs'!G73</f>
        <v>18.375</v>
      </c>
      <c r="H24" s="97">
        <f>+'DAV Inputs'!H73</f>
        <v>46.655000000000001</v>
      </c>
      <c r="I24" s="97">
        <f>+'DAV Inputs'!I73</f>
        <v>64.745909090909095</v>
      </c>
      <c r="J24" s="97">
        <f>+'DAV Inputs'!J73</f>
        <v>64.745909090909095</v>
      </c>
      <c r="K24" s="97">
        <f>+'DAV Inputs'!K73</f>
        <v>64.745909090909095</v>
      </c>
      <c r="L24" s="97">
        <f>+'DAV Inputs'!L73</f>
        <v>73.268782634338663</v>
      </c>
      <c r="M24" s="97">
        <f>+'DAV Inputs'!M73</f>
        <v>73.268782634338663</v>
      </c>
      <c r="N24" s="97">
        <f>+'DAV Inputs'!N73</f>
        <v>88.406873025382836</v>
      </c>
      <c r="O24" s="97">
        <f>+'DAV Inputs'!O73</f>
        <v>88.406873025382836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>
      <c r="A25" s="31" t="s">
        <v>143</v>
      </c>
      <c r="B25" s="24"/>
      <c r="C25" s="24"/>
      <c r="D25" s="45"/>
      <c r="E25" s="97">
        <f>SUM($E$16:E$16)</f>
        <v>63.476183476658335</v>
      </c>
      <c r="F25" s="97">
        <f>SUM($E$16:F$16)</f>
        <v>129.04313326824283</v>
      </c>
      <c r="G25" s="97">
        <f>SUM($E$16:G$16)</f>
        <v>212.86105085646653</v>
      </c>
      <c r="H25" s="97">
        <f>SUM($E$16:H$16)</f>
        <v>266.25869450037948</v>
      </c>
      <c r="I25" s="97">
        <f>SUM($E$16:I$16)</f>
        <v>333.11131599087207</v>
      </c>
      <c r="J25" s="97">
        <f>SUM($E$16:J$16)</f>
        <v>539.21081796630108</v>
      </c>
      <c r="K25" s="97">
        <f>SUM($E$16:K$16)</f>
        <v>862.95517810214187</v>
      </c>
      <c r="L25" s="97">
        <f>SUM($E$16:L$16)</f>
        <v>1215.5027911115335</v>
      </c>
      <c r="M25" s="97">
        <f>SUM($E$16:M$16)</f>
        <v>1536.9716327521157</v>
      </c>
      <c r="N25" s="97">
        <f>SUM($E$16:N$16)</f>
        <v>1822.5363380736576</v>
      </c>
      <c r="O25" s="97">
        <f>SUM($E$16:O$16)</f>
        <v>2056.1573508354772</v>
      </c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spans="1:39">
      <c r="A26" s="31" t="s">
        <v>144</v>
      </c>
      <c r="B26" s="24"/>
      <c r="C26" s="24"/>
      <c r="D26" s="45"/>
      <c r="E26" s="97">
        <f>SUM($E$17:E$17)</f>
        <v>179.65098796068739</v>
      </c>
      <c r="F26" s="97">
        <f>SUM($E$17:F$17)</f>
        <v>366.32007136988824</v>
      </c>
      <c r="G26" s="97">
        <f>SUM($E$17:G$17)</f>
        <v>568.89126183411122</v>
      </c>
      <c r="H26" s="97">
        <f>SUM($E$17:H$17)</f>
        <v>771.42774441471579</v>
      </c>
      <c r="I26" s="97">
        <f>SUM($E$17:I$17)</f>
        <v>923.57520541062433</v>
      </c>
      <c r="J26" s="97">
        <f>SUM($E$17:J$17)</f>
        <v>1104.4934964360561</v>
      </c>
      <c r="K26" s="97">
        <f>SUM($E$17:K$17)</f>
        <v>1335.5957956949178</v>
      </c>
      <c r="L26" s="97">
        <f>SUM($E$17:L$17)</f>
        <v>1623.8685882177842</v>
      </c>
      <c r="M26" s="97">
        <f>SUM($E$17:M$17)</f>
        <v>1907.7385053217331</v>
      </c>
      <c r="N26" s="97">
        <f>SUM($E$17:N$17)</f>
        <v>2325.4676343818919</v>
      </c>
      <c r="O26" s="97">
        <f>SUM($E$17:O$17)</f>
        <v>2718.4110118690728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1:39">
      <c r="A27" s="31" t="s">
        <v>145</v>
      </c>
      <c r="B27" s="24"/>
      <c r="C27" s="24"/>
      <c r="D27" s="45"/>
      <c r="E27" s="97"/>
      <c r="F27" s="97"/>
      <c r="G27" s="97"/>
      <c r="H27" s="97"/>
      <c r="I27" s="97"/>
      <c r="J27" s="97">
        <f t="shared" ref="J27:O27" si="10">SUM(F18:J18)</f>
        <v>27.449113877862594</v>
      </c>
      <c r="K27" s="97">
        <f t="shared" si="10"/>
        <v>76.227987024641891</v>
      </c>
      <c r="L27" s="97">
        <f t="shared" si="10"/>
        <v>122.01297630299241</v>
      </c>
      <c r="M27" s="97">
        <f t="shared" si="10"/>
        <v>155.10937630299242</v>
      </c>
      <c r="N27" s="97">
        <f t="shared" si="10"/>
        <v>207.68867534127401</v>
      </c>
      <c r="O27" s="97">
        <f t="shared" si="10"/>
        <v>232.47521914243219</v>
      </c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1:39">
      <c r="A28" s="31" t="s">
        <v>146</v>
      </c>
      <c r="B28" s="24"/>
      <c r="C28" s="24"/>
      <c r="D28" s="45"/>
      <c r="E28" s="97">
        <f>SUM($E$19:E$19)</f>
        <v>183.7833084240082</v>
      </c>
      <c r="F28" s="97">
        <f>SUM($E$19:F$19)</f>
        <v>388.4078469029962</v>
      </c>
      <c r="G28" s="97">
        <f>SUM($E$19:G$19)</f>
        <v>621.50444498483193</v>
      </c>
      <c r="H28" s="97">
        <f>SUM($E$19:H$19)</f>
        <v>814.77304255523813</v>
      </c>
      <c r="I28" s="97">
        <f>SUM($E$19:I$19)</f>
        <v>989.03381919746676</v>
      </c>
      <c r="J28" s="97">
        <f>SUM($E$19:J$19)</f>
        <v>989.03381919746676</v>
      </c>
      <c r="K28" s="97">
        <f>SUM($E$19:K$19)</f>
        <v>989.03381919746676</v>
      </c>
      <c r="L28" s="97">
        <f>SUM($E$19:L$19)</f>
        <v>989.03381919746676</v>
      </c>
      <c r="M28" s="97">
        <f>SUM($E$19:M$19)</f>
        <v>989.03381919746676</v>
      </c>
      <c r="N28" s="97">
        <f>SUM($E$19:N$19)</f>
        <v>989.03381919746676</v>
      </c>
      <c r="O28" s="97">
        <f>SUM($E$19:O$19)</f>
        <v>989.03381919746676</v>
      </c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spans="1:39">
      <c r="A29" s="31" t="s">
        <v>147</v>
      </c>
      <c r="B29" s="24"/>
      <c r="C29" s="24"/>
      <c r="D29" s="45"/>
      <c r="E29" s="97">
        <f>SUM($E$20:E$20)</f>
        <v>82.317525271805849</v>
      </c>
      <c r="F29" s="97">
        <f>SUM($E$20:F$20)</f>
        <v>160.65471753063864</v>
      </c>
      <c r="G29" s="97">
        <f>SUM($E$20:G$20)</f>
        <v>160.65471753063864</v>
      </c>
      <c r="H29" s="97">
        <f>SUM($E$20:H$20)</f>
        <v>163.33618051214864</v>
      </c>
      <c r="I29" s="97">
        <f>SUM($E$20:I$20)</f>
        <v>163.33618051214864</v>
      </c>
      <c r="J29" s="97">
        <f>SUM($E$20:J$20)</f>
        <v>163.33618051214864</v>
      </c>
      <c r="K29" s="97">
        <f>SUM($E$20:K$20)</f>
        <v>163.33618051214864</v>
      </c>
      <c r="L29" s="97">
        <f>SUM($E$20:L$20)</f>
        <v>163.33618051214864</v>
      </c>
      <c r="M29" s="97">
        <f>SUM($E$20:M$20)</f>
        <v>163.33618051214864</v>
      </c>
      <c r="N29" s="97">
        <f>SUM($E$20:N$20)</f>
        <v>163.33618051214864</v>
      </c>
      <c r="O29" s="97">
        <f>SUM($E$20:O$20)</f>
        <v>163.33618051214864</v>
      </c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spans="1:39">
      <c r="A30" s="29"/>
      <c r="C30" s="24"/>
      <c r="D30" s="46"/>
      <c r="E30" s="116">
        <f t="shared" ref="E30:O30" si="11">SUM(E23:E29)</f>
        <v>14296.447539315102</v>
      </c>
      <c r="F30" s="116">
        <f t="shared" si="11"/>
        <v>14831.645303253707</v>
      </c>
      <c r="G30" s="116">
        <f t="shared" si="11"/>
        <v>15369.506009387991</v>
      </c>
      <c r="H30" s="116">
        <f t="shared" si="11"/>
        <v>15849.670196164425</v>
      </c>
      <c r="I30" s="116">
        <f t="shared" si="11"/>
        <v>16261.021964383965</v>
      </c>
      <c r="J30" s="116">
        <f t="shared" si="11"/>
        <v>16675.488871262689</v>
      </c>
      <c r="K30" s="116">
        <f t="shared" si="11"/>
        <v>17279.114403804168</v>
      </c>
      <c r="L30" s="116">
        <f t="shared" si="11"/>
        <v>17974.242672158205</v>
      </c>
      <c r="M30" s="116">
        <f t="shared" si="11"/>
        <v>18612.67783090274</v>
      </c>
      <c r="N30" s="116">
        <f t="shared" si="11"/>
        <v>19383.689054713763</v>
      </c>
      <c r="O30" s="116">
        <f t="shared" si="11"/>
        <v>20035.039988763921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39">
      <c r="A31" s="39"/>
      <c r="C31" s="2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spans="1:39">
      <c r="A32" s="29" t="s">
        <v>9</v>
      </c>
      <c r="C32" s="23"/>
      <c r="D32" s="119">
        <f>+Inputs!D39/Inputs!E27*Inputs!M27</f>
        <v>468765.46416218602</v>
      </c>
      <c r="E32" s="119">
        <f t="shared" ref="E32:O32" si="12">+E7+E14-E30</f>
        <v>469427.94558706007</v>
      </c>
      <c r="F32" s="119">
        <f t="shared" si="12"/>
        <v>470314.36106372561</v>
      </c>
      <c r="G32" s="119">
        <f t="shared" si="12"/>
        <v>469935.52054769412</v>
      </c>
      <c r="H32" s="119">
        <f t="shared" si="12"/>
        <v>466838.46277021995</v>
      </c>
      <c r="I32" s="119">
        <f t="shared" si="12"/>
        <v>462030.8847628723</v>
      </c>
      <c r="J32" s="119">
        <f t="shared" si="12"/>
        <v>456450.39590539754</v>
      </c>
      <c r="K32" s="119">
        <f t="shared" si="12"/>
        <v>455831.48476164381</v>
      </c>
      <c r="L32" s="119">
        <f t="shared" si="12"/>
        <v>456640.00654724741</v>
      </c>
      <c r="M32" s="119">
        <f t="shared" si="12"/>
        <v>455309.6131385272</v>
      </c>
      <c r="N32" s="119">
        <f t="shared" si="12"/>
        <v>454210.3837163719</v>
      </c>
      <c r="O32" s="119">
        <f t="shared" si="12"/>
        <v>449675.5131887836</v>
      </c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spans="1:39">
      <c r="A33" s="29"/>
      <c r="C33" s="2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spans="1:39">
      <c r="A34" s="110" t="s">
        <v>298</v>
      </c>
      <c r="C34" s="2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spans="1:39">
      <c r="A35" s="39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spans="1:39">
      <c r="A36" s="29" t="s">
        <v>64</v>
      </c>
      <c r="B36" s="37"/>
      <c r="C36" s="37"/>
      <c r="D36" s="45"/>
      <c r="E36" s="45">
        <f t="shared" ref="E36:P36" si="13">+D63</f>
        <v>493465.29267609084</v>
      </c>
      <c r="F36" s="45">
        <f t="shared" si="13"/>
        <v>494162.68106156471</v>
      </c>
      <c r="G36" s="45">
        <f t="shared" si="13"/>
        <v>495095.80285927904</v>
      </c>
      <c r="H36" s="45">
        <f t="shared" si="13"/>
        <v>494697.00077078654</v>
      </c>
      <c r="I36" s="45">
        <f t="shared" si="13"/>
        <v>491436.75521210924</v>
      </c>
      <c r="J36" s="45">
        <f t="shared" si="13"/>
        <v>486375.86001007253</v>
      </c>
      <c r="K36" s="45">
        <f t="shared" si="13"/>
        <v>480501.3283351523</v>
      </c>
      <c r="L36" s="45">
        <f t="shared" si="13"/>
        <v>479849.8060024677</v>
      </c>
      <c r="M36" s="45">
        <f t="shared" si="13"/>
        <v>480700.92979479098</v>
      </c>
      <c r="N36" s="45">
        <f t="shared" si="13"/>
        <v>479300.43632204377</v>
      </c>
      <c r="O36" s="45">
        <f t="shared" si="13"/>
        <v>478143.2871504607</v>
      </c>
      <c r="P36" s="45">
        <f t="shared" si="13"/>
        <v>473369.46872050426</v>
      </c>
      <c r="Q36" s="45">
        <f t="shared" ref="Q36:AM36" si="14">+P63</f>
        <v>470415.91518743068</v>
      </c>
      <c r="R36" s="45">
        <f t="shared" si="14"/>
        <v>465763.60995288705</v>
      </c>
      <c r="S36" s="45">
        <f t="shared" si="14"/>
        <v>460595.02526829415</v>
      </c>
      <c r="T36" s="45">
        <f t="shared" si="14"/>
        <v>454619.45180017315</v>
      </c>
      <c r="U36" s="45">
        <f t="shared" si="14"/>
        <v>445527.25266743085</v>
      </c>
      <c r="V36" s="45">
        <f t="shared" si="14"/>
        <v>434324.93500252662</v>
      </c>
      <c r="W36" s="45">
        <f t="shared" si="14"/>
        <v>420861.72152200458</v>
      </c>
      <c r="X36" s="45">
        <f t="shared" si="14"/>
        <v>406994.7114914126</v>
      </c>
      <c r="Y36" s="45">
        <f t="shared" si="14"/>
        <v>393271.03041764436</v>
      </c>
      <c r="Z36" s="45">
        <f t="shared" si="14"/>
        <v>379290.65965838445</v>
      </c>
      <c r="AA36" s="45">
        <f t="shared" si="14"/>
        <v>365319.83611005667</v>
      </c>
      <c r="AB36" s="45">
        <f t="shared" si="14"/>
        <v>350682.42363139399</v>
      </c>
      <c r="AC36" s="45">
        <f t="shared" si="14"/>
        <v>335614.39477308013</v>
      </c>
      <c r="AD36" s="45">
        <f t="shared" si="14"/>
        <v>320051.1712935422</v>
      </c>
      <c r="AE36" s="45">
        <f t="shared" si="14"/>
        <v>304766.26595724857</v>
      </c>
      <c r="AF36" s="45">
        <f t="shared" si="14"/>
        <v>290017.08116367512</v>
      </c>
      <c r="AG36" s="45">
        <f t="shared" si="14"/>
        <v>275071.70696614211</v>
      </c>
      <c r="AH36" s="45">
        <f t="shared" si="14"/>
        <v>258641.22820379445</v>
      </c>
      <c r="AI36" s="45">
        <f t="shared" si="14"/>
        <v>243376.68311038983</v>
      </c>
      <c r="AJ36" s="45">
        <f t="shared" si="14"/>
        <v>227657.27621773505</v>
      </c>
      <c r="AK36" s="45">
        <f t="shared" si="14"/>
        <v>211202.27860833661</v>
      </c>
      <c r="AL36" s="45">
        <f t="shared" si="14"/>
        <v>194624.37282780631</v>
      </c>
      <c r="AM36" s="45">
        <f t="shared" si="14"/>
        <v>178016.17639999941</v>
      </c>
    </row>
    <row r="37" spans="1:39">
      <c r="A37" s="29" t="s">
        <v>63</v>
      </c>
      <c r="B37" s="37"/>
      <c r="C37" s="37"/>
      <c r="D37" s="46"/>
      <c r="E37" s="47">
        <f>+'DAV Inputs'!E75</f>
        <v>0</v>
      </c>
      <c r="F37" s="47">
        <f>+'DAV Inputs'!F75</f>
        <v>0</v>
      </c>
      <c r="G37" s="47">
        <f>+'DAV Inputs'!G75</f>
        <v>464.23683207784978</v>
      </c>
      <c r="H37" s="47">
        <f>+'DAV Inputs'!H75</f>
        <v>744.25269904544166</v>
      </c>
      <c r="I37" s="47">
        <f>+'DAV Inputs'!I75</f>
        <v>418.97110922218639</v>
      </c>
      <c r="J37" s="47">
        <f>+'DAV Inputs'!J75</f>
        <v>0</v>
      </c>
      <c r="K37" s="47">
        <f>+'DAV Inputs'!K75</f>
        <v>0</v>
      </c>
      <c r="L37" s="47">
        <f>+'DAV Inputs'!L75</f>
        <v>134.57931340142375</v>
      </c>
      <c r="M37" s="47">
        <f>+'DAV Inputs'!M75</f>
        <v>0</v>
      </c>
      <c r="N37" s="47">
        <f>+'DAV Inputs'!N75</f>
        <v>350.58616959324877</v>
      </c>
      <c r="O37" s="47">
        <f>+'DAV Inputs'!O75</f>
        <v>0</v>
      </c>
      <c r="P37" s="47">
        <f>+'DAV Inputs'!P75</f>
        <v>0</v>
      </c>
      <c r="Q37" s="47">
        <f>+'DAV Inputs'!Q75</f>
        <v>0</v>
      </c>
      <c r="R37" s="47">
        <f>+'DAV Inputs'!R75</f>
        <v>0</v>
      </c>
      <c r="S37" s="47">
        <f>+'DAV Inputs'!S75</f>
        <v>823.82160838898778</v>
      </c>
      <c r="T37" s="47">
        <f>+'DAV Inputs'!T75</f>
        <v>1625.4875156948933</v>
      </c>
      <c r="U37" s="47">
        <f>+'DAV Inputs'!U75</f>
        <v>0</v>
      </c>
      <c r="V37" s="47">
        <f>+'DAV Inputs'!V75</f>
        <v>0</v>
      </c>
      <c r="W37" s="47">
        <f>+'DAV Inputs'!W75</f>
        <v>0</v>
      </c>
      <c r="X37" s="47">
        <f>+'DAV Inputs'!X75</f>
        <v>0</v>
      </c>
      <c r="Y37" s="47">
        <f>+'DAV Inputs'!Y75</f>
        <v>0</v>
      </c>
      <c r="Z37" s="47">
        <f>+'DAV Inputs'!Z75</f>
        <v>0</v>
      </c>
      <c r="AA37" s="47">
        <f>+'DAV Inputs'!AA75</f>
        <v>0</v>
      </c>
      <c r="AB37" s="47">
        <f>+'DAV Inputs'!AB75</f>
        <v>0</v>
      </c>
      <c r="AC37" s="47">
        <f>+'DAV Inputs'!AC75</f>
        <v>0</v>
      </c>
      <c r="AD37" s="47">
        <f>+'DAV Inputs'!AD75</f>
        <v>0</v>
      </c>
      <c r="AE37" s="47">
        <f>+'DAV Inputs'!AE75</f>
        <v>0</v>
      </c>
      <c r="AF37" s="47">
        <f>+'DAV Inputs'!AF75</f>
        <v>0</v>
      </c>
      <c r="AG37" s="47">
        <f>+'DAV Inputs'!AG75</f>
        <v>0</v>
      </c>
      <c r="AH37" s="47">
        <f>+'DAV Inputs'!AH75</f>
        <v>0</v>
      </c>
      <c r="AI37" s="47">
        <f>+'DAV Inputs'!AI75</f>
        <v>0</v>
      </c>
      <c r="AJ37" s="47">
        <f>+'DAV Inputs'!AJ75</f>
        <v>0</v>
      </c>
      <c r="AK37" s="47">
        <f>+'DAV Inputs'!AK75</f>
        <v>0</v>
      </c>
      <c r="AL37" s="47">
        <f>+'DAV Inputs'!AL75</f>
        <v>0</v>
      </c>
      <c r="AM37" s="47">
        <f>+'DAV Inputs'!AM75</f>
        <v>0</v>
      </c>
    </row>
    <row r="38" spans="1:39">
      <c r="A38" s="29" t="s">
        <v>23</v>
      </c>
      <c r="B38" s="37"/>
      <c r="C38" s="37"/>
      <c r="D38" s="46"/>
      <c r="E38" s="116">
        <f t="shared" ref="E38:O38" si="15">+E36+E37</f>
        <v>493465.29267609084</v>
      </c>
      <c r="F38" s="116">
        <f t="shared" si="15"/>
        <v>494162.68106156471</v>
      </c>
      <c r="G38" s="116">
        <f t="shared" si="15"/>
        <v>495560.03969135688</v>
      </c>
      <c r="H38" s="116">
        <f t="shared" si="15"/>
        <v>495441.25346983201</v>
      </c>
      <c r="I38" s="116">
        <f t="shared" si="15"/>
        <v>491855.72632133146</v>
      </c>
      <c r="J38" s="116">
        <f t="shared" si="15"/>
        <v>486375.86001007253</v>
      </c>
      <c r="K38" s="116">
        <f t="shared" si="15"/>
        <v>480501.3283351523</v>
      </c>
      <c r="L38" s="116">
        <f t="shared" si="15"/>
        <v>479984.38531586912</v>
      </c>
      <c r="M38" s="116">
        <f t="shared" si="15"/>
        <v>480700.92979479098</v>
      </c>
      <c r="N38" s="116">
        <f t="shared" si="15"/>
        <v>479651.02249163704</v>
      </c>
      <c r="O38" s="116">
        <f t="shared" si="15"/>
        <v>478143.2871504607</v>
      </c>
      <c r="P38" s="116">
        <f t="shared" ref="P38:AM38" si="16">+P36+P37</f>
        <v>473369.46872050426</v>
      </c>
      <c r="Q38" s="116">
        <f t="shared" si="16"/>
        <v>470415.91518743068</v>
      </c>
      <c r="R38" s="116">
        <f t="shared" si="16"/>
        <v>465763.60995288705</v>
      </c>
      <c r="S38" s="116">
        <f t="shared" si="16"/>
        <v>461418.84687668312</v>
      </c>
      <c r="T38" s="116">
        <f t="shared" si="16"/>
        <v>456244.93931586802</v>
      </c>
      <c r="U38" s="116">
        <f t="shared" si="16"/>
        <v>445527.25266743085</v>
      </c>
      <c r="V38" s="116">
        <f t="shared" si="16"/>
        <v>434324.93500252662</v>
      </c>
      <c r="W38" s="116">
        <f t="shared" si="16"/>
        <v>420861.72152200458</v>
      </c>
      <c r="X38" s="116">
        <f t="shared" si="16"/>
        <v>406994.7114914126</v>
      </c>
      <c r="Y38" s="116">
        <f t="shared" si="16"/>
        <v>393271.03041764436</v>
      </c>
      <c r="Z38" s="116">
        <f t="shared" si="16"/>
        <v>379290.65965838445</v>
      </c>
      <c r="AA38" s="116">
        <f t="shared" si="16"/>
        <v>365319.83611005667</v>
      </c>
      <c r="AB38" s="116">
        <f t="shared" si="16"/>
        <v>350682.42363139399</v>
      </c>
      <c r="AC38" s="116">
        <f t="shared" si="16"/>
        <v>335614.39477308013</v>
      </c>
      <c r="AD38" s="116">
        <f t="shared" si="16"/>
        <v>320051.1712935422</v>
      </c>
      <c r="AE38" s="116">
        <f t="shared" si="16"/>
        <v>304766.26595724857</v>
      </c>
      <c r="AF38" s="116">
        <f t="shared" si="16"/>
        <v>290017.08116367512</v>
      </c>
      <c r="AG38" s="116">
        <f t="shared" si="16"/>
        <v>275071.70696614211</v>
      </c>
      <c r="AH38" s="116">
        <f t="shared" si="16"/>
        <v>258641.22820379445</v>
      </c>
      <c r="AI38" s="116">
        <f t="shared" si="16"/>
        <v>243376.68311038983</v>
      </c>
      <c r="AJ38" s="116">
        <f t="shared" si="16"/>
        <v>227657.27621773505</v>
      </c>
      <c r="AK38" s="116">
        <f t="shared" si="16"/>
        <v>211202.27860833661</v>
      </c>
      <c r="AL38" s="116">
        <f t="shared" si="16"/>
        <v>194624.37282780631</v>
      </c>
      <c r="AM38" s="116">
        <f t="shared" si="16"/>
        <v>178016.17639999941</v>
      </c>
    </row>
    <row r="39" spans="1:39">
      <c r="A39" s="39"/>
      <c r="B39" s="37"/>
      <c r="C39" s="37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spans="1:39">
      <c r="A40" s="31" t="s">
        <v>133</v>
      </c>
      <c r="B40" s="37"/>
      <c r="C40" s="37"/>
      <c r="E40" s="47">
        <f>+E9*Inputs!$M$31</f>
        <v>2672.8328643624686</v>
      </c>
      <c r="F40" s="47">
        <f>+F9*Inputs!$M$31</f>
        <v>2760.8701188437744</v>
      </c>
      <c r="G40" s="47">
        <f>+G9*Inputs!$M$31</f>
        <v>3529.3754678022005</v>
      </c>
      <c r="H40" s="47">
        <f>+H9*Inputs!$M$31</f>
        <v>2248.4492449589193</v>
      </c>
      <c r="I40" s="47">
        <f>+I9*Inputs!$M$31</f>
        <v>2815.0067316866994</v>
      </c>
      <c r="J40" s="47">
        <f>+J9*Inputs!$M$31</f>
        <v>8678.3655228930329</v>
      </c>
      <c r="K40" s="47">
        <f>+K9*Inputs!$M$31</f>
        <v>13632.113936737705</v>
      </c>
      <c r="L40" s="47">
        <f>+L9*Inputs!$M$31</f>
        <v>14844.951203636079</v>
      </c>
      <c r="M40" s="47">
        <f>+M9*Inputs!$M$31</f>
        <v>13536.297202263933</v>
      </c>
      <c r="N40" s="47">
        <f>+N9*Inputs!$M$31</f>
        <v>12024.458426459614</v>
      </c>
      <c r="O40" s="47">
        <f>+O9*Inputs!$M$31</f>
        <v>9837.2316436613255</v>
      </c>
      <c r="P40" s="45">
        <f>+Inputs!P12</f>
        <v>12227.481282107383</v>
      </c>
      <c r="Q40" s="45">
        <f>+Inputs!Q12</f>
        <v>11158.782990620659</v>
      </c>
      <c r="R40" s="45">
        <f>+Inputs!R12</f>
        <v>11071.98816999496</v>
      </c>
      <c r="S40" s="45">
        <f>+Inputs!S12</f>
        <v>10465.120124903033</v>
      </c>
      <c r="T40" s="45">
        <f>+Inputs!T12</f>
        <v>7648.620819865735</v>
      </c>
      <c r="U40" s="45">
        <f>+Inputs!U12</f>
        <v>7512.160994784007</v>
      </c>
      <c r="V40" s="45">
        <f>+Inputs!V12</f>
        <v>6145.1664857307842</v>
      </c>
      <c r="W40" s="45">
        <f>+Inputs!W12</f>
        <v>5986.9666016196334</v>
      </c>
      <c r="X40" s="45">
        <f>+Inputs!X12</f>
        <v>5821.8828723070956</v>
      </c>
      <c r="Y40" s="45">
        <f>+Inputs!Y12</f>
        <v>5672.8943856871574</v>
      </c>
      <c r="Z40" s="45">
        <f>+Inputs!Z12</f>
        <v>5526.2798842252196</v>
      </c>
      <c r="AA40" s="45">
        <f>+Inputs!AA12</f>
        <v>5402.3255364340339</v>
      </c>
      <c r="AB40" s="45">
        <f>+Inputs!AB12</f>
        <v>5279.0665612026733</v>
      </c>
      <c r="AC40" s="45">
        <f>+Inputs!AC12</f>
        <v>5056.8586506848696</v>
      </c>
      <c r="AD40" s="45">
        <f>+Inputs!AD12</f>
        <v>4931.3820342801719</v>
      </c>
      <c r="AE40" s="45">
        <f>+Inputs!AE12</f>
        <v>4803.1369771758154</v>
      </c>
      <c r="AF40" s="45">
        <f>+Inputs!AF12</f>
        <v>4695.8557612474451</v>
      </c>
      <c r="AG40" s="45">
        <f>+Inputs!AG12</f>
        <v>4625.6194506770817</v>
      </c>
      <c r="AH40" s="45">
        <f>+Inputs!AH12</f>
        <v>4497.0109192265863</v>
      </c>
      <c r="AI40" s="45">
        <f>+Inputs!AI12</f>
        <v>4408.9384847052897</v>
      </c>
      <c r="AJ40" s="45">
        <f>+Inputs!AJ12</f>
        <v>4332.0909551143395</v>
      </c>
      <c r="AK40" s="45">
        <f>+Inputs!AK12</f>
        <v>4244.3932566011954</v>
      </c>
      <c r="AL40" s="45">
        <f>+Inputs!AL12</f>
        <v>4158.0128843355078</v>
      </c>
      <c r="AM40" s="45">
        <f>+Inputs!AM12</f>
        <v>4094.3205776427071</v>
      </c>
    </row>
    <row r="41" spans="1:39">
      <c r="A41" s="31" t="s">
        <v>134</v>
      </c>
      <c r="B41" s="37"/>
      <c r="C41" s="37"/>
      <c r="E41" s="47">
        <f>+E10*Inputs!$M$31</f>
        <v>2836.7552901539266</v>
      </c>
      <c r="F41" s="47">
        <f>+F10*Inputs!$M$31</f>
        <v>2947.5736030191601</v>
      </c>
      <c r="G41" s="47">
        <f>+G10*Inputs!$M$31</f>
        <v>3198.6737323588309</v>
      </c>
      <c r="H41" s="47">
        <f>+H10*Inputs!$M$31</f>
        <v>3198.1256820887907</v>
      </c>
      <c r="I41" s="47">
        <f>+I10*Inputs!$M$31</f>
        <v>2402.4644660349923</v>
      </c>
      <c r="J41" s="47">
        <f>+J10*Inputs!$M$31</f>
        <v>2856.7664724688761</v>
      </c>
      <c r="K41" s="47">
        <f>+K10*Inputs!$M$31</f>
        <v>3649.1904521714691</v>
      </c>
      <c r="L41" s="47">
        <f>+L10*Inputs!$M$31</f>
        <v>4551.9336045935661</v>
      </c>
      <c r="M41" s="47">
        <f>+M10*Inputs!$M$31</f>
        <v>4482.4105795421456</v>
      </c>
      <c r="N41" s="47">
        <f>+N10*Inputs!$M$31</f>
        <v>6596.0968551539936</v>
      </c>
      <c r="O41" s="47">
        <f>+O10*Inputs!$M$31</f>
        <v>6204.7207058033828</v>
      </c>
      <c r="P41" s="45">
        <f>+Inputs!P13</f>
        <v>4920.2865590962228</v>
      </c>
      <c r="Q41" s="45">
        <f>+Inputs!Q13</f>
        <v>5218.5452360882391</v>
      </c>
      <c r="R41" s="45">
        <f>+Inputs!R13</f>
        <v>5562.9227189883522</v>
      </c>
      <c r="S41" s="45">
        <f>+Inputs!S13</f>
        <v>5222.0979943276179</v>
      </c>
      <c r="T41" s="45">
        <f>+Inputs!T13</f>
        <v>4851.0592499209097</v>
      </c>
      <c r="U41" s="45">
        <f>+Inputs!U13</f>
        <v>4598.5563856377139</v>
      </c>
      <c r="V41" s="45">
        <f>+Inputs!V13</f>
        <v>4290.9207652765126</v>
      </c>
      <c r="W41" s="45">
        <f>+Inputs!W13</f>
        <v>4292.0579283824709</v>
      </c>
      <c r="X41" s="45">
        <f>+Inputs!X13</f>
        <v>4929.9656518016727</v>
      </c>
      <c r="Y41" s="45">
        <f>+Inputs!Y13</f>
        <v>5145.0332270305771</v>
      </c>
      <c r="Z41" s="45">
        <f>+Inputs!Z13</f>
        <v>5547.3652701674519</v>
      </c>
      <c r="AA41" s="45">
        <f>+Inputs!AA13</f>
        <v>5201.101285672873</v>
      </c>
      <c r="AB41" s="45">
        <f>+Inputs!AB13</f>
        <v>5092.4690402587858</v>
      </c>
      <c r="AC41" s="45">
        <f>+Inputs!AC13</f>
        <v>4866.4976611232287</v>
      </c>
      <c r="AD41" s="45">
        <f>+Inputs!AD13</f>
        <v>5361.42692797979</v>
      </c>
      <c r="AE41" s="45">
        <f>+Inputs!AE13</f>
        <v>6216.777020198615</v>
      </c>
      <c r="AF41" s="45">
        <f>+Inputs!AF13</f>
        <v>6342.696956400755</v>
      </c>
      <c r="AG41" s="45">
        <f>+Inputs!AG13</f>
        <v>4997.7730461415558</v>
      </c>
      <c r="AH41" s="45">
        <f>+Inputs!AH13</f>
        <v>6511.7644150102979</v>
      </c>
      <c r="AI41" s="45">
        <f>+Inputs!AI13</f>
        <v>6377.3227730766375</v>
      </c>
      <c r="AJ41" s="45">
        <f>+Inputs!AJ13</f>
        <v>5918.6855980042328</v>
      </c>
      <c r="AK41" s="45">
        <f>+Inputs!AK13</f>
        <v>6131.4009041486888</v>
      </c>
      <c r="AL41" s="45">
        <f>+Inputs!AL13</f>
        <v>6454.1089835178909</v>
      </c>
      <c r="AM41" s="45">
        <f>+Inputs!AM13</f>
        <v>6102.6256344888807</v>
      </c>
    </row>
    <row r="42" spans="1:39">
      <c r="A42" s="31" t="s">
        <v>135</v>
      </c>
      <c r="B42" s="37"/>
      <c r="C42" s="37"/>
      <c r="E42" s="47">
        <f>+E11*Inputs!$M$31</f>
        <v>0</v>
      </c>
      <c r="F42" s="47">
        <f>+F11*Inputs!$M$31</f>
        <v>0</v>
      </c>
      <c r="G42" s="47">
        <f>+G11*Inputs!$M$31</f>
        <v>0</v>
      </c>
      <c r="H42" s="47">
        <f>+H11*Inputs!$M$31</f>
        <v>0</v>
      </c>
      <c r="I42" s="47">
        <f>+I11*Inputs!$M$31</f>
        <v>0</v>
      </c>
      <c r="J42" s="47">
        <f>+J11*Inputs!$M$31</f>
        <v>144.47720714289198</v>
      </c>
      <c r="K42" s="47">
        <f>+K11*Inputs!$M$31</f>
        <v>256.74545965972925</v>
      </c>
      <c r="L42" s="47">
        <f>+L11*Inputs!$M$31</f>
        <v>240.98728321201546</v>
      </c>
      <c r="M42" s="47">
        <f>+M11*Inputs!$M$31</f>
        <v>174.20144999071823</v>
      </c>
      <c r="N42" s="47">
        <f>+N11*Inputs!$M$31</f>
        <v>276.74883467580241</v>
      </c>
      <c r="O42" s="47">
        <f>+O11*Inputs!$M$31</f>
        <v>274.94009345137886</v>
      </c>
      <c r="P42" s="45">
        <f>+Inputs!P14</f>
        <v>455.59211603867328</v>
      </c>
      <c r="Q42" s="45">
        <f>+Inputs!Q14</f>
        <v>332.09048013082645</v>
      </c>
      <c r="R42" s="45">
        <f>+Inputs!R14</f>
        <v>230.60554915120662</v>
      </c>
      <c r="S42" s="45">
        <f>+Inputs!S14</f>
        <v>268.43818901642192</v>
      </c>
      <c r="T42" s="45">
        <f>+Inputs!T14</f>
        <v>198.37016513266954</v>
      </c>
      <c r="U42" s="45">
        <f>+Inputs!U14</f>
        <v>427.913848737367</v>
      </c>
      <c r="V42" s="45">
        <f>+Inputs!V14</f>
        <v>195.36075868655641</v>
      </c>
      <c r="W42" s="45">
        <f>+Inputs!W14</f>
        <v>195.36075868655641</v>
      </c>
      <c r="X42" s="45">
        <f>+Inputs!X14</f>
        <v>195.36075868655641</v>
      </c>
      <c r="Y42" s="45">
        <f>+Inputs!Y14</f>
        <v>195.36075868655641</v>
      </c>
      <c r="Z42" s="45">
        <f>+Inputs!Z14</f>
        <v>195.36075868655641</v>
      </c>
      <c r="AA42" s="45">
        <f>+Inputs!AA14</f>
        <v>195.36075868655641</v>
      </c>
      <c r="AB42" s="45">
        <f>+Inputs!AB14</f>
        <v>195.36075868655641</v>
      </c>
      <c r="AC42" s="45">
        <f>+Inputs!AC14</f>
        <v>195.36075868655641</v>
      </c>
      <c r="AD42" s="45">
        <f>+Inputs!AD14</f>
        <v>195.36075868655641</v>
      </c>
      <c r="AE42" s="45">
        <f>+Inputs!AE14</f>
        <v>195.36075868655641</v>
      </c>
      <c r="AF42" s="45">
        <f>+Inputs!AF14</f>
        <v>195.36075868655641</v>
      </c>
      <c r="AG42" s="45">
        <f>+Inputs!AG14</f>
        <v>195.36075868655641</v>
      </c>
      <c r="AH42" s="45">
        <f>+Inputs!AH14</f>
        <v>195.36075868655641</v>
      </c>
      <c r="AI42" s="45">
        <f>+Inputs!AI14</f>
        <v>195.36075868655641</v>
      </c>
      <c r="AJ42" s="45">
        <f>+Inputs!AJ14</f>
        <v>195.36075868655641</v>
      </c>
      <c r="AK42" s="45">
        <f>+Inputs!AK14</f>
        <v>195.36075868655641</v>
      </c>
      <c r="AL42" s="45">
        <f>+Inputs!AL14</f>
        <v>195.36075868655641</v>
      </c>
      <c r="AM42" s="45">
        <f>+Inputs!AM14</f>
        <v>0</v>
      </c>
    </row>
    <row r="43" spans="1:39">
      <c r="A43" s="31" t="s">
        <v>136</v>
      </c>
      <c r="B43" s="37"/>
      <c r="C43" s="37"/>
      <c r="E43" s="47">
        <f>+E12*Inputs!$M$31</f>
        <v>6771.3476898053941</v>
      </c>
      <c r="F43" s="47">
        <f>+F12*Inputs!$M$31</f>
        <v>7539.2259927680525</v>
      </c>
      <c r="G43" s="47">
        <f>+G12*Inputs!$M$31</f>
        <v>8588.2560525107292</v>
      </c>
      <c r="H43" s="47">
        <f>+H12*Inputs!$M$31</f>
        <v>7120.8255139852517</v>
      </c>
      <c r="I43" s="47">
        <f>+I12*Inputs!$M$31</f>
        <v>6420.497690778886</v>
      </c>
      <c r="J43" s="47">
        <f>+J12*Inputs!$M$31</f>
        <v>0</v>
      </c>
      <c r="K43" s="47">
        <f>+K12*Inputs!$M$31</f>
        <v>0</v>
      </c>
      <c r="L43" s="47">
        <f>+L12*Inputs!$M$31</f>
        <v>0</v>
      </c>
      <c r="M43" s="47">
        <f>+M12*Inputs!$M$31</f>
        <v>0</v>
      </c>
      <c r="N43" s="47">
        <f>+N12*Inputs!$M$31</f>
        <v>0</v>
      </c>
      <c r="O43" s="47">
        <f>+O12*Inputs!$M$31</f>
        <v>0</v>
      </c>
      <c r="P43" s="45">
        <f>+Inputs!P15</f>
        <v>0</v>
      </c>
      <c r="Q43" s="45">
        <f>+Inputs!Q15</f>
        <v>0</v>
      </c>
      <c r="R43" s="45">
        <f>+Inputs!R15</f>
        <v>0</v>
      </c>
      <c r="S43" s="45">
        <f>+Inputs!S15</f>
        <v>0</v>
      </c>
      <c r="T43" s="45">
        <f>+Inputs!T15</f>
        <v>0</v>
      </c>
      <c r="U43" s="45">
        <f>+Inputs!U15</f>
        <v>0</v>
      </c>
      <c r="V43" s="45">
        <f>+Inputs!V15</f>
        <v>0</v>
      </c>
      <c r="W43" s="45">
        <f>+Inputs!W15</f>
        <v>0</v>
      </c>
      <c r="X43" s="45">
        <f>+Inputs!X15</f>
        <v>0</v>
      </c>
      <c r="Y43" s="45">
        <f>+Inputs!Y15</f>
        <v>0</v>
      </c>
      <c r="Z43" s="45">
        <f>+Inputs!Z15</f>
        <v>0</v>
      </c>
      <c r="AA43" s="45">
        <f>+Inputs!AA15</f>
        <v>0</v>
      </c>
      <c r="AB43" s="45">
        <f>+Inputs!AB15</f>
        <v>0</v>
      </c>
      <c r="AC43" s="45">
        <f>+Inputs!AC15</f>
        <v>0</v>
      </c>
      <c r="AD43" s="45">
        <f>+Inputs!AD15</f>
        <v>0</v>
      </c>
      <c r="AE43" s="45">
        <f>+Inputs!AE15</f>
        <v>0</v>
      </c>
      <c r="AF43" s="45">
        <f>+Inputs!AF15</f>
        <v>0</v>
      </c>
      <c r="AG43" s="45">
        <f>+Inputs!AG15</f>
        <v>0</v>
      </c>
      <c r="AH43" s="45">
        <f>+Inputs!AH15</f>
        <v>0</v>
      </c>
      <c r="AI43" s="45">
        <f>+Inputs!AI15</f>
        <v>0</v>
      </c>
      <c r="AJ43" s="45">
        <f>+Inputs!AJ15</f>
        <v>0</v>
      </c>
      <c r="AK43" s="45">
        <f>+Inputs!AK15</f>
        <v>0</v>
      </c>
      <c r="AL43" s="45">
        <f>+Inputs!AL15</f>
        <v>0</v>
      </c>
      <c r="AM43" s="45">
        <f>+Inputs!AM15</f>
        <v>0</v>
      </c>
    </row>
    <row r="44" spans="1:39">
      <c r="A44" s="31" t="s">
        <v>137</v>
      </c>
      <c r="B44" s="37"/>
      <c r="C44" s="37"/>
      <c r="E44" s="47">
        <f>+E13*Inputs!$M$31</f>
        <v>3466.1974745280259</v>
      </c>
      <c r="F44" s="47">
        <f>+F13*Inputs!$M$31</f>
        <v>3298.5950084457131</v>
      </c>
      <c r="G44" s="47">
        <f>+G13*Inputs!$M$31</f>
        <v>0</v>
      </c>
      <c r="H44" s="47">
        <f>+H13*Inputs!$M$31</f>
        <v>112.91010248256103</v>
      </c>
      <c r="I44" s="47">
        <f>+I13*Inputs!$M$31</f>
        <v>0</v>
      </c>
      <c r="J44" s="47">
        <f>+J13*Inputs!$M$31</f>
        <v>0</v>
      </c>
      <c r="K44" s="47">
        <f>+K13*Inputs!$M$31</f>
        <v>0</v>
      </c>
      <c r="L44" s="47">
        <f>+L13*Inputs!$M$31</f>
        <v>0</v>
      </c>
      <c r="M44" s="47">
        <f>+M13*Inputs!$M$31</f>
        <v>0</v>
      </c>
      <c r="N44" s="47">
        <f>+N13*Inputs!$M$31</f>
        <v>0</v>
      </c>
      <c r="O44" s="47">
        <f>+O13*Inputs!$M$31</f>
        <v>0</v>
      </c>
      <c r="P44" s="45">
        <f>+Inputs!P16</f>
        <v>1238.2285639230522</v>
      </c>
      <c r="Q44" s="45">
        <f>+Inputs!Q16</f>
        <v>1106.1654797374272</v>
      </c>
      <c r="R44" s="45">
        <f>+Inputs!R16</f>
        <v>1120.7490636662253</v>
      </c>
      <c r="S44" s="45">
        <f>+Inputs!S16</f>
        <v>1057.8895406723243</v>
      </c>
      <c r="T44" s="45">
        <f>+Inputs!T16</f>
        <v>768.27864064203004</v>
      </c>
      <c r="U44" s="45">
        <f>+Inputs!U16</f>
        <v>754.25694378027038</v>
      </c>
      <c r="V44" s="45">
        <f>+Inputs!V16</f>
        <v>615.01952240340211</v>
      </c>
      <c r="W44" s="45">
        <f>+Inputs!W16</f>
        <v>598.80996585213109</v>
      </c>
      <c r="X44" s="45">
        <f>+Inputs!X16</f>
        <v>583.32983934566755</v>
      </c>
      <c r="Y44" s="45">
        <f>+Inputs!Y16</f>
        <v>568.54631853199464</v>
      </c>
      <c r="Z44" s="45">
        <f>+Inputs!Z16</f>
        <v>554.42805615493717</v>
      </c>
      <c r="AA44" s="45">
        <f>+Inputs!AA16</f>
        <v>540.94511558484714</v>
      </c>
      <c r="AB44" s="45">
        <f>+Inputs!AB16</f>
        <v>528.06890734041133</v>
      </c>
      <c r="AC44" s="45">
        <f>+Inputs!AC16</f>
        <v>504.78813241176925</v>
      </c>
      <c r="AD44" s="45">
        <f>+Inputs!AD16</f>
        <v>493.04470858763761</v>
      </c>
      <c r="AE44" s="45">
        <f>+Inputs!AE16</f>
        <v>481.8297388355918</v>
      </c>
      <c r="AF44" s="45">
        <f>+Inputs!AF16</f>
        <v>471.11944272238821</v>
      </c>
      <c r="AG44" s="45">
        <f>+Inputs!AG16</f>
        <v>460.89110993427857</v>
      </c>
      <c r="AH44" s="45">
        <f>+Inputs!AH16</f>
        <v>451.12305212163398</v>
      </c>
      <c r="AI44" s="45">
        <f>+Inputs!AI16</f>
        <v>441.79455691055836</v>
      </c>
      <c r="AJ44" s="45">
        <f>+Inputs!AJ16</f>
        <v>432.88584398398109</v>
      </c>
      <c r="AK44" s="45">
        <f>+Inputs!AK16</f>
        <v>424.37802313909998</v>
      </c>
      <c r="AL44" s="45">
        <f>+Inputs!AL16</f>
        <v>416.25305423223847</v>
      </c>
      <c r="AM44" s="45">
        <f>+Inputs!AM16</f>
        <v>408.49370892618572</v>
      </c>
    </row>
    <row r="45" spans="1:39">
      <c r="A45" s="29"/>
      <c r="B45" s="37"/>
      <c r="C45" s="37"/>
      <c r="D45" s="46"/>
      <c r="E45" s="116">
        <f t="shared" ref="E45:O45" si="17">SUM(E40:E44)</f>
        <v>15747.133318849816</v>
      </c>
      <c r="F45" s="116">
        <f t="shared" si="17"/>
        <v>16546.2647230767</v>
      </c>
      <c r="G45" s="116">
        <f t="shared" si="17"/>
        <v>15316.30525267176</v>
      </c>
      <c r="H45" s="116">
        <f t="shared" si="17"/>
        <v>12680.310543515523</v>
      </c>
      <c r="I45" s="116">
        <f t="shared" si="17"/>
        <v>11637.968888500578</v>
      </c>
      <c r="J45" s="116">
        <f t="shared" si="17"/>
        <v>11679.609202504802</v>
      </c>
      <c r="K45" s="116">
        <f t="shared" si="17"/>
        <v>17538.049848568906</v>
      </c>
      <c r="L45" s="116">
        <f t="shared" si="17"/>
        <v>19637.872091441663</v>
      </c>
      <c r="M45" s="116">
        <f t="shared" si="17"/>
        <v>18192.909231796799</v>
      </c>
      <c r="N45" s="116">
        <f t="shared" si="17"/>
        <v>18897.304116289411</v>
      </c>
      <c r="O45" s="116">
        <f t="shared" si="17"/>
        <v>16316.892442916087</v>
      </c>
      <c r="P45" s="116">
        <f t="shared" ref="P45:AM45" si="18">SUM(P40:P44)</f>
        <v>18841.588521165329</v>
      </c>
      <c r="Q45" s="116">
        <f t="shared" si="18"/>
        <v>17815.584186577154</v>
      </c>
      <c r="R45" s="116">
        <f t="shared" si="18"/>
        <v>17986.265501800743</v>
      </c>
      <c r="S45" s="116">
        <f t="shared" si="18"/>
        <v>17013.545848919399</v>
      </c>
      <c r="T45" s="116">
        <f t="shared" si="18"/>
        <v>13466.328875561347</v>
      </c>
      <c r="U45" s="116">
        <f t="shared" si="18"/>
        <v>13292.888172939358</v>
      </c>
      <c r="V45" s="116">
        <f t="shared" si="18"/>
        <v>11246.467532097255</v>
      </c>
      <c r="W45" s="116">
        <f t="shared" si="18"/>
        <v>11073.195254540793</v>
      </c>
      <c r="X45" s="116">
        <f t="shared" si="18"/>
        <v>11530.539122140994</v>
      </c>
      <c r="Y45" s="116">
        <f t="shared" si="18"/>
        <v>11581.834689936286</v>
      </c>
      <c r="Z45" s="116">
        <f t="shared" si="18"/>
        <v>11823.433969234164</v>
      </c>
      <c r="AA45" s="116">
        <f t="shared" si="18"/>
        <v>11339.732696378311</v>
      </c>
      <c r="AB45" s="116">
        <f t="shared" si="18"/>
        <v>11094.965267488427</v>
      </c>
      <c r="AC45" s="116">
        <f t="shared" si="18"/>
        <v>10623.505202906425</v>
      </c>
      <c r="AD45" s="116">
        <f t="shared" si="18"/>
        <v>10981.214429534157</v>
      </c>
      <c r="AE45" s="116">
        <f t="shared" si="18"/>
        <v>11697.104494896579</v>
      </c>
      <c r="AF45" s="116">
        <f t="shared" si="18"/>
        <v>11705.032919057145</v>
      </c>
      <c r="AG45" s="116">
        <f t="shared" si="18"/>
        <v>10279.644365439472</v>
      </c>
      <c r="AH45" s="116">
        <f t="shared" si="18"/>
        <v>11655.259145045076</v>
      </c>
      <c r="AI45" s="116">
        <f t="shared" si="18"/>
        <v>11423.416573379041</v>
      </c>
      <c r="AJ45" s="116">
        <f t="shared" si="18"/>
        <v>10879.023155789109</v>
      </c>
      <c r="AK45" s="116">
        <f t="shared" si="18"/>
        <v>10995.532942575539</v>
      </c>
      <c r="AL45" s="116">
        <f t="shared" si="18"/>
        <v>11223.735680772194</v>
      </c>
      <c r="AM45" s="116">
        <f t="shared" si="18"/>
        <v>10605.439921057774</v>
      </c>
    </row>
    <row r="46" spans="1:39">
      <c r="A46" s="31"/>
      <c r="B46" s="37"/>
      <c r="C46" s="37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spans="1:39">
      <c r="A47" s="31" t="s">
        <v>138</v>
      </c>
      <c r="B47" s="37"/>
      <c r="C47" s="43">
        <f>+C16</f>
        <v>40</v>
      </c>
      <c r="D47" s="45"/>
      <c r="E47" s="47">
        <f>+E40/$C47</f>
        <v>66.82082160906171</v>
      </c>
      <c r="F47" s="47">
        <f t="shared" ref="F47:AM51" si="19">+F40/$C47</f>
        <v>69.021752971094358</v>
      </c>
      <c r="G47" s="47">
        <f t="shared" si="19"/>
        <v>88.234386695055008</v>
      </c>
      <c r="H47" s="47">
        <f t="shared" si="19"/>
        <v>56.211231123972979</v>
      </c>
      <c r="I47" s="47">
        <f t="shared" si="19"/>
        <v>70.375168292167487</v>
      </c>
      <c r="J47" s="47">
        <f t="shared" si="19"/>
        <v>216.95913807232583</v>
      </c>
      <c r="K47" s="47">
        <f t="shared" si="19"/>
        <v>340.80284841844264</v>
      </c>
      <c r="L47" s="47">
        <f t="shared" si="19"/>
        <v>371.12378009090196</v>
      </c>
      <c r="M47" s="47">
        <f t="shared" si="19"/>
        <v>338.40743005659834</v>
      </c>
      <c r="N47" s="47">
        <f t="shared" si="19"/>
        <v>300.61146066149036</v>
      </c>
      <c r="O47" s="47">
        <f t="shared" si="19"/>
        <v>245.93079109153314</v>
      </c>
      <c r="P47" s="47">
        <f t="shared" si="19"/>
        <v>305.68703205268457</v>
      </c>
      <c r="Q47" s="47">
        <f t="shared" si="19"/>
        <v>278.96957476551648</v>
      </c>
      <c r="R47" s="47">
        <f t="shared" si="19"/>
        <v>276.79970424987403</v>
      </c>
      <c r="S47" s="47">
        <f t="shared" si="19"/>
        <v>261.62800312257582</v>
      </c>
      <c r="T47" s="47">
        <f t="shared" si="19"/>
        <v>191.21552049664336</v>
      </c>
      <c r="U47" s="47">
        <f t="shared" si="19"/>
        <v>187.80402486960017</v>
      </c>
      <c r="V47" s="47">
        <f t="shared" si="19"/>
        <v>153.62916214326961</v>
      </c>
      <c r="W47" s="47">
        <f t="shared" si="19"/>
        <v>149.67416504049083</v>
      </c>
      <c r="X47" s="47">
        <f t="shared" si="19"/>
        <v>145.54707180767738</v>
      </c>
      <c r="Y47" s="47">
        <f t="shared" si="19"/>
        <v>141.82235964217892</v>
      </c>
      <c r="Z47" s="47">
        <f t="shared" si="19"/>
        <v>138.1569971056305</v>
      </c>
      <c r="AA47" s="47">
        <f t="shared" si="19"/>
        <v>135.05813841085086</v>
      </c>
      <c r="AB47" s="47">
        <f t="shared" si="19"/>
        <v>131.97666403006684</v>
      </c>
      <c r="AC47" s="47">
        <f t="shared" si="19"/>
        <v>126.42146626712174</v>
      </c>
      <c r="AD47" s="47">
        <f t="shared" si="19"/>
        <v>123.28455085700429</v>
      </c>
      <c r="AE47" s="47">
        <f t="shared" si="19"/>
        <v>120.07842442939538</v>
      </c>
      <c r="AF47" s="47">
        <f t="shared" si="19"/>
        <v>117.39639403118613</v>
      </c>
      <c r="AG47" s="47">
        <f t="shared" si="19"/>
        <v>115.64048626692704</v>
      </c>
      <c r="AH47" s="47">
        <f t="shared" si="19"/>
        <v>112.42527298066466</v>
      </c>
      <c r="AI47" s="47">
        <f t="shared" si="19"/>
        <v>110.22346211763224</v>
      </c>
      <c r="AJ47" s="47">
        <f t="shared" si="19"/>
        <v>108.30227387785848</v>
      </c>
      <c r="AK47" s="47">
        <f t="shared" si="19"/>
        <v>106.10983141502989</v>
      </c>
      <c r="AL47" s="47">
        <f t="shared" si="19"/>
        <v>103.9503221083877</v>
      </c>
      <c r="AM47" s="47">
        <f t="shared" si="19"/>
        <v>102.35801444106768</v>
      </c>
    </row>
    <row r="48" spans="1:39">
      <c r="A48" s="31" t="s">
        <v>139</v>
      </c>
      <c r="B48" s="37"/>
      <c r="C48" s="43">
        <f t="shared" ref="C48:C54" si="20">+C17</f>
        <v>15</v>
      </c>
      <c r="D48" s="45"/>
      <c r="E48" s="47">
        <f t="shared" ref="E48:T51" si="21">+E41/$C48</f>
        <v>189.1170193435951</v>
      </c>
      <c r="F48" s="47">
        <f t="shared" si="21"/>
        <v>196.50490686794402</v>
      </c>
      <c r="G48" s="47">
        <f t="shared" si="21"/>
        <v>213.24491549058874</v>
      </c>
      <c r="H48" s="47">
        <f t="shared" si="21"/>
        <v>213.20837880591938</v>
      </c>
      <c r="I48" s="47">
        <f t="shared" si="21"/>
        <v>160.16429773566614</v>
      </c>
      <c r="J48" s="47">
        <f t="shared" si="21"/>
        <v>190.45109816459174</v>
      </c>
      <c r="K48" s="47">
        <f t="shared" si="21"/>
        <v>243.27936347809793</v>
      </c>
      <c r="L48" s="47">
        <f t="shared" si="21"/>
        <v>303.46224030623773</v>
      </c>
      <c r="M48" s="47">
        <f t="shared" si="21"/>
        <v>298.82737196947636</v>
      </c>
      <c r="N48" s="47">
        <f t="shared" si="21"/>
        <v>439.73979034359957</v>
      </c>
      <c r="O48" s="47">
        <f t="shared" si="21"/>
        <v>413.64804705355886</v>
      </c>
      <c r="P48" s="47">
        <f t="shared" si="21"/>
        <v>328.01910393974816</v>
      </c>
      <c r="Q48" s="47">
        <f t="shared" si="21"/>
        <v>347.90301573921596</v>
      </c>
      <c r="R48" s="47">
        <f t="shared" si="21"/>
        <v>370.86151459922348</v>
      </c>
      <c r="S48" s="47">
        <f t="shared" si="21"/>
        <v>348.13986628850785</v>
      </c>
      <c r="T48" s="47">
        <f t="shared" si="21"/>
        <v>323.40394999472733</v>
      </c>
      <c r="U48" s="47">
        <f t="shared" si="19"/>
        <v>306.57042570918094</v>
      </c>
      <c r="V48" s="47">
        <f t="shared" si="19"/>
        <v>286.06138435176751</v>
      </c>
      <c r="W48" s="47">
        <f t="shared" si="19"/>
        <v>286.13719522549803</v>
      </c>
      <c r="X48" s="47">
        <f t="shared" si="19"/>
        <v>328.66437678677818</v>
      </c>
      <c r="Y48" s="47">
        <f t="shared" si="19"/>
        <v>343.00221513537178</v>
      </c>
      <c r="Z48" s="47">
        <f t="shared" si="19"/>
        <v>369.82435134449679</v>
      </c>
      <c r="AA48" s="47">
        <f t="shared" si="19"/>
        <v>346.74008571152484</v>
      </c>
      <c r="AB48" s="47">
        <f t="shared" si="19"/>
        <v>339.49793601725236</v>
      </c>
      <c r="AC48" s="47">
        <f t="shared" si="19"/>
        <v>324.43317740821527</v>
      </c>
      <c r="AD48" s="47">
        <f t="shared" si="19"/>
        <v>357.42846186531932</v>
      </c>
      <c r="AE48" s="47">
        <f t="shared" si="19"/>
        <v>414.45180134657431</v>
      </c>
      <c r="AF48" s="47">
        <f t="shared" si="19"/>
        <v>422.84646376005031</v>
      </c>
      <c r="AG48" s="47">
        <f t="shared" si="19"/>
        <v>333.18486974277039</v>
      </c>
      <c r="AH48" s="47">
        <f t="shared" si="19"/>
        <v>434.11762766735319</v>
      </c>
      <c r="AI48" s="47">
        <f t="shared" si="19"/>
        <v>425.15485153844253</v>
      </c>
      <c r="AJ48" s="47">
        <f t="shared" si="19"/>
        <v>394.57903986694885</v>
      </c>
      <c r="AK48" s="47">
        <f t="shared" si="19"/>
        <v>408.76006027657928</v>
      </c>
      <c r="AL48" s="47">
        <f t="shared" si="19"/>
        <v>430.27393223452606</v>
      </c>
      <c r="AM48" s="47">
        <f t="shared" si="19"/>
        <v>406.84170896592536</v>
      </c>
    </row>
    <row r="49" spans="1:39">
      <c r="A49" s="31" t="s">
        <v>140</v>
      </c>
      <c r="B49" s="37"/>
      <c r="C49" s="43">
        <f t="shared" si="20"/>
        <v>5</v>
      </c>
      <c r="D49" s="45"/>
      <c r="E49" s="47">
        <f t="shared" si="21"/>
        <v>0</v>
      </c>
      <c r="F49" s="47">
        <f t="shared" si="19"/>
        <v>0</v>
      </c>
      <c r="G49" s="47">
        <f t="shared" si="19"/>
        <v>0</v>
      </c>
      <c r="H49" s="47">
        <f t="shared" si="19"/>
        <v>0</v>
      </c>
      <c r="I49" s="47">
        <f t="shared" si="19"/>
        <v>0</v>
      </c>
      <c r="J49" s="47">
        <f t="shared" si="19"/>
        <v>28.895441428578398</v>
      </c>
      <c r="K49" s="47">
        <f t="shared" si="19"/>
        <v>51.34909193194585</v>
      </c>
      <c r="L49" s="47">
        <f t="shared" si="19"/>
        <v>48.19745664240309</v>
      </c>
      <c r="M49" s="47">
        <f t="shared" si="19"/>
        <v>34.840289998143646</v>
      </c>
      <c r="N49" s="47">
        <f t="shared" si="19"/>
        <v>55.349766935160481</v>
      </c>
      <c r="O49" s="47">
        <f t="shared" si="19"/>
        <v>54.988018690275773</v>
      </c>
      <c r="P49" s="47">
        <f t="shared" si="19"/>
        <v>91.118423207734651</v>
      </c>
      <c r="Q49" s="47">
        <f t="shared" si="19"/>
        <v>66.418096026165287</v>
      </c>
      <c r="R49" s="47">
        <f t="shared" si="19"/>
        <v>46.121109830241323</v>
      </c>
      <c r="S49" s="47">
        <f t="shared" si="19"/>
        <v>53.687637803284382</v>
      </c>
      <c r="T49" s="47">
        <f t="shared" si="19"/>
        <v>39.674033026533905</v>
      </c>
      <c r="U49" s="47">
        <f t="shared" si="19"/>
        <v>85.582769747473407</v>
      </c>
      <c r="V49" s="47">
        <f t="shared" si="19"/>
        <v>39.07215173731128</v>
      </c>
      <c r="W49" s="47">
        <f t="shared" si="19"/>
        <v>39.07215173731128</v>
      </c>
      <c r="X49" s="47">
        <f t="shared" si="19"/>
        <v>39.07215173731128</v>
      </c>
      <c r="Y49" s="47">
        <f t="shared" si="19"/>
        <v>39.07215173731128</v>
      </c>
      <c r="Z49" s="47">
        <f t="shared" si="19"/>
        <v>39.07215173731128</v>
      </c>
      <c r="AA49" s="47">
        <f t="shared" si="19"/>
        <v>39.07215173731128</v>
      </c>
      <c r="AB49" s="47">
        <f t="shared" si="19"/>
        <v>39.07215173731128</v>
      </c>
      <c r="AC49" s="47">
        <f t="shared" si="19"/>
        <v>39.07215173731128</v>
      </c>
      <c r="AD49" s="47">
        <f t="shared" si="19"/>
        <v>39.07215173731128</v>
      </c>
      <c r="AE49" s="47">
        <f t="shared" si="19"/>
        <v>39.07215173731128</v>
      </c>
      <c r="AF49" s="47">
        <f t="shared" si="19"/>
        <v>39.07215173731128</v>
      </c>
      <c r="AG49" s="47">
        <f t="shared" si="19"/>
        <v>39.07215173731128</v>
      </c>
      <c r="AH49" s="47">
        <f t="shared" si="19"/>
        <v>39.07215173731128</v>
      </c>
      <c r="AI49" s="47">
        <f t="shared" si="19"/>
        <v>39.07215173731128</v>
      </c>
      <c r="AJ49" s="47">
        <f t="shared" si="19"/>
        <v>39.07215173731128</v>
      </c>
      <c r="AK49" s="47">
        <f t="shared" si="19"/>
        <v>39.07215173731128</v>
      </c>
      <c r="AL49" s="47">
        <f t="shared" si="19"/>
        <v>39.07215173731128</v>
      </c>
      <c r="AM49" s="47">
        <f t="shared" si="19"/>
        <v>0</v>
      </c>
    </row>
    <row r="50" spans="1:39">
      <c r="A50" s="31" t="s">
        <v>141</v>
      </c>
      <c r="B50" s="37"/>
      <c r="C50" s="43">
        <f t="shared" si="20"/>
        <v>35</v>
      </c>
      <c r="D50" s="45"/>
      <c r="E50" s="47">
        <f t="shared" si="21"/>
        <v>193.46707685158268</v>
      </c>
      <c r="F50" s="47">
        <f t="shared" si="19"/>
        <v>215.40645693623006</v>
      </c>
      <c r="G50" s="47">
        <f t="shared" si="19"/>
        <v>245.37874435744939</v>
      </c>
      <c r="H50" s="47">
        <f t="shared" si="19"/>
        <v>203.45215754243577</v>
      </c>
      <c r="I50" s="47">
        <f t="shared" si="19"/>
        <v>183.44279116511103</v>
      </c>
      <c r="J50" s="47">
        <f t="shared" si="19"/>
        <v>0</v>
      </c>
      <c r="K50" s="47">
        <f t="shared" si="19"/>
        <v>0</v>
      </c>
      <c r="L50" s="47">
        <f t="shared" si="19"/>
        <v>0</v>
      </c>
      <c r="M50" s="47">
        <f t="shared" si="19"/>
        <v>0</v>
      </c>
      <c r="N50" s="47">
        <f t="shared" si="19"/>
        <v>0</v>
      </c>
      <c r="O50" s="47">
        <f t="shared" si="19"/>
        <v>0</v>
      </c>
      <c r="P50" s="47">
        <f t="shared" si="19"/>
        <v>0</v>
      </c>
      <c r="Q50" s="47">
        <f t="shared" si="19"/>
        <v>0</v>
      </c>
      <c r="R50" s="47">
        <f t="shared" si="19"/>
        <v>0</v>
      </c>
      <c r="S50" s="47">
        <f t="shared" si="19"/>
        <v>0</v>
      </c>
      <c r="T50" s="47">
        <f t="shared" si="19"/>
        <v>0</v>
      </c>
      <c r="U50" s="47">
        <f t="shared" si="19"/>
        <v>0</v>
      </c>
      <c r="V50" s="47">
        <f t="shared" si="19"/>
        <v>0</v>
      </c>
      <c r="W50" s="47">
        <f t="shared" si="19"/>
        <v>0</v>
      </c>
      <c r="X50" s="47">
        <f t="shared" si="19"/>
        <v>0</v>
      </c>
      <c r="Y50" s="47">
        <f t="shared" si="19"/>
        <v>0</v>
      </c>
      <c r="Z50" s="47">
        <f t="shared" si="19"/>
        <v>0</v>
      </c>
      <c r="AA50" s="47">
        <f t="shared" si="19"/>
        <v>0</v>
      </c>
      <c r="AB50" s="47">
        <f t="shared" si="19"/>
        <v>0</v>
      </c>
      <c r="AC50" s="47">
        <f t="shared" si="19"/>
        <v>0</v>
      </c>
      <c r="AD50" s="47">
        <f t="shared" si="19"/>
        <v>0</v>
      </c>
      <c r="AE50" s="47">
        <f t="shared" si="19"/>
        <v>0</v>
      </c>
      <c r="AF50" s="47">
        <f t="shared" si="19"/>
        <v>0</v>
      </c>
      <c r="AG50" s="47">
        <f t="shared" si="19"/>
        <v>0</v>
      </c>
      <c r="AH50" s="47">
        <f t="shared" si="19"/>
        <v>0</v>
      </c>
      <c r="AI50" s="47">
        <f t="shared" si="19"/>
        <v>0</v>
      </c>
      <c r="AJ50" s="47">
        <f t="shared" si="19"/>
        <v>0</v>
      </c>
      <c r="AK50" s="47">
        <f t="shared" si="19"/>
        <v>0</v>
      </c>
      <c r="AL50" s="47">
        <f t="shared" si="19"/>
        <v>0</v>
      </c>
      <c r="AM50" s="47">
        <f t="shared" si="19"/>
        <v>0</v>
      </c>
    </row>
    <row r="51" spans="1:39">
      <c r="A51" s="31" t="s">
        <v>142</v>
      </c>
      <c r="B51" s="37"/>
      <c r="C51" s="43">
        <f t="shared" si="20"/>
        <v>40</v>
      </c>
      <c r="D51" s="45"/>
      <c r="E51" s="47">
        <f t="shared" si="21"/>
        <v>86.654936863200646</v>
      </c>
      <c r="F51" s="47">
        <f t="shared" si="19"/>
        <v>82.464875211142825</v>
      </c>
      <c r="G51" s="47">
        <f t="shared" si="19"/>
        <v>0</v>
      </c>
      <c r="H51" s="47">
        <f t="shared" si="19"/>
        <v>2.8227525620640259</v>
      </c>
      <c r="I51" s="47">
        <f t="shared" si="19"/>
        <v>0</v>
      </c>
      <c r="J51" s="47">
        <f t="shared" si="19"/>
        <v>0</v>
      </c>
      <c r="K51" s="47">
        <f t="shared" si="19"/>
        <v>0</v>
      </c>
      <c r="L51" s="47">
        <f t="shared" si="19"/>
        <v>0</v>
      </c>
      <c r="M51" s="47">
        <f t="shared" si="19"/>
        <v>0</v>
      </c>
      <c r="N51" s="47">
        <f t="shared" si="19"/>
        <v>0</v>
      </c>
      <c r="O51" s="47">
        <f t="shared" si="19"/>
        <v>0</v>
      </c>
      <c r="P51" s="47">
        <f t="shared" si="19"/>
        <v>30.955714098076307</v>
      </c>
      <c r="Q51" s="47">
        <f t="shared" si="19"/>
        <v>27.654136993435678</v>
      </c>
      <c r="R51" s="47">
        <f t="shared" si="19"/>
        <v>28.018726591655632</v>
      </c>
      <c r="S51" s="47">
        <f t="shared" si="19"/>
        <v>26.447238516808106</v>
      </c>
      <c r="T51" s="47">
        <f t="shared" si="19"/>
        <v>19.20696601605075</v>
      </c>
      <c r="U51" s="47">
        <f t="shared" si="19"/>
        <v>18.856423594506758</v>
      </c>
      <c r="V51" s="47">
        <f t="shared" si="19"/>
        <v>15.375488060085052</v>
      </c>
      <c r="W51" s="47">
        <f t="shared" si="19"/>
        <v>14.970249146303278</v>
      </c>
      <c r="X51" s="47">
        <f t="shared" si="19"/>
        <v>14.583245983641689</v>
      </c>
      <c r="Y51" s="47">
        <f t="shared" si="19"/>
        <v>14.213657963299866</v>
      </c>
      <c r="Z51" s="47">
        <f t="shared" si="19"/>
        <v>13.86070140387343</v>
      </c>
      <c r="AA51" s="47">
        <f t="shared" si="19"/>
        <v>13.523627889621178</v>
      </c>
      <c r="AB51" s="47">
        <f t="shared" si="19"/>
        <v>13.201722683510283</v>
      </c>
      <c r="AC51" s="47">
        <f t="shared" si="19"/>
        <v>12.619703310294231</v>
      </c>
      <c r="AD51" s="47">
        <f t="shared" si="19"/>
        <v>12.326117714690941</v>
      </c>
      <c r="AE51" s="47">
        <f t="shared" si="19"/>
        <v>12.045743470889795</v>
      </c>
      <c r="AF51" s="47">
        <f t="shared" si="19"/>
        <v>11.777986068059706</v>
      </c>
      <c r="AG51" s="47">
        <f t="shared" si="19"/>
        <v>11.522277748356965</v>
      </c>
      <c r="AH51" s="47">
        <f t="shared" si="19"/>
        <v>11.27807630304085</v>
      </c>
      <c r="AI51" s="47">
        <f t="shared" si="19"/>
        <v>11.044863922763959</v>
      </c>
      <c r="AJ51" s="47">
        <f t="shared" si="19"/>
        <v>10.822146099599527</v>
      </c>
      <c r="AK51" s="47">
        <f t="shared" si="19"/>
        <v>10.6094505784775</v>
      </c>
      <c r="AL51" s="47">
        <f t="shared" si="19"/>
        <v>10.406326355805962</v>
      </c>
      <c r="AM51" s="47">
        <f t="shared" si="19"/>
        <v>10.212342723154643</v>
      </c>
    </row>
    <row r="52" spans="1:39">
      <c r="A52" s="29"/>
      <c r="B52" s="37"/>
      <c r="C52" s="43"/>
      <c r="D52" s="46"/>
      <c r="E52" s="116">
        <f t="shared" ref="E52:O52" si="22">SUM(E47:E51)</f>
        <v>536.05985466744016</v>
      </c>
      <c r="F52" s="116">
        <f t="shared" si="22"/>
        <v>563.39799198641128</v>
      </c>
      <c r="G52" s="116">
        <f t="shared" si="22"/>
        <v>546.85804654309311</v>
      </c>
      <c r="H52" s="116">
        <f t="shared" si="22"/>
        <v>475.69452003439216</v>
      </c>
      <c r="I52" s="116">
        <f t="shared" si="22"/>
        <v>413.98225719294464</v>
      </c>
      <c r="J52" s="116">
        <f t="shared" si="22"/>
        <v>436.30567766549598</v>
      </c>
      <c r="K52" s="116">
        <f t="shared" si="22"/>
        <v>635.43130382848642</v>
      </c>
      <c r="L52" s="116">
        <f t="shared" si="22"/>
        <v>722.78347703954273</v>
      </c>
      <c r="M52" s="116">
        <f t="shared" si="22"/>
        <v>672.07509202421829</v>
      </c>
      <c r="N52" s="116">
        <f t="shared" si="22"/>
        <v>795.70101794025038</v>
      </c>
      <c r="O52" s="116">
        <f t="shared" si="22"/>
        <v>714.56685683536784</v>
      </c>
      <c r="P52" s="116">
        <f t="shared" ref="P52:AM52" si="23">SUM(P47:P51)</f>
        <v>755.78027329824374</v>
      </c>
      <c r="Q52" s="116">
        <f t="shared" si="23"/>
        <v>720.9448235243334</v>
      </c>
      <c r="R52" s="116">
        <f t="shared" si="23"/>
        <v>721.80105527099454</v>
      </c>
      <c r="S52" s="116">
        <f t="shared" si="23"/>
        <v>689.90274573117608</v>
      </c>
      <c r="T52" s="116">
        <f t="shared" si="23"/>
        <v>573.50046953395542</v>
      </c>
      <c r="U52" s="116">
        <f t="shared" si="23"/>
        <v>598.81364392076125</v>
      </c>
      <c r="V52" s="116">
        <f t="shared" si="23"/>
        <v>494.13818629243343</v>
      </c>
      <c r="W52" s="116">
        <f t="shared" si="23"/>
        <v>489.85376114960343</v>
      </c>
      <c r="X52" s="116">
        <f t="shared" si="23"/>
        <v>527.86684631540857</v>
      </c>
      <c r="Y52" s="116">
        <f t="shared" si="23"/>
        <v>538.11038447816179</v>
      </c>
      <c r="Z52" s="116">
        <f t="shared" si="23"/>
        <v>560.91420159131201</v>
      </c>
      <c r="AA52" s="116">
        <f t="shared" si="23"/>
        <v>534.39400374930813</v>
      </c>
      <c r="AB52" s="116">
        <f t="shared" si="23"/>
        <v>523.74847446814078</v>
      </c>
      <c r="AC52" s="116">
        <f t="shared" si="23"/>
        <v>502.54649872294254</v>
      </c>
      <c r="AD52" s="116">
        <f t="shared" si="23"/>
        <v>532.11128217432577</v>
      </c>
      <c r="AE52" s="116">
        <f t="shared" si="23"/>
        <v>585.64812098417076</v>
      </c>
      <c r="AF52" s="116">
        <f t="shared" si="23"/>
        <v>591.09299559660747</v>
      </c>
      <c r="AG52" s="116">
        <f t="shared" si="23"/>
        <v>499.41978549536566</v>
      </c>
      <c r="AH52" s="116">
        <f t="shared" si="23"/>
        <v>596.89312868836998</v>
      </c>
      <c r="AI52" s="116">
        <f t="shared" si="23"/>
        <v>585.49532931614999</v>
      </c>
      <c r="AJ52" s="116">
        <f t="shared" si="23"/>
        <v>552.77561158171818</v>
      </c>
      <c r="AK52" s="116">
        <f t="shared" si="23"/>
        <v>564.55149400739799</v>
      </c>
      <c r="AL52" s="116">
        <f t="shared" si="23"/>
        <v>583.70273243603106</v>
      </c>
      <c r="AM52" s="116">
        <f t="shared" si="23"/>
        <v>519.41206613014765</v>
      </c>
    </row>
    <row r="53" spans="1:39">
      <c r="A53" s="39"/>
      <c r="B53" s="37"/>
      <c r="C53" s="43"/>
      <c r="D53" s="45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spans="1:39">
      <c r="A54" s="29" t="s">
        <v>148</v>
      </c>
      <c r="B54" s="37"/>
      <c r="C54" s="43">
        <f t="shared" si="20"/>
        <v>34</v>
      </c>
      <c r="D54" s="45"/>
      <c r="E54" s="45">
        <f>+$E36/$C54</f>
        <v>14513.685078708555</v>
      </c>
      <c r="F54" s="45">
        <f t="shared" ref="F54:AL54" si="24">+$E36/$C54</f>
        <v>14513.685078708555</v>
      </c>
      <c r="G54" s="45">
        <f t="shared" si="24"/>
        <v>14513.685078708555</v>
      </c>
      <c r="H54" s="45">
        <f t="shared" si="24"/>
        <v>14513.685078708555</v>
      </c>
      <c r="I54" s="45">
        <f t="shared" si="24"/>
        <v>14513.685078708555</v>
      </c>
      <c r="J54" s="45">
        <f t="shared" si="24"/>
        <v>14513.685078708555</v>
      </c>
      <c r="K54" s="45">
        <f t="shared" si="24"/>
        <v>14513.685078708555</v>
      </c>
      <c r="L54" s="45">
        <f t="shared" si="24"/>
        <v>14513.685078708555</v>
      </c>
      <c r="M54" s="45">
        <f t="shared" si="24"/>
        <v>14513.685078708555</v>
      </c>
      <c r="N54" s="45">
        <f t="shared" si="24"/>
        <v>14513.685078708555</v>
      </c>
      <c r="O54" s="45">
        <f t="shared" si="24"/>
        <v>14513.685078708555</v>
      </c>
      <c r="P54" s="45">
        <f t="shared" si="24"/>
        <v>14513.685078708555</v>
      </c>
      <c r="Q54" s="45">
        <f t="shared" si="24"/>
        <v>14513.685078708555</v>
      </c>
      <c r="R54" s="45">
        <f t="shared" si="24"/>
        <v>14513.685078708555</v>
      </c>
      <c r="S54" s="45">
        <f t="shared" si="24"/>
        <v>14513.685078708555</v>
      </c>
      <c r="T54" s="45">
        <f t="shared" si="24"/>
        <v>14513.685078708555</v>
      </c>
      <c r="U54" s="45">
        <f t="shared" si="24"/>
        <v>14513.685078708555</v>
      </c>
      <c r="V54" s="45">
        <f t="shared" si="24"/>
        <v>14513.685078708555</v>
      </c>
      <c r="W54" s="45">
        <f t="shared" si="24"/>
        <v>14513.685078708555</v>
      </c>
      <c r="X54" s="45">
        <f t="shared" si="24"/>
        <v>14513.685078708555</v>
      </c>
      <c r="Y54" s="45">
        <f t="shared" si="24"/>
        <v>14513.685078708555</v>
      </c>
      <c r="Z54" s="45">
        <f t="shared" si="24"/>
        <v>14513.685078708555</v>
      </c>
      <c r="AA54" s="45">
        <f t="shared" si="24"/>
        <v>14513.685078708555</v>
      </c>
      <c r="AB54" s="45">
        <f t="shared" si="24"/>
        <v>14513.685078708555</v>
      </c>
      <c r="AC54" s="45">
        <f t="shared" si="24"/>
        <v>14513.685078708555</v>
      </c>
      <c r="AD54" s="45">
        <f t="shared" si="24"/>
        <v>14513.685078708555</v>
      </c>
      <c r="AE54" s="45">
        <f t="shared" si="24"/>
        <v>14513.685078708555</v>
      </c>
      <c r="AF54" s="45">
        <f t="shared" si="24"/>
        <v>14513.685078708555</v>
      </c>
      <c r="AG54" s="45">
        <f t="shared" si="24"/>
        <v>14513.685078708555</v>
      </c>
      <c r="AH54" s="45">
        <f t="shared" si="24"/>
        <v>14513.685078708555</v>
      </c>
      <c r="AI54" s="45">
        <f t="shared" si="24"/>
        <v>14513.685078708555</v>
      </c>
      <c r="AJ54" s="45">
        <f t="shared" si="24"/>
        <v>14513.685078708555</v>
      </c>
      <c r="AK54" s="45">
        <f t="shared" si="24"/>
        <v>14513.685078708555</v>
      </c>
      <c r="AL54" s="45">
        <f t="shared" si="24"/>
        <v>14513.685078708555</v>
      </c>
      <c r="AM54" s="45"/>
    </row>
    <row r="55" spans="1:39">
      <c r="A55" s="29" t="s">
        <v>149</v>
      </c>
      <c r="B55" s="37"/>
      <c r="C55" s="37"/>
      <c r="D55" s="45"/>
      <c r="E55" s="97">
        <f>+'DAV Inputs'!E76</f>
        <v>0</v>
      </c>
      <c r="F55" s="97">
        <f>+'DAV Inputs'!F76</f>
        <v>0</v>
      </c>
      <c r="G55" s="97">
        <f>+'DAV Inputs'!G76</f>
        <v>19.343201336577074</v>
      </c>
      <c r="H55" s="97">
        <f>+'DAV Inputs'!H76</f>
        <v>49.113309298394739</v>
      </c>
      <c r="I55" s="97">
        <f>+'DAV Inputs'!I76</f>
        <v>68.157450626675953</v>
      </c>
      <c r="J55" s="97">
        <f>+'DAV Inputs'!J76</f>
        <v>68.157450626675953</v>
      </c>
      <c r="K55" s="97">
        <f>+'DAV Inputs'!K76</f>
        <v>68.157450626675953</v>
      </c>
      <c r="L55" s="97">
        <f>+'DAV Inputs'!L76</f>
        <v>77.129404853437535</v>
      </c>
      <c r="M55" s="97">
        <f>+'DAV Inputs'!M76</f>
        <v>77.129404853437535</v>
      </c>
      <c r="N55" s="97">
        <f>+'DAV Inputs'!N76</f>
        <v>93.065139834948837</v>
      </c>
      <c r="O55" s="97">
        <f>+'DAV Inputs'!O76</f>
        <v>93.065139834948837</v>
      </c>
      <c r="P55" s="97">
        <f>+'DAV Inputs'!P76</f>
        <v>93.065139834948837</v>
      </c>
      <c r="Q55" s="97">
        <f>+'DAV Inputs'!Q76</f>
        <v>93.065139834948837</v>
      </c>
      <c r="R55" s="97">
        <f>+'DAV Inputs'!R76</f>
        <v>93.065139834948837</v>
      </c>
      <c r="S55" s="97">
        <f>+'DAV Inputs'!S76</f>
        <v>116.60290007463419</v>
      </c>
      <c r="T55" s="97">
        <f>+'DAV Inputs'!T76</f>
        <v>158.28206714373403</v>
      </c>
      <c r="U55" s="97">
        <f>+'DAV Inputs'!U76</f>
        <v>158.28206714373403</v>
      </c>
      <c r="V55" s="97">
        <f>+'DAV Inputs'!V76</f>
        <v>158.28206714373403</v>
      </c>
      <c r="W55" s="97">
        <f>+'DAV Inputs'!W76</f>
        <v>158.28206714373403</v>
      </c>
      <c r="X55" s="97">
        <f>+'DAV Inputs'!X76</f>
        <v>158.28206714373403</v>
      </c>
      <c r="Y55" s="97">
        <f>+'DAV Inputs'!Y76</f>
        <v>158.28206714373403</v>
      </c>
      <c r="Z55" s="97">
        <f>+'DAV Inputs'!Z76</f>
        <v>158.28206714373403</v>
      </c>
      <c r="AA55" s="97">
        <f>+'DAV Inputs'!AA76</f>
        <v>149.31011291697243</v>
      </c>
      <c r="AB55" s="97">
        <f>+'DAV Inputs'!AB76</f>
        <v>149.31011291697243</v>
      </c>
      <c r="AC55" s="97">
        <f>+'DAV Inputs'!AC76</f>
        <v>149.31011291697243</v>
      </c>
      <c r="AD55" s="97">
        <f>+'DAV Inputs'!AD76</f>
        <v>149.31011291697243</v>
      </c>
      <c r="AE55" s="97">
        <f>+'DAV Inputs'!AE76</f>
        <v>110.92277025211416</v>
      </c>
      <c r="AF55" s="97">
        <f>+'DAV Inputs'!AF76</f>
        <v>110.92277025211416</v>
      </c>
      <c r="AG55" s="97">
        <f>+'DAV Inputs'!AG76</f>
        <v>81.152662290296504</v>
      </c>
      <c r="AH55" s="97">
        <f>+'DAV Inputs'!AH76</f>
        <v>81.152662290296504</v>
      </c>
      <c r="AI55" s="97">
        <f>+'DAV Inputs'!AI76</f>
        <v>81.152662290296504</v>
      </c>
      <c r="AJ55" s="97">
        <f>+'DAV Inputs'!AJ76</f>
        <v>65.216927308785188</v>
      </c>
      <c r="AK55" s="97">
        <f>+'DAV Inputs'!AK76</f>
        <v>65.216927308785188</v>
      </c>
      <c r="AL55" s="97">
        <f>+'DAV Inputs'!AL76</f>
        <v>65.216927308785188</v>
      </c>
      <c r="AM55" s="97">
        <f>+'DAV Inputs'!AM76</f>
        <v>65.216927308785188</v>
      </c>
    </row>
    <row r="56" spans="1:39">
      <c r="A56" s="31" t="s">
        <v>143</v>
      </c>
      <c r="B56" s="37"/>
      <c r="C56" s="37"/>
      <c r="D56" s="45"/>
      <c r="E56" s="97">
        <f>SUM($E$47:E$47)</f>
        <v>66.82082160906171</v>
      </c>
      <c r="F56" s="97">
        <f>SUM($E$47:F$47)</f>
        <v>135.84257458015605</v>
      </c>
      <c r="G56" s="97">
        <f>SUM($E$47:G$47)</f>
        <v>224.07696127521106</v>
      </c>
      <c r="H56" s="97">
        <f>SUM($E$47:H$47)</f>
        <v>280.28819239918403</v>
      </c>
      <c r="I56" s="97">
        <f>SUM($E$47:I$47)</f>
        <v>350.6633606913515</v>
      </c>
      <c r="J56" s="97">
        <f>SUM($E$47:J$47)</f>
        <v>567.6224987636773</v>
      </c>
      <c r="K56" s="97">
        <f>SUM($E$47:K$47)</f>
        <v>908.42534718211994</v>
      </c>
      <c r="L56" s="97">
        <f>SUM($E$47:L$47)</f>
        <v>1279.5491272730219</v>
      </c>
      <c r="M56" s="97">
        <f>SUM($E$47:M$47)</f>
        <v>1617.9565573296202</v>
      </c>
      <c r="N56" s="97">
        <f>SUM($E$47:N$47)</f>
        <v>1918.5680179911105</v>
      </c>
      <c r="O56" s="97">
        <f>SUM($E$47:O$47)</f>
        <v>2164.4988090826437</v>
      </c>
      <c r="P56" s="97">
        <f>SUM($E$47:P$47)</f>
        <v>2470.1858411353282</v>
      </c>
      <c r="Q56" s="97">
        <f>SUM($E$47:Q$47)</f>
        <v>2749.1554159008447</v>
      </c>
      <c r="R56" s="97">
        <f>SUM($E$47:R$47)</f>
        <v>3025.9551201507188</v>
      </c>
      <c r="S56" s="97">
        <f>SUM($E$47:S$47)</f>
        <v>3287.5831232732944</v>
      </c>
      <c r="T56" s="97">
        <f>SUM($E$47:T$47)</f>
        <v>3478.7986437699378</v>
      </c>
      <c r="U56" s="97">
        <f>SUM($E$47:U$47)</f>
        <v>3666.602668639538</v>
      </c>
      <c r="V56" s="97">
        <f>SUM($E$47:V$47)</f>
        <v>3820.2318307828077</v>
      </c>
      <c r="W56" s="97">
        <f>SUM($E$47:W$47)</f>
        <v>3969.9059958232983</v>
      </c>
      <c r="X56" s="97">
        <f>SUM($E$47:X$47)</f>
        <v>4115.453067630976</v>
      </c>
      <c r="Y56" s="97">
        <f>SUM($E$47:Y$47)</f>
        <v>4257.2754272731545</v>
      </c>
      <c r="Z56" s="97">
        <f>SUM($E$47:Z$47)</f>
        <v>4395.4324243787851</v>
      </c>
      <c r="AA56" s="97">
        <f>SUM($E$47:AA$47)</f>
        <v>4530.490562789636</v>
      </c>
      <c r="AB56" s="97">
        <f>SUM($E$47:AB$47)</f>
        <v>4662.4672268197028</v>
      </c>
      <c r="AC56" s="97">
        <f>SUM($E$47:AC$47)</f>
        <v>4788.8886930868248</v>
      </c>
      <c r="AD56" s="97">
        <f>SUM($E$47:AD$47)</f>
        <v>4912.1732439438292</v>
      </c>
      <c r="AE56" s="97">
        <f>SUM($E$47:AE$47)</f>
        <v>5032.2516683732247</v>
      </c>
      <c r="AF56" s="97">
        <f>SUM($E$47:AF$47)</f>
        <v>5149.6480624044107</v>
      </c>
      <c r="AG56" s="97">
        <f>SUM($E$47:AG$47)</f>
        <v>5265.2885486713376</v>
      </c>
      <c r="AH56" s="97">
        <f>SUM($E$47:AH$47)</f>
        <v>5377.7138216520025</v>
      </c>
      <c r="AI56" s="97">
        <f>SUM($E$47:AI$47)</f>
        <v>5487.9372837696346</v>
      </c>
      <c r="AJ56" s="97">
        <f>SUM($E$47:AJ$47)</f>
        <v>5596.2395576474928</v>
      </c>
      <c r="AK56" s="97">
        <f>SUM($E$47:AK$47)</f>
        <v>5702.3493890625223</v>
      </c>
      <c r="AL56" s="97">
        <f>SUM($E$47:AL$47)</f>
        <v>5806.2997111709101</v>
      </c>
      <c r="AM56" s="97">
        <f>SUM($E$47:AM$47)</f>
        <v>5908.6577256119781</v>
      </c>
    </row>
    <row r="57" spans="1:39">
      <c r="A57" s="31" t="s">
        <v>144</v>
      </c>
      <c r="B57" s="37"/>
      <c r="C57" s="37"/>
      <c r="D57" s="45"/>
      <c r="E57" s="97">
        <f>SUM($E$48:E$48)</f>
        <v>189.1170193435951</v>
      </c>
      <c r="F57" s="97">
        <f>SUM($E$48:F$48)</f>
        <v>385.62192621153912</v>
      </c>
      <c r="G57" s="97">
        <f>SUM($E$48:G$48)</f>
        <v>598.86684170212789</v>
      </c>
      <c r="H57" s="97">
        <f>SUM($E$48:H$48)</f>
        <v>812.07522050804732</v>
      </c>
      <c r="I57" s="97">
        <f>SUM($E$48:I$48)</f>
        <v>972.23951824371352</v>
      </c>
      <c r="J57" s="97">
        <f>SUM($E$48:J$48)</f>
        <v>1162.6906164083052</v>
      </c>
      <c r="K57" s="97">
        <f>SUM($E$48:K$48)</f>
        <v>1405.9699798864031</v>
      </c>
      <c r="L57" s="97">
        <f>SUM($E$48:L$48)</f>
        <v>1709.4322201926407</v>
      </c>
      <c r="M57" s="97">
        <f>SUM($E$48:M$48)</f>
        <v>2008.2595921621171</v>
      </c>
      <c r="N57" s="97">
        <f>SUM($E$48:N$48)</f>
        <v>2447.9993825057168</v>
      </c>
      <c r="O57" s="97">
        <f>SUM($E$48:O$48)</f>
        <v>2861.6474295592757</v>
      </c>
      <c r="P57" s="97">
        <f>SUM($E$48:P$48)</f>
        <v>3189.6665334990239</v>
      </c>
      <c r="Q57" s="97">
        <f>SUM($E$48:Q$48)</f>
        <v>3537.5695492382397</v>
      </c>
      <c r="R57" s="97">
        <f>SUM($E$48:R$48)</f>
        <v>3908.4310638374632</v>
      </c>
      <c r="S57" s="97">
        <f>SUM($E$48:S$48)</f>
        <v>4256.5709301259712</v>
      </c>
      <c r="T57" s="97">
        <f t="shared" ref="T57:AM57" si="25">SUM(F$48:T$48)</f>
        <v>4390.8578607771033</v>
      </c>
      <c r="U57" s="97">
        <f t="shared" si="25"/>
        <v>4500.9233796183407</v>
      </c>
      <c r="V57" s="97">
        <f t="shared" si="25"/>
        <v>4573.7398484795194</v>
      </c>
      <c r="W57" s="97">
        <f t="shared" si="25"/>
        <v>4646.6686648990981</v>
      </c>
      <c r="X57" s="97">
        <f t="shared" si="25"/>
        <v>4815.1687439502093</v>
      </c>
      <c r="Y57" s="97">
        <f t="shared" si="25"/>
        <v>4967.719860920989</v>
      </c>
      <c r="Z57" s="97">
        <f t="shared" si="25"/>
        <v>5094.2648487873894</v>
      </c>
      <c r="AA57" s="97">
        <f t="shared" si="25"/>
        <v>5137.5426941926762</v>
      </c>
      <c r="AB57" s="97">
        <f t="shared" si="25"/>
        <v>5178.2132582404511</v>
      </c>
      <c r="AC57" s="97">
        <f t="shared" si="25"/>
        <v>5062.9066453050673</v>
      </c>
      <c r="AD57" s="97">
        <f t="shared" si="25"/>
        <v>5006.6870601168275</v>
      </c>
      <c r="AE57" s="97">
        <f t="shared" si="25"/>
        <v>5093.1197575236538</v>
      </c>
      <c r="AF57" s="97">
        <f t="shared" si="25"/>
        <v>5168.0632055444876</v>
      </c>
      <c r="AG57" s="97">
        <f t="shared" si="25"/>
        <v>5130.3865606880345</v>
      </c>
      <c r="AH57" s="97">
        <f t="shared" si="25"/>
        <v>5216.36432206688</v>
      </c>
      <c r="AI57" s="97">
        <f t="shared" si="25"/>
        <v>5318.1152236105963</v>
      </c>
      <c r="AJ57" s="97">
        <f t="shared" si="25"/>
        <v>5406.123837768364</v>
      </c>
      <c r="AK57" s="97">
        <f t="shared" si="25"/>
        <v>5528.8225136931769</v>
      </c>
      <c r="AL57" s="97">
        <f t="shared" si="25"/>
        <v>5672.9592507022044</v>
      </c>
      <c r="AM57" s="97">
        <f t="shared" si="25"/>
        <v>5751.1365828813514</v>
      </c>
    </row>
    <row r="58" spans="1:39">
      <c r="A58" s="31" t="s">
        <v>145</v>
      </c>
      <c r="B58" s="37"/>
      <c r="C58" s="37"/>
      <c r="D58" s="45"/>
      <c r="E58" s="97"/>
      <c r="F58" s="97"/>
      <c r="G58" s="97"/>
      <c r="H58" s="97"/>
      <c r="I58" s="97"/>
      <c r="J58" s="97">
        <f t="shared" ref="J58:O58" si="26">SUM(F49:J49)</f>
        <v>28.895441428578398</v>
      </c>
      <c r="K58" s="97">
        <f t="shared" si="26"/>
        <v>80.244533360524244</v>
      </c>
      <c r="L58" s="97">
        <f t="shared" si="26"/>
        <v>128.44199000292733</v>
      </c>
      <c r="M58" s="97">
        <f t="shared" si="26"/>
        <v>163.28228000107097</v>
      </c>
      <c r="N58" s="97">
        <f t="shared" si="26"/>
        <v>218.63204693623146</v>
      </c>
      <c r="O58" s="97">
        <f t="shared" si="26"/>
        <v>244.72462419792885</v>
      </c>
      <c r="P58" s="97">
        <f t="shared" ref="P58:AM58" si="27">SUM(L49:P49)</f>
        <v>284.49395547371762</v>
      </c>
      <c r="Q58" s="97">
        <f t="shared" si="27"/>
        <v>302.71459485747982</v>
      </c>
      <c r="R58" s="97">
        <f t="shared" si="27"/>
        <v>313.9954146895775</v>
      </c>
      <c r="S58" s="97">
        <f t="shared" si="27"/>
        <v>312.3332855577014</v>
      </c>
      <c r="T58" s="97">
        <f t="shared" si="27"/>
        <v>297.0192998939595</v>
      </c>
      <c r="U58" s="97">
        <f t="shared" si="27"/>
        <v>291.48364643369825</v>
      </c>
      <c r="V58" s="97">
        <f t="shared" si="27"/>
        <v>264.1377021448443</v>
      </c>
      <c r="W58" s="97">
        <f t="shared" si="27"/>
        <v>257.08874405191426</v>
      </c>
      <c r="X58" s="97">
        <f t="shared" si="27"/>
        <v>242.47325798594116</v>
      </c>
      <c r="Y58" s="97">
        <f t="shared" si="27"/>
        <v>241.87137669671856</v>
      </c>
      <c r="Z58" s="97">
        <f t="shared" si="27"/>
        <v>195.36075868655641</v>
      </c>
      <c r="AA58" s="97">
        <f t="shared" si="27"/>
        <v>195.36075868655641</v>
      </c>
      <c r="AB58" s="97">
        <f t="shared" si="27"/>
        <v>195.36075868655641</v>
      </c>
      <c r="AC58" s="97">
        <f t="shared" si="27"/>
        <v>195.36075868655641</v>
      </c>
      <c r="AD58" s="97">
        <f t="shared" si="27"/>
        <v>195.36075868655641</v>
      </c>
      <c r="AE58" s="97">
        <f t="shared" si="27"/>
        <v>195.36075868655641</v>
      </c>
      <c r="AF58" s="97">
        <f t="shared" si="27"/>
        <v>195.36075868655641</v>
      </c>
      <c r="AG58" s="97">
        <f t="shared" si="27"/>
        <v>195.36075868655641</v>
      </c>
      <c r="AH58" s="97">
        <f t="shared" si="27"/>
        <v>195.36075868655641</v>
      </c>
      <c r="AI58" s="97">
        <f t="shared" si="27"/>
        <v>195.36075868655641</v>
      </c>
      <c r="AJ58" s="97">
        <f t="shared" si="27"/>
        <v>195.36075868655641</v>
      </c>
      <c r="AK58" s="97">
        <f t="shared" si="27"/>
        <v>195.36075868655641</v>
      </c>
      <c r="AL58" s="97">
        <f t="shared" si="27"/>
        <v>195.36075868655641</v>
      </c>
      <c r="AM58" s="97">
        <f t="shared" si="27"/>
        <v>156.28860694924512</v>
      </c>
    </row>
    <row r="59" spans="1:39">
      <c r="A59" s="31" t="s">
        <v>146</v>
      </c>
      <c r="B59" s="37"/>
      <c r="C59" s="37"/>
      <c r="D59" s="45"/>
      <c r="E59" s="97">
        <f>SUM($E$50:E$50)</f>
        <v>193.46707685158268</v>
      </c>
      <c r="F59" s="97">
        <f>SUM($E$50:F$50)</f>
        <v>408.87353378781273</v>
      </c>
      <c r="G59" s="97">
        <f>SUM($E$50:G$50)</f>
        <v>654.25227814526215</v>
      </c>
      <c r="H59" s="97">
        <f>SUM($E$50:H$50)</f>
        <v>857.70443568769792</v>
      </c>
      <c r="I59" s="97">
        <f>SUM($E$50:I$50)</f>
        <v>1041.1472268528089</v>
      </c>
      <c r="J59" s="97">
        <f>SUM($E$50:J$50)</f>
        <v>1041.1472268528089</v>
      </c>
      <c r="K59" s="97">
        <f>SUM($E$50:K$50)</f>
        <v>1041.1472268528089</v>
      </c>
      <c r="L59" s="97">
        <f>SUM($E$50:L$50)</f>
        <v>1041.1472268528089</v>
      </c>
      <c r="M59" s="97">
        <f>SUM($E$50:M$50)</f>
        <v>1041.1472268528089</v>
      </c>
      <c r="N59" s="97">
        <f>SUM($E$50:N$50)</f>
        <v>1041.1472268528089</v>
      </c>
      <c r="O59" s="97">
        <f>SUM($E$50:O$50)</f>
        <v>1041.1472268528089</v>
      </c>
      <c r="P59" s="97">
        <f>SUM($E$50:P$50)</f>
        <v>1041.1472268528089</v>
      </c>
      <c r="Q59" s="97">
        <f>SUM($E$50:Q$50)</f>
        <v>1041.1472268528089</v>
      </c>
      <c r="R59" s="97">
        <f>SUM($E$50:R$50)</f>
        <v>1041.1472268528089</v>
      </c>
      <c r="S59" s="97">
        <f>SUM($E$50:S$50)</f>
        <v>1041.1472268528089</v>
      </c>
      <c r="T59" s="97">
        <f>SUM(E$50:T$50)</f>
        <v>1041.1472268528089</v>
      </c>
      <c r="U59" s="97">
        <f>SUM(E$50:U$50)</f>
        <v>1041.1472268528089</v>
      </c>
      <c r="V59" s="97">
        <f>SUM(E$50:V$50)</f>
        <v>1041.1472268528089</v>
      </c>
      <c r="W59" s="97">
        <f>SUM(E$50:W$50)</f>
        <v>1041.1472268528089</v>
      </c>
      <c r="X59" s="97">
        <f>SUM(E$50:X$50)</f>
        <v>1041.1472268528089</v>
      </c>
      <c r="Y59" s="97">
        <f>SUM(E$50:Y$50)</f>
        <v>1041.1472268528089</v>
      </c>
      <c r="Z59" s="97">
        <f>SUM(E$50:Z$50)</f>
        <v>1041.1472268528089</v>
      </c>
      <c r="AA59" s="97">
        <f>SUM(E$50:AA$50)</f>
        <v>1041.1472268528089</v>
      </c>
      <c r="AB59" s="97">
        <f>SUM(E$50:AB$50)</f>
        <v>1041.1472268528089</v>
      </c>
      <c r="AC59" s="97">
        <f>SUM(E$50:AC$50)</f>
        <v>1041.1472268528089</v>
      </c>
      <c r="AD59" s="97">
        <f>SUM(E$50:AD$50)</f>
        <v>1041.1472268528089</v>
      </c>
      <c r="AE59" s="97">
        <f>SUM(E$50:AE$50)</f>
        <v>1041.1472268528089</v>
      </c>
      <c r="AF59" s="97">
        <f>SUM(E$50:AF$50)</f>
        <v>1041.1472268528089</v>
      </c>
      <c r="AG59" s="97">
        <f>SUM(E$50:AG$50)</f>
        <v>1041.1472268528089</v>
      </c>
      <c r="AH59" s="97">
        <f>SUM(E$50:AH$50)</f>
        <v>1041.1472268528089</v>
      </c>
      <c r="AI59" s="97">
        <f>SUM(E$50:AI$50)</f>
        <v>1041.1472268528089</v>
      </c>
      <c r="AJ59" s="97">
        <f>SUM(E$50:AJ$50)</f>
        <v>1041.1472268528089</v>
      </c>
      <c r="AK59" s="97">
        <f>SUM(E$50:AK$50)</f>
        <v>1041.1472268528089</v>
      </c>
      <c r="AL59" s="97">
        <f>SUM(E$50:AL$50)</f>
        <v>1041.1472268528089</v>
      </c>
      <c r="AM59" s="97">
        <f>SUM(E$50:AM$50)</f>
        <v>1041.1472268528089</v>
      </c>
    </row>
    <row r="60" spans="1:39">
      <c r="A60" s="31" t="s">
        <v>147</v>
      </c>
      <c r="B60" s="37"/>
      <c r="C60" s="37"/>
      <c r="D60" s="45"/>
      <c r="E60" s="97">
        <f>SUM($E$51:E$51)</f>
        <v>86.654936863200646</v>
      </c>
      <c r="F60" s="97">
        <f>SUM($E$51:F$51)</f>
        <v>169.11981207434349</v>
      </c>
      <c r="G60" s="97">
        <f>SUM($E$51:G$51)</f>
        <v>169.11981207434349</v>
      </c>
      <c r="H60" s="97">
        <f>SUM($E$51:H$51)</f>
        <v>171.94256463640752</v>
      </c>
      <c r="I60" s="97">
        <f>SUM($E$51:I$51)</f>
        <v>171.94256463640752</v>
      </c>
      <c r="J60" s="97">
        <f>SUM($E$51:J$51)</f>
        <v>171.94256463640752</v>
      </c>
      <c r="K60" s="97">
        <f>SUM($E$51:K$51)</f>
        <v>171.94256463640752</v>
      </c>
      <c r="L60" s="97">
        <f>SUM($E$51:L$51)</f>
        <v>171.94256463640752</v>
      </c>
      <c r="M60" s="97">
        <f>SUM($E$51:M$51)</f>
        <v>171.94256463640752</v>
      </c>
      <c r="N60" s="97">
        <f>SUM($E$51:N$51)</f>
        <v>171.94256463640752</v>
      </c>
      <c r="O60" s="97">
        <f>SUM($E$51:O$51)</f>
        <v>171.94256463640752</v>
      </c>
      <c r="P60" s="97">
        <f>SUM($E$51:P$51)</f>
        <v>202.89827873448382</v>
      </c>
      <c r="Q60" s="97">
        <f>SUM($E$51:Q$51)</f>
        <v>230.55241572791951</v>
      </c>
      <c r="R60" s="97">
        <f>SUM($E$51:R$51)</f>
        <v>258.57114231957513</v>
      </c>
      <c r="S60" s="97">
        <f>SUM($E$51:S$51)</f>
        <v>285.01838083638324</v>
      </c>
      <c r="T60" s="97">
        <f>SUM($E$51:T$51)</f>
        <v>304.22534685243397</v>
      </c>
      <c r="U60" s="97">
        <f>SUM($E$51:U$51)</f>
        <v>323.08177044694071</v>
      </c>
      <c r="V60" s="97">
        <f>SUM($E$51:V$51)</f>
        <v>338.45725850702576</v>
      </c>
      <c r="W60" s="97">
        <f>SUM($E$51:W$51)</f>
        <v>353.42750765332903</v>
      </c>
      <c r="X60" s="97">
        <f>SUM($E$51:X$51)</f>
        <v>368.01075363697072</v>
      </c>
      <c r="Y60" s="97">
        <f>SUM($E$51:Y$51)</f>
        <v>382.22441160027057</v>
      </c>
      <c r="Z60" s="97">
        <f>SUM($E$51:Z$51)</f>
        <v>396.08511300414398</v>
      </c>
      <c r="AA60" s="97">
        <f>SUM($E$51:AA$51)</f>
        <v>409.60874089376517</v>
      </c>
      <c r="AB60" s="97">
        <f>SUM($E$51:AB$51)</f>
        <v>422.81046357727547</v>
      </c>
      <c r="AC60" s="97">
        <f>SUM($E$51:AC$51)</f>
        <v>435.43016688756973</v>
      </c>
      <c r="AD60" s="97">
        <f>SUM($E$51:AD$51)</f>
        <v>447.75628460226068</v>
      </c>
      <c r="AE60" s="97">
        <f>SUM($E$51:AE$51)</f>
        <v>459.8020280731505</v>
      </c>
      <c r="AF60" s="97">
        <f>SUM($E$51:AF$51)</f>
        <v>471.5800141412102</v>
      </c>
      <c r="AG60" s="97">
        <f>SUM($E$51:AG$51)</f>
        <v>483.10229188956714</v>
      </c>
      <c r="AH60" s="97">
        <f>SUM($E$51:AH$51)</f>
        <v>494.38036819260799</v>
      </c>
      <c r="AI60" s="97">
        <f>SUM($E$51:AI$51)</f>
        <v>505.42523211537195</v>
      </c>
      <c r="AJ60" s="97">
        <f>SUM($E$51:AJ$51)</f>
        <v>516.24737821497149</v>
      </c>
      <c r="AK60" s="97">
        <f>SUM($E$51:AK$51)</f>
        <v>526.85682879344904</v>
      </c>
      <c r="AL60" s="97">
        <f>SUM($E$51:AL$51)</f>
        <v>537.263155149255</v>
      </c>
      <c r="AM60" s="97">
        <f>SUM($E$51:AM$51)</f>
        <v>547.47549787240962</v>
      </c>
    </row>
    <row r="61" spans="1:39">
      <c r="A61" s="29"/>
      <c r="B61" s="37"/>
      <c r="C61" s="37"/>
      <c r="D61" s="46"/>
      <c r="E61" s="116">
        <f t="shared" ref="E61:O61" si="28">SUM(E54:E60)</f>
        <v>15049.744933375996</v>
      </c>
      <c r="F61" s="116">
        <f t="shared" si="28"/>
        <v>15613.142925362406</v>
      </c>
      <c r="G61" s="116">
        <f t="shared" si="28"/>
        <v>16179.344173242076</v>
      </c>
      <c r="H61" s="116">
        <f t="shared" si="28"/>
        <v>16684.808801238287</v>
      </c>
      <c r="I61" s="116">
        <f t="shared" si="28"/>
        <v>17117.835199759513</v>
      </c>
      <c r="J61" s="116">
        <f t="shared" si="28"/>
        <v>17554.140877425009</v>
      </c>
      <c r="K61" s="116">
        <f t="shared" si="28"/>
        <v>18189.572181253494</v>
      </c>
      <c r="L61" s="116">
        <f t="shared" si="28"/>
        <v>18921.327612519799</v>
      </c>
      <c r="M61" s="116">
        <f t="shared" si="28"/>
        <v>19593.40270454402</v>
      </c>
      <c r="N61" s="116">
        <f t="shared" si="28"/>
        <v>20405.03945746578</v>
      </c>
      <c r="O61" s="116">
        <f t="shared" si="28"/>
        <v>21090.710872872569</v>
      </c>
      <c r="P61" s="116">
        <f t="shared" ref="P61:AM61" si="29">SUM(P54:P60)</f>
        <v>21795.142054238866</v>
      </c>
      <c r="Q61" s="116">
        <f t="shared" si="29"/>
        <v>22467.889421120795</v>
      </c>
      <c r="R61" s="116">
        <f t="shared" si="29"/>
        <v>23154.850186393647</v>
      </c>
      <c r="S61" s="116">
        <f t="shared" si="29"/>
        <v>23812.94092542935</v>
      </c>
      <c r="T61" s="116">
        <f t="shared" si="29"/>
        <v>24184.015523998529</v>
      </c>
      <c r="U61" s="116">
        <f t="shared" si="29"/>
        <v>24495.205837843616</v>
      </c>
      <c r="V61" s="116">
        <f t="shared" si="29"/>
        <v>24709.681012619294</v>
      </c>
      <c r="W61" s="116">
        <f t="shared" si="29"/>
        <v>24940.205285132739</v>
      </c>
      <c r="X61" s="116">
        <f t="shared" si="29"/>
        <v>25254.220195909198</v>
      </c>
      <c r="Y61" s="116">
        <f t="shared" si="29"/>
        <v>25562.20544919623</v>
      </c>
      <c r="Z61" s="116">
        <f t="shared" si="29"/>
        <v>25794.257517561971</v>
      </c>
      <c r="AA61" s="116">
        <f t="shared" si="29"/>
        <v>25977.145175040965</v>
      </c>
      <c r="AB61" s="116">
        <f t="shared" si="29"/>
        <v>26162.994125802321</v>
      </c>
      <c r="AC61" s="116">
        <f t="shared" si="29"/>
        <v>26186.728682444351</v>
      </c>
      <c r="AD61" s="116">
        <f t="shared" si="29"/>
        <v>26266.119765827807</v>
      </c>
      <c r="AE61" s="116">
        <f t="shared" si="29"/>
        <v>26446.289288470063</v>
      </c>
      <c r="AF61" s="116">
        <f t="shared" si="29"/>
        <v>26650.407116590141</v>
      </c>
      <c r="AG61" s="116">
        <f t="shared" si="29"/>
        <v>26710.123127787156</v>
      </c>
      <c r="AH61" s="116">
        <f t="shared" si="29"/>
        <v>26919.804238449702</v>
      </c>
      <c r="AI61" s="116">
        <f t="shared" si="29"/>
        <v>27142.823466033817</v>
      </c>
      <c r="AJ61" s="116">
        <f t="shared" si="29"/>
        <v>27334.020765187535</v>
      </c>
      <c r="AK61" s="116">
        <f t="shared" si="29"/>
        <v>27573.438723105854</v>
      </c>
      <c r="AL61" s="116">
        <f t="shared" si="29"/>
        <v>27831.932108579076</v>
      </c>
      <c r="AM61" s="116">
        <f t="shared" si="29"/>
        <v>13469.922567476578</v>
      </c>
    </row>
    <row r="62" spans="1:39">
      <c r="A62" s="39"/>
      <c r="B62" s="37"/>
      <c r="C62" s="37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spans="1:39">
      <c r="A63" s="29" t="s">
        <v>9</v>
      </c>
      <c r="B63" s="37"/>
      <c r="C63" s="37"/>
      <c r="D63" s="119">
        <f>+D32*Inputs!$M$31</f>
        <v>493465.29267609084</v>
      </c>
      <c r="E63" s="119">
        <f t="shared" ref="E63:O63" si="30">+E38+E45-E61</f>
        <v>494162.68106156471</v>
      </c>
      <c r="F63" s="119">
        <f t="shared" si="30"/>
        <v>495095.80285927904</v>
      </c>
      <c r="G63" s="119">
        <f t="shared" si="30"/>
        <v>494697.00077078654</v>
      </c>
      <c r="H63" s="119">
        <f t="shared" si="30"/>
        <v>491436.75521210924</v>
      </c>
      <c r="I63" s="119">
        <f t="shared" si="30"/>
        <v>486375.86001007253</v>
      </c>
      <c r="J63" s="119">
        <f t="shared" si="30"/>
        <v>480501.3283351523</v>
      </c>
      <c r="K63" s="119">
        <f t="shared" si="30"/>
        <v>479849.8060024677</v>
      </c>
      <c r="L63" s="119">
        <f t="shared" si="30"/>
        <v>480700.92979479098</v>
      </c>
      <c r="M63" s="119">
        <f t="shared" si="30"/>
        <v>479300.43632204377</v>
      </c>
      <c r="N63" s="119">
        <f t="shared" si="30"/>
        <v>478143.2871504607</v>
      </c>
      <c r="O63" s="119">
        <f t="shared" si="30"/>
        <v>473369.46872050426</v>
      </c>
      <c r="P63" s="119">
        <f t="shared" ref="P63:AM63" si="31">+P38+P45-P61</f>
        <v>470415.91518743068</v>
      </c>
      <c r="Q63" s="119">
        <f t="shared" si="31"/>
        <v>465763.60995288705</v>
      </c>
      <c r="R63" s="119">
        <f t="shared" si="31"/>
        <v>460595.02526829415</v>
      </c>
      <c r="S63" s="119">
        <f t="shared" si="31"/>
        <v>454619.45180017315</v>
      </c>
      <c r="T63" s="119">
        <f t="shared" si="31"/>
        <v>445527.25266743085</v>
      </c>
      <c r="U63" s="119">
        <f t="shared" si="31"/>
        <v>434324.93500252662</v>
      </c>
      <c r="V63" s="119">
        <f t="shared" si="31"/>
        <v>420861.72152200458</v>
      </c>
      <c r="W63" s="119">
        <f t="shared" si="31"/>
        <v>406994.7114914126</v>
      </c>
      <c r="X63" s="119">
        <f t="shared" si="31"/>
        <v>393271.03041764436</v>
      </c>
      <c r="Y63" s="119">
        <f t="shared" si="31"/>
        <v>379290.65965838445</v>
      </c>
      <c r="Z63" s="119">
        <f t="shared" si="31"/>
        <v>365319.83611005667</v>
      </c>
      <c r="AA63" s="119">
        <f t="shared" si="31"/>
        <v>350682.42363139399</v>
      </c>
      <c r="AB63" s="119">
        <f t="shared" si="31"/>
        <v>335614.39477308013</v>
      </c>
      <c r="AC63" s="119">
        <f t="shared" si="31"/>
        <v>320051.1712935422</v>
      </c>
      <c r="AD63" s="119">
        <f t="shared" si="31"/>
        <v>304766.26595724857</v>
      </c>
      <c r="AE63" s="119">
        <f t="shared" si="31"/>
        <v>290017.08116367512</v>
      </c>
      <c r="AF63" s="119">
        <f t="shared" si="31"/>
        <v>275071.70696614211</v>
      </c>
      <c r="AG63" s="119">
        <f t="shared" si="31"/>
        <v>258641.22820379445</v>
      </c>
      <c r="AH63" s="119">
        <f t="shared" si="31"/>
        <v>243376.68311038983</v>
      </c>
      <c r="AI63" s="119">
        <f t="shared" si="31"/>
        <v>227657.27621773505</v>
      </c>
      <c r="AJ63" s="119">
        <f t="shared" si="31"/>
        <v>211202.27860833661</v>
      </c>
      <c r="AK63" s="119">
        <f t="shared" si="31"/>
        <v>194624.37282780631</v>
      </c>
      <c r="AL63" s="119">
        <f t="shared" si="31"/>
        <v>178016.17639999941</v>
      </c>
      <c r="AM63" s="119">
        <f t="shared" si="31"/>
        <v>175151.69375358062</v>
      </c>
    </row>
    <row r="64" spans="1:39"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spans="2:2">
      <c r="B65" s="2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8" scale="77" fitToWidth="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AM94"/>
  <sheetViews>
    <sheetView zoomScaleNormal="100" workbookViewId="0">
      <pane xSplit="14" ySplit="1" topLeftCell="O17" activePane="bottomRight" state="frozen"/>
      <selection pane="topRight" activeCell="O1" sqref="O1"/>
      <selection pane="bottomLeft" activeCell="A2" sqref="A2"/>
      <selection pane="bottomRight" activeCell="A96" sqref="A96:XFD108"/>
    </sheetView>
  </sheetViews>
  <sheetFormatPr defaultColWidth="8" defaultRowHeight="13"/>
  <cols>
    <col min="1" max="1" width="38.6328125" style="13" bestFit="1" customWidth="1"/>
    <col min="2" max="2" width="4" style="35" hidden="1" customWidth="1"/>
    <col min="3" max="14" width="0.6328125" style="35" hidden="1" customWidth="1"/>
    <col min="15" max="15" width="24" style="35" bestFit="1" customWidth="1"/>
    <col min="16" max="25" width="7.36328125" style="35" bestFit="1" customWidth="1"/>
    <col min="26" max="39" width="7.6328125" style="35" bestFit="1" customWidth="1"/>
    <col min="40" max="16384" width="8" style="13"/>
  </cols>
  <sheetData>
    <row r="1" spans="1:39" s="66" customFormat="1">
      <c r="A1" s="66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>
        <f>+Inputs!O1</f>
        <v>2022</v>
      </c>
      <c r="P1" s="40">
        <f>+Inputs!P1</f>
        <v>2023</v>
      </c>
      <c r="Q1" s="40">
        <f>+Inputs!Q1</f>
        <v>2024</v>
      </c>
      <c r="R1" s="40">
        <f>+Inputs!R1</f>
        <v>2025</v>
      </c>
      <c r="S1" s="40">
        <f>+Inputs!S1</f>
        <v>2026</v>
      </c>
      <c r="T1" s="40">
        <f>+Inputs!T1</f>
        <v>2027</v>
      </c>
      <c r="U1" s="40">
        <f>+Inputs!U1</f>
        <v>2028</v>
      </c>
      <c r="V1" s="40">
        <f>+Inputs!V1</f>
        <v>2029</v>
      </c>
      <c r="W1" s="40">
        <f>+Inputs!W1</f>
        <v>2030</v>
      </c>
      <c r="X1" s="40">
        <f>+Inputs!X1</f>
        <v>2031</v>
      </c>
      <c r="Y1" s="40">
        <f>+Inputs!Y1</f>
        <v>2032</v>
      </c>
      <c r="Z1" s="40">
        <f>+Inputs!Z1</f>
        <v>2033</v>
      </c>
      <c r="AA1" s="40">
        <f>+Inputs!AA1</f>
        <v>2034</v>
      </c>
      <c r="AB1" s="40">
        <f>+Inputs!AB1</f>
        <v>2035</v>
      </c>
      <c r="AC1" s="40">
        <f>+Inputs!AC1</f>
        <v>2036</v>
      </c>
      <c r="AD1" s="40">
        <f>+Inputs!AD1</f>
        <v>2037</v>
      </c>
      <c r="AE1" s="40">
        <f>+Inputs!AE1</f>
        <v>2038</v>
      </c>
      <c r="AF1" s="40">
        <f>+Inputs!AF1</f>
        <v>2039</v>
      </c>
      <c r="AG1" s="40">
        <f>+Inputs!AG1</f>
        <v>2040</v>
      </c>
      <c r="AH1" s="40">
        <f>+Inputs!AH1</f>
        <v>2041</v>
      </c>
      <c r="AI1" s="40">
        <f>+Inputs!AI1</f>
        <v>2042</v>
      </c>
      <c r="AJ1" s="40">
        <f>+Inputs!AJ1</f>
        <v>2043</v>
      </c>
      <c r="AK1" s="40">
        <f>+Inputs!AK1</f>
        <v>2044</v>
      </c>
      <c r="AL1" s="40">
        <f>+Inputs!AL1</f>
        <v>2045</v>
      </c>
      <c r="AM1" s="40">
        <f>+Inputs!AM1</f>
        <v>2046</v>
      </c>
    </row>
    <row r="3" spans="1:39">
      <c r="A3" s="14" t="s">
        <v>10</v>
      </c>
      <c r="B3" s="15"/>
      <c r="C3" s="15"/>
      <c r="D3" s="86"/>
      <c r="E3" s="86"/>
      <c r="F3" s="86"/>
      <c r="G3" s="86"/>
      <c r="H3" s="86"/>
      <c r="I3" s="86"/>
      <c r="J3" s="86"/>
      <c r="K3" s="86"/>
      <c r="L3" s="86"/>
      <c r="M3" s="86"/>
      <c r="N3" s="74"/>
      <c r="O3" s="87"/>
      <c r="P3" s="87">
        <f>+Inputs!P5</f>
        <v>1.0563108641975303E-2</v>
      </c>
      <c r="Q3" s="87">
        <f>+Inputs!Q5</f>
        <v>4.0230658641975302E-2</v>
      </c>
      <c r="R3" s="87">
        <f>+Inputs!R5</f>
        <v>5.9636308641975305E-2</v>
      </c>
      <c r="S3" s="87">
        <f>+Inputs!S5</f>
        <v>5.3937758641975309E-2</v>
      </c>
      <c r="T3" s="87">
        <f>+Inputs!T5</f>
        <v>5.3937758641975309E-2</v>
      </c>
      <c r="U3" s="87">
        <f>+Inputs!U5</f>
        <v>5.3937758641975309E-2</v>
      </c>
      <c r="V3" s="87">
        <f t="shared" ref="V3:AM3" si="0">U3</f>
        <v>5.3937758641975309E-2</v>
      </c>
      <c r="W3" s="87">
        <f t="shared" si="0"/>
        <v>5.3937758641975309E-2</v>
      </c>
      <c r="X3" s="87">
        <f t="shared" si="0"/>
        <v>5.3937758641975309E-2</v>
      </c>
      <c r="Y3" s="87">
        <f t="shared" si="0"/>
        <v>5.3937758641975309E-2</v>
      </c>
      <c r="Z3" s="87">
        <f t="shared" si="0"/>
        <v>5.3937758641975309E-2</v>
      </c>
      <c r="AA3" s="87">
        <f t="shared" si="0"/>
        <v>5.3937758641975309E-2</v>
      </c>
      <c r="AB3" s="87">
        <f t="shared" si="0"/>
        <v>5.3937758641975309E-2</v>
      </c>
      <c r="AC3" s="87">
        <f t="shared" si="0"/>
        <v>5.3937758641975309E-2</v>
      </c>
      <c r="AD3" s="87">
        <f t="shared" si="0"/>
        <v>5.3937758641975309E-2</v>
      </c>
      <c r="AE3" s="87">
        <f t="shared" si="0"/>
        <v>5.3937758641975309E-2</v>
      </c>
      <c r="AF3" s="87">
        <f t="shared" si="0"/>
        <v>5.3937758641975309E-2</v>
      </c>
      <c r="AG3" s="87">
        <f t="shared" si="0"/>
        <v>5.3937758641975309E-2</v>
      </c>
      <c r="AH3" s="87">
        <f t="shared" si="0"/>
        <v>5.3937758641975309E-2</v>
      </c>
      <c r="AI3" s="87">
        <f t="shared" si="0"/>
        <v>5.3937758641975309E-2</v>
      </c>
      <c r="AJ3" s="87">
        <f t="shared" si="0"/>
        <v>5.3937758641975309E-2</v>
      </c>
      <c r="AK3" s="87">
        <f t="shared" si="0"/>
        <v>5.3937758641975309E-2</v>
      </c>
      <c r="AL3" s="87">
        <f t="shared" si="0"/>
        <v>5.3937758641975309E-2</v>
      </c>
      <c r="AM3" s="87">
        <f t="shared" si="0"/>
        <v>5.3937758641975309E-2</v>
      </c>
    </row>
    <row r="4" spans="1:39">
      <c r="A4" s="14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87">
        <f>+Inputs!O94</f>
        <v>1</v>
      </c>
      <c r="P4" s="87">
        <f t="shared" ref="P4:AM4" si="1">O4/(1+P3)</f>
        <v>0.989547304318114</v>
      </c>
      <c r="Q4" s="87">
        <f t="shared" si="1"/>
        <v>0.95127681163519184</v>
      </c>
      <c r="R4" s="87">
        <f t="shared" si="1"/>
        <v>0.89773897315234841</v>
      </c>
      <c r="S4" s="87">
        <f t="shared" si="1"/>
        <v>0.8517950569577345</v>
      </c>
      <c r="T4" s="87">
        <f t="shared" si="1"/>
        <v>0.80820242938756959</v>
      </c>
      <c r="U4" s="87">
        <f t="shared" si="1"/>
        <v>0.76684075768284288</v>
      </c>
      <c r="V4" s="87">
        <f t="shared" si="1"/>
        <v>0.72759586739821902</v>
      </c>
      <c r="W4" s="87">
        <f t="shared" si="1"/>
        <v>0.69035942723576404</v>
      </c>
      <c r="X4" s="87">
        <f t="shared" si="1"/>
        <v>0.65502865000805088</v>
      </c>
      <c r="Y4" s="87">
        <f t="shared" si="1"/>
        <v>0.62150600890518559</v>
      </c>
      <c r="Z4" s="87">
        <f t="shared" si="1"/>
        <v>0.58969896828254009</v>
      </c>
      <c r="AA4" s="87">
        <f t="shared" si="1"/>
        <v>0.55951972822605922</v>
      </c>
      <c r="AB4" s="87">
        <f t="shared" si="1"/>
        <v>0.53088498219004332</v>
      </c>
      <c r="AC4" s="87">
        <f t="shared" si="1"/>
        <v>0.50371568703838987</v>
      </c>
      <c r="AD4" s="87">
        <f t="shared" si="1"/>
        <v>0.47793684485451959</v>
      </c>
      <c r="AE4" s="87">
        <f t="shared" si="1"/>
        <v>0.45347729591769531</v>
      </c>
      <c r="AF4" s="87">
        <f t="shared" si="1"/>
        <v>0.43026952227426779</v>
      </c>
      <c r="AG4" s="87">
        <f t="shared" si="1"/>
        <v>0.40824946136162787</v>
      </c>
      <c r="AH4" s="87">
        <f t="shared" si="1"/>
        <v>0.38735632917039364</v>
      </c>
      <c r="AI4" s="87">
        <f t="shared" si="1"/>
        <v>0.36753245245669136</v>
      </c>
      <c r="AJ4" s="87">
        <f t="shared" si="1"/>
        <v>0.34872310954136981</v>
      </c>
      <c r="AK4" s="87">
        <f t="shared" si="1"/>
        <v>0.33087637925669167</v>
      </c>
      <c r="AL4" s="87">
        <f t="shared" si="1"/>
        <v>0.31394299762353517</v>
      </c>
      <c r="AM4" s="87">
        <f t="shared" si="1"/>
        <v>0.29787622186347934</v>
      </c>
    </row>
    <row r="5" spans="1:39">
      <c r="U5" s="12"/>
      <c r="V5" s="12"/>
    </row>
    <row r="6" spans="1:39">
      <c r="A6" s="14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>
        <f>+Inputs!P17</f>
        <v>18841.588521165329</v>
      </c>
      <c r="Q6" s="15">
        <f>+Inputs!Q17</f>
        <v>17815.584186577154</v>
      </c>
      <c r="R6" s="15">
        <f>+Inputs!R17</f>
        <v>17986.265501800743</v>
      </c>
      <c r="S6" s="15">
        <f>+Inputs!S17</f>
        <v>17013.545848919399</v>
      </c>
      <c r="T6" s="15">
        <f>+Inputs!T17</f>
        <v>13466.328875561347</v>
      </c>
      <c r="U6" s="15">
        <f>+Inputs!U17</f>
        <v>13292.888172939358</v>
      </c>
      <c r="V6" s="15">
        <f>+Inputs!V17</f>
        <v>11246.467532097255</v>
      </c>
      <c r="W6" s="15">
        <f>+Inputs!W17</f>
        <v>11073.195254540793</v>
      </c>
      <c r="X6" s="15">
        <f>+Inputs!X17</f>
        <v>11530.539122140994</v>
      </c>
      <c r="Y6" s="15">
        <f>+Inputs!Y17</f>
        <v>11581.834689936286</v>
      </c>
      <c r="Z6" s="15">
        <f>+Inputs!Z17</f>
        <v>11823.433969234164</v>
      </c>
      <c r="AA6" s="15">
        <f>+Inputs!AA17</f>
        <v>11339.732696378311</v>
      </c>
      <c r="AB6" s="15">
        <f>+Inputs!AB17</f>
        <v>11094.965267488427</v>
      </c>
      <c r="AC6" s="15">
        <f>+Inputs!AC17</f>
        <v>10623.505202906425</v>
      </c>
      <c r="AD6" s="15">
        <f>+Inputs!AD17</f>
        <v>10981.214429534157</v>
      </c>
      <c r="AE6" s="15">
        <f>+Inputs!AE17</f>
        <v>11697.104494896579</v>
      </c>
      <c r="AF6" s="15">
        <f>+Inputs!AF17</f>
        <v>11705.032919057145</v>
      </c>
      <c r="AG6" s="15">
        <f>+Inputs!AG17</f>
        <v>10279.644365439472</v>
      </c>
      <c r="AH6" s="15">
        <f>+Inputs!AH17</f>
        <v>11655.259145045076</v>
      </c>
      <c r="AI6" s="15">
        <f>+Inputs!AI17</f>
        <v>11423.416573379041</v>
      </c>
      <c r="AJ6" s="15">
        <f>+Inputs!AJ17</f>
        <v>10879.023155789109</v>
      </c>
      <c r="AK6" s="15">
        <f>+Inputs!AK17</f>
        <v>10995.532942575539</v>
      </c>
      <c r="AL6" s="15">
        <f>+Inputs!AL17</f>
        <v>11223.735680772194</v>
      </c>
      <c r="AM6" s="15">
        <f>+Inputs!AM17</f>
        <v>10605.439921057774</v>
      </c>
    </row>
    <row r="7" spans="1:39">
      <c r="A7" s="14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O7" s="15"/>
      <c r="P7" s="15">
        <f>+Inputs!P9</f>
        <v>18253.842427303724</v>
      </c>
      <c r="Q7" s="15">
        <f>+Inputs!Q9</f>
        <v>18234.059105632725</v>
      </c>
      <c r="R7" s="15">
        <f>+Inputs!R9</f>
        <v>18322.343341779688</v>
      </c>
      <c r="S7" s="15">
        <f>+Inputs!S9</f>
        <v>18497.222701526909</v>
      </c>
      <c r="T7" s="15">
        <f>+Inputs!T9</f>
        <v>18273.855550493023</v>
      </c>
      <c r="U7" s="15">
        <f>+Inputs!U9</f>
        <v>18377.695143525998</v>
      </c>
      <c r="V7" s="15">
        <f>+Inputs!V9</f>
        <v>18236.499986357583</v>
      </c>
      <c r="W7" s="15">
        <f>+Inputs!W9</f>
        <v>18409.458375746126</v>
      </c>
      <c r="X7" s="15">
        <f>+Inputs!X9</f>
        <v>18578.165899121712</v>
      </c>
      <c r="Y7" s="15">
        <f>+Inputs!Y9</f>
        <v>18742.858431178596</v>
      </c>
      <c r="Z7" s="15">
        <f>+Inputs!Z9</f>
        <v>18903.757418742356</v>
      </c>
      <c r="AA7" s="15">
        <f>+Inputs!AA9</f>
        <v>19061.07088467076</v>
      </c>
      <c r="AB7" s="15">
        <f>+Inputs!AB9</f>
        <v>19214.994351647409</v>
      </c>
      <c r="AC7" s="15">
        <f>+Inputs!AC9</f>
        <v>19361.774213184843</v>
      </c>
      <c r="AD7" s="15">
        <f>+Inputs!AD9</f>
        <v>19505.533682758007</v>
      </c>
      <c r="AE7" s="15">
        <f>+Inputs!AE9</f>
        <v>19646.434671587689</v>
      </c>
      <c r="AF7" s="15">
        <f>+Inputs!AF9</f>
        <v>19784.629682898758</v>
      </c>
      <c r="AG7" s="15">
        <f>+Inputs!AG9</f>
        <v>19920.262425571731</v>
      </c>
      <c r="AH7" s="15">
        <f>+Inputs!AH9</f>
        <v>20053.468381908089</v>
      </c>
      <c r="AI7" s="15">
        <f>+Inputs!AI9</f>
        <v>20184.375333419535</v>
      </c>
      <c r="AJ7" s="15">
        <f>+Inputs!AJ9</f>
        <v>20313.103848182669</v>
      </c>
      <c r="AK7" s="15">
        <f>+Inputs!AK9</f>
        <v>20439.76773296823</v>
      </c>
      <c r="AL7" s="15">
        <f>+Inputs!AL9</f>
        <v>20564.474453055409</v>
      </c>
      <c r="AM7" s="15">
        <f>+Inputs!AM9</f>
        <v>20687.325522373216</v>
      </c>
    </row>
    <row r="8" spans="1:39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>
      <c r="A9" s="17" t="s">
        <v>47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O9" s="15"/>
      <c r="P9" s="15">
        <f>+Inputs!P20</f>
        <v>91523.803499999995</v>
      </c>
      <c r="Q9" s="15">
        <f>+Inputs!Q20</f>
        <v>95534.722350000011</v>
      </c>
      <c r="R9" s="15">
        <f>+Inputs!R20</f>
        <v>101069.52127323304</v>
      </c>
      <c r="S9" s="15">
        <f>+Inputs!S20</f>
        <v>104823.49659774808</v>
      </c>
      <c r="T9" s="15">
        <f>+Inputs!T20</f>
        <v>107235.06343344992</v>
      </c>
      <c r="U9" s="15">
        <f>+Inputs!U20</f>
        <v>109599.91164459511</v>
      </c>
      <c r="V9" s="15">
        <f>+Inputs!V20</f>
        <v>110665.68544098971</v>
      </c>
      <c r="W9" s="15">
        <f>+Inputs!W20</f>
        <v>111616.97442893864</v>
      </c>
      <c r="X9" s="15">
        <f>+Inputs!X20</f>
        <v>112458.14290955795</v>
      </c>
      <c r="Y9" s="15">
        <f>+Inputs!Y20</f>
        <v>113193.94779910684</v>
      </c>
      <c r="Z9" s="15">
        <f>+Inputs!Z20</f>
        <v>113828.90219592044</v>
      </c>
      <c r="AA9" s="15">
        <f>+Inputs!AA20</f>
        <v>114367.28769126767</v>
      </c>
      <c r="AB9" s="15">
        <f>+Inputs!AB20</f>
        <v>114813.16606596312</v>
      </c>
      <c r="AC9" s="15">
        <f>+Inputs!AC20</f>
        <v>115156.61440308538</v>
      </c>
      <c r="AD9" s="15">
        <f>+Inputs!AD20</f>
        <v>115401.79164566744</v>
      </c>
      <c r="AE9" s="15">
        <f>+Inputs!AE20</f>
        <v>115566.10862680734</v>
      </c>
      <c r="AF9" s="15">
        <f>+Inputs!AF20</f>
        <v>115652.85359830274</v>
      </c>
      <c r="AG9" s="15">
        <f>+Inputs!AG20</f>
        <v>115665.1452826309</v>
      </c>
      <c r="AH9" s="15">
        <f>+Inputs!AH20</f>
        <v>115605.94147187767</v>
      </c>
      <c r="AI9" s="15">
        <f>+Inputs!AI20</f>
        <v>115478.04719605976</v>
      </c>
      <c r="AJ9" s="15">
        <f>+Inputs!AJ20</f>
        <v>115284.12248218183</v>
      </c>
      <c r="AK9" s="15">
        <f>+Inputs!AK20</f>
        <v>115026.68972432188</v>
      </c>
      <c r="AL9" s="15">
        <f>+Inputs!AL20</f>
        <v>114708.14068404007</v>
      </c>
      <c r="AM9" s="15">
        <f>+Inputs!AM20</f>
        <v>114330.74313945706</v>
      </c>
    </row>
    <row r="10" spans="1:39">
      <c r="A10" s="17" t="s">
        <v>48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O10" s="15"/>
      <c r="P10" s="15">
        <f>+Inputs!P21</f>
        <v>17757.349999999984</v>
      </c>
      <c r="Q10" s="15">
        <f>+Inputs!Q21</f>
        <v>19240.946399999986</v>
      </c>
      <c r="R10" s="15">
        <f>+Inputs!R21</f>
        <v>20150.490359999985</v>
      </c>
      <c r="S10" s="15">
        <f>+Inputs!S21</f>
        <v>20414.783999999985</v>
      </c>
      <c r="T10" s="15">
        <f>+Inputs!T21</f>
        <v>20539.583999999984</v>
      </c>
      <c r="U10" s="15">
        <f>+Inputs!U21</f>
        <v>20664.383999999984</v>
      </c>
      <c r="V10" s="15">
        <f>+Inputs!V21</f>
        <v>20558.193066666652</v>
      </c>
      <c r="W10" s="15">
        <f>+Inputs!W21</f>
        <v>20449.228799999986</v>
      </c>
      <c r="X10" s="15">
        <f>+Inputs!X21</f>
        <v>20337.491199999989</v>
      </c>
      <c r="Y10" s="15">
        <f>+Inputs!Y21</f>
        <v>20222.980266666655</v>
      </c>
      <c r="Z10" s="15">
        <f>+Inputs!Z21</f>
        <v>20105.695999999989</v>
      </c>
      <c r="AA10" s="15">
        <f>+Inputs!AA21</f>
        <v>19985.638399999993</v>
      </c>
      <c r="AB10" s="15">
        <f>+Inputs!AB21</f>
        <v>19862.807466666658</v>
      </c>
      <c r="AC10" s="15">
        <f>+Inputs!AC21</f>
        <v>19737.203199999993</v>
      </c>
      <c r="AD10" s="15">
        <f>+Inputs!AD21</f>
        <v>19608.825599999993</v>
      </c>
      <c r="AE10" s="15">
        <f>+Inputs!AE21</f>
        <v>19477.674666666662</v>
      </c>
      <c r="AF10" s="15">
        <f>+Inputs!AF21</f>
        <v>19343.750399999994</v>
      </c>
      <c r="AG10" s="15">
        <f>+Inputs!AG21</f>
        <v>19207.052799999998</v>
      </c>
      <c r="AH10" s="15">
        <f>+Inputs!AH21</f>
        <v>19067.581866666667</v>
      </c>
      <c r="AI10" s="15">
        <f>+Inputs!AI21</f>
        <v>18925.337600000003</v>
      </c>
      <c r="AJ10" s="15">
        <f>+Inputs!AJ21</f>
        <v>18780.32</v>
      </c>
      <c r="AK10" s="15">
        <f>+Inputs!AK21</f>
        <v>18632.52906666667</v>
      </c>
      <c r="AL10" s="15">
        <f>+Inputs!AL21</f>
        <v>18481.964800000005</v>
      </c>
      <c r="AM10" s="15">
        <f>+Inputs!AM21</f>
        <v>18328.627200000003</v>
      </c>
    </row>
    <row r="11" spans="1:39">
      <c r="A11" s="17" t="s">
        <v>50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O11" s="15"/>
      <c r="P11" s="15">
        <f>+Inputs!P22</f>
        <v>30087.561299976693</v>
      </c>
      <c r="Q11" s="15">
        <f>+Inputs!Q22</f>
        <v>30769.869722559706</v>
      </c>
      <c r="R11" s="15">
        <f>+Inputs!R22</f>
        <v>31057.768258190983</v>
      </c>
      <c r="S11" s="15">
        <f>+Inputs!S22</f>
        <v>31117.231543929542</v>
      </c>
      <c r="T11" s="15">
        <f>+Inputs!T22</f>
        <v>31179.931543929542</v>
      </c>
      <c r="U11" s="15">
        <f>+Inputs!U22</f>
        <v>31242.631543929543</v>
      </c>
      <c r="V11" s="15">
        <f>+Inputs!V22</f>
        <v>30957.494526774775</v>
      </c>
      <c r="W11" s="15">
        <f>+Inputs!W22</f>
        <v>30670.964176286667</v>
      </c>
      <c r="X11" s="15">
        <f>+Inputs!X22</f>
        <v>30383.040492465228</v>
      </c>
      <c r="Y11" s="15">
        <f>+Inputs!Y22</f>
        <v>30093.72347531046</v>
      </c>
      <c r="Z11" s="15">
        <f>+Inputs!Z22</f>
        <v>29803.013124822355</v>
      </c>
      <c r="AA11" s="15">
        <f>+Inputs!AA22</f>
        <v>29510.909441000917</v>
      </c>
      <c r="AB11" s="15">
        <f>+Inputs!AB22</f>
        <v>29217.412423846148</v>
      </c>
      <c r="AC11" s="15">
        <f>+Inputs!AC22</f>
        <v>28922.522073358035</v>
      </c>
      <c r="AD11" s="15">
        <f>+Inputs!AD22</f>
        <v>28626.2383895366</v>
      </c>
      <c r="AE11" s="15">
        <f>+Inputs!AE22</f>
        <v>28328.561372381831</v>
      </c>
      <c r="AF11" s="15">
        <f>+Inputs!AF22</f>
        <v>28029.491021893726</v>
      </c>
      <c r="AG11" s="15">
        <f>+Inputs!AG22</f>
        <v>27729.027338072287</v>
      </c>
      <c r="AH11" s="15">
        <f>+Inputs!AH22</f>
        <v>27427.170320917518</v>
      </c>
      <c r="AI11" s="15">
        <f>+Inputs!AI22</f>
        <v>27123.919970429411</v>
      </c>
      <c r="AJ11" s="15">
        <f>+Inputs!AJ22</f>
        <v>26819.276286607972</v>
      </c>
      <c r="AK11" s="15">
        <f>+Inputs!AK22</f>
        <v>26513.239269453203</v>
      </c>
      <c r="AL11" s="15">
        <f>+Inputs!AL22</f>
        <v>26205.808918965093</v>
      </c>
      <c r="AM11" s="15">
        <f>+Inputs!AM22</f>
        <v>25896.985235143657</v>
      </c>
    </row>
    <row r="12" spans="1:39">
      <c r="A12" s="17" t="s">
        <v>51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15"/>
      <c r="P12" s="15">
        <f>+Inputs!P23</f>
        <v>12255.655411146106</v>
      </c>
      <c r="Q12" s="15">
        <f>+Inputs!Q23</f>
        <v>13120.760498991714</v>
      </c>
      <c r="R12" s="15">
        <f>+Inputs!R23</f>
        <v>13610.986715437557</v>
      </c>
      <c r="S12" s="15">
        <f>+Inputs!S23</f>
        <v>13697.497224222117</v>
      </c>
      <c r="T12" s="15">
        <f>+Inputs!T23</f>
        <v>13697.497224222117</v>
      </c>
      <c r="U12" s="15">
        <f>+Inputs!U23</f>
        <v>13697.497224222117</v>
      </c>
      <c r="V12" s="15">
        <f>+Inputs!V23</f>
        <v>13545.302810619651</v>
      </c>
      <c r="W12" s="15">
        <f>+Inputs!W23</f>
        <v>13393.108397017182</v>
      </c>
      <c r="X12" s="15">
        <f>+Inputs!X23</f>
        <v>13240.913983414715</v>
      </c>
      <c r="Y12" s="15">
        <f>+Inputs!Y23</f>
        <v>13088.719569812247</v>
      </c>
      <c r="Z12" s="15">
        <f>+Inputs!Z23</f>
        <v>12936.525156209782</v>
      </c>
      <c r="AA12" s="15">
        <f>+Inputs!AA23</f>
        <v>12784.330742607313</v>
      </c>
      <c r="AB12" s="15">
        <f>+Inputs!AB23</f>
        <v>12632.136329004847</v>
      </c>
      <c r="AC12" s="15">
        <f>+Inputs!AC23</f>
        <v>12479.941915402378</v>
      </c>
      <c r="AD12" s="15">
        <f>+Inputs!AD23</f>
        <v>12327.747501799911</v>
      </c>
      <c r="AE12" s="15">
        <f>+Inputs!AE23</f>
        <v>12175.553088197443</v>
      </c>
      <c r="AF12" s="15">
        <f>+Inputs!AF23</f>
        <v>12023.358674594976</v>
      </c>
      <c r="AG12" s="15">
        <f>+Inputs!AG23</f>
        <v>11871.164260992507</v>
      </c>
      <c r="AH12" s="15">
        <f>+Inputs!AH23</f>
        <v>11718.969847390041</v>
      </c>
      <c r="AI12" s="15">
        <f>+Inputs!AI23</f>
        <v>11566.775433787574</v>
      </c>
      <c r="AJ12" s="15">
        <f>+Inputs!AJ23</f>
        <v>11414.581020185107</v>
      </c>
      <c r="AK12" s="15">
        <f>+Inputs!AK23</f>
        <v>11262.386606582641</v>
      </c>
      <c r="AL12" s="15">
        <f>+Inputs!AL23</f>
        <v>11110.192192980172</v>
      </c>
      <c r="AM12" s="15">
        <f>+Inputs!AM23</f>
        <v>10957.997779377705</v>
      </c>
    </row>
    <row r="13" spans="1:39">
      <c r="A13" s="14" t="s">
        <v>19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O13" s="63"/>
      <c r="P13" s="63">
        <f>+Inputs!P24</f>
        <v>151624.37021112279</v>
      </c>
      <c r="Q13" s="63">
        <f>+Inputs!Q24</f>
        <v>158666.29897155141</v>
      </c>
      <c r="R13" s="63">
        <f>+Inputs!R24</f>
        <v>165888.76660686155</v>
      </c>
      <c r="S13" s="63">
        <f>+Inputs!S24</f>
        <v>170053.00936589972</v>
      </c>
      <c r="T13" s="63">
        <f>+Inputs!T24</f>
        <v>172652.07620160157</v>
      </c>
      <c r="U13" s="63">
        <f>+Inputs!U24</f>
        <v>175204.42441274674</v>
      </c>
      <c r="V13" s="63">
        <f>+Inputs!V24</f>
        <v>175726.67584505078</v>
      </c>
      <c r="W13" s="63">
        <f>+Inputs!W24</f>
        <v>176130.27580224245</v>
      </c>
      <c r="X13" s="63">
        <f>+Inputs!X24</f>
        <v>176419.58858543789</v>
      </c>
      <c r="Y13" s="63">
        <f>+Inputs!Y24</f>
        <v>176599.3711108962</v>
      </c>
      <c r="Z13" s="63">
        <f>+Inputs!Z24</f>
        <v>176674.13647695255</v>
      </c>
      <c r="AA13" s="63">
        <f>+Inputs!AA24</f>
        <v>176648.1662748759</v>
      </c>
      <c r="AB13" s="63">
        <f>+Inputs!AB24</f>
        <v>176525.52228548075</v>
      </c>
      <c r="AC13" s="63">
        <f>+Inputs!AC24</f>
        <v>176296.28159184579</v>
      </c>
      <c r="AD13" s="63">
        <f>+Inputs!AD24</f>
        <v>175964.60313700396</v>
      </c>
      <c r="AE13" s="63">
        <f>+Inputs!AE24</f>
        <v>175547.89775405329</v>
      </c>
      <c r="AF13" s="63">
        <f>+Inputs!AF24</f>
        <v>175049.45369479145</v>
      </c>
      <c r="AG13" s="63">
        <f>+Inputs!AG24</f>
        <v>174472.3896816957</v>
      </c>
      <c r="AH13" s="63">
        <f>+Inputs!AH24</f>
        <v>173819.66350685191</v>
      </c>
      <c r="AI13" s="63">
        <f>+Inputs!AI24</f>
        <v>173094.08020027677</v>
      </c>
      <c r="AJ13" s="63">
        <f>+Inputs!AJ24</f>
        <v>172298.29978897489</v>
      </c>
      <c r="AK13" s="63">
        <f>+Inputs!AK24</f>
        <v>171434.84466702442</v>
      </c>
      <c r="AL13" s="63">
        <f>+Inputs!AL24</f>
        <v>170506.10659598533</v>
      </c>
      <c r="AM13" s="63">
        <f>+Inputs!AM24</f>
        <v>169514.35335397843</v>
      </c>
    </row>
    <row r="14" spans="1:39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13.5" thickBot="1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ht="13.5" thickBot="1">
      <c r="A16" s="17" t="s">
        <v>52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O16" s="18"/>
      <c r="P16" s="107">
        <v>0.48498562048945398</v>
      </c>
      <c r="Q16" s="18">
        <f>P16</f>
        <v>0.48498562048945398</v>
      </c>
      <c r="R16" s="18">
        <f t="shared" ref="R16:AM19" si="2">Q16</f>
        <v>0.48498562048945398</v>
      </c>
      <c r="S16" s="18">
        <f t="shared" si="2"/>
        <v>0.48498562048945398</v>
      </c>
      <c r="T16" s="18">
        <f t="shared" si="2"/>
        <v>0.48498562048945398</v>
      </c>
      <c r="U16" s="18">
        <f t="shared" si="2"/>
        <v>0.48498562048945398</v>
      </c>
      <c r="V16" s="18">
        <f t="shared" si="2"/>
        <v>0.48498562048945398</v>
      </c>
      <c r="W16" s="18">
        <f t="shared" si="2"/>
        <v>0.48498562048945398</v>
      </c>
      <c r="X16" s="18">
        <f t="shared" si="2"/>
        <v>0.48498562048945398</v>
      </c>
      <c r="Y16" s="18">
        <f t="shared" si="2"/>
        <v>0.48498562048945398</v>
      </c>
      <c r="Z16" s="18">
        <f t="shared" si="2"/>
        <v>0.48498562048945398</v>
      </c>
      <c r="AA16" s="18">
        <f t="shared" si="2"/>
        <v>0.48498562048945398</v>
      </c>
      <c r="AB16" s="18">
        <f t="shared" si="2"/>
        <v>0.48498562048945398</v>
      </c>
      <c r="AC16" s="18">
        <f t="shared" si="2"/>
        <v>0.48498562048945398</v>
      </c>
      <c r="AD16" s="18">
        <f t="shared" si="2"/>
        <v>0.48498562048945398</v>
      </c>
      <c r="AE16" s="18">
        <f t="shared" si="2"/>
        <v>0.48498562048945398</v>
      </c>
      <c r="AF16" s="18">
        <f t="shared" si="2"/>
        <v>0.48498562048945398</v>
      </c>
      <c r="AG16" s="18">
        <f t="shared" si="2"/>
        <v>0.48498562048945398</v>
      </c>
      <c r="AH16" s="18">
        <f t="shared" si="2"/>
        <v>0.48498562048945398</v>
      </c>
      <c r="AI16" s="18">
        <f t="shared" si="2"/>
        <v>0.48498562048945398</v>
      </c>
      <c r="AJ16" s="18">
        <f t="shared" si="2"/>
        <v>0.48498562048945398</v>
      </c>
      <c r="AK16" s="18">
        <f t="shared" si="2"/>
        <v>0.48498562048945398</v>
      </c>
      <c r="AL16" s="18">
        <f t="shared" si="2"/>
        <v>0.48498562048945398</v>
      </c>
      <c r="AM16" s="18">
        <f t="shared" si="2"/>
        <v>0.48498562048945398</v>
      </c>
    </row>
    <row r="17" spans="1:39">
      <c r="A17" s="17" t="s">
        <v>53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5"/>
      <c r="O17" s="18">
        <f>+Inputs!O98</f>
        <v>0.9</v>
      </c>
      <c r="P17" s="18">
        <f>+P$16*O17</f>
        <v>0.43648705844050861</v>
      </c>
      <c r="Q17" s="18">
        <f>P17</f>
        <v>0.43648705844050861</v>
      </c>
      <c r="R17" s="18">
        <f t="shared" si="2"/>
        <v>0.43648705844050861</v>
      </c>
      <c r="S17" s="18">
        <f t="shared" si="2"/>
        <v>0.43648705844050861</v>
      </c>
      <c r="T17" s="18">
        <f t="shared" si="2"/>
        <v>0.43648705844050861</v>
      </c>
      <c r="U17" s="18">
        <f t="shared" si="2"/>
        <v>0.43648705844050861</v>
      </c>
      <c r="V17" s="18">
        <f t="shared" si="2"/>
        <v>0.43648705844050861</v>
      </c>
      <c r="W17" s="18">
        <f t="shared" si="2"/>
        <v>0.43648705844050861</v>
      </c>
      <c r="X17" s="18">
        <f t="shared" si="2"/>
        <v>0.43648705844050861</v>
      </c>
      <c r="Y17" s="18">
        <f t="shared" si="2"/>
        <v>0.43648705844050861</v>
      </c>
      <c r="Z17" s="18">
        <f t="shared" si="2"/>
        <v>0.43648705844050861</v>
      </c>
      <c r="AA17" s="18">
        <f t="shared" si="2"/>
        <v>0.43648705844050861</v>
      </c>
      <c r="AB17" s="18">
        <f t="shared" si="2"/>
        <v>0.43648705844050861</v>
      </c>
      <c r="AC17" s="18">
        <f t="shared" si="2"/>
        <v>0.43648705844050861</v>
      </c>
      <c r="AD17" s="18">
        <f t="shared" si="2"/>
        <v>0.43648705844050861</v>
      </c>
      <c r="AE17" s="18">
        <f t="shared" si="2"/>
        <v>0.43648705844050861</v>
      </c>
      <c r="AF17" s="18">
        <f t="shared" si="2"/>
        <v>0.43648705844050861</v>
      </c>
      <c r="AG17" s="18">
        <f t="shared" si="2"/>
        <v>0.43648705844050861</v>
      </c>
      <c r="AH17" s="18">
        <f t="shared" si="2"/>
        <v>0.43648705844050861</v>
      </c>
      <c r="AI17" s="18">
        <f t="shared" si="2"/>
        <v>0.43648705844050861</v>
      </c>
      <c r="AJ17" s="18">
        <f t="shared" si="2"/>
        <v>0.43648705844050861</v>
      </c>
      <c r="AK17" s="18">
        <f t="shared" si="2"/>
        <v>0.43648705844050861</v>
      </c>
      <c r="AL17" s="18">
        <f t="shared" si="2"/>
        <v>0.43648705844050861</v>
      </c>
      <c r="AM17" s="18">
        <f t="shared" si="2"/>
        <v>0.43648705844050861</v>
      </c>
    </row>
    <row r="18" spans="1:39">
      <c r="A18" s="17" t="s">
        <v>54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18">
        <f>+Inputs!O99</f>
        <v>0.84779769349637712</v>
      </c>
      <c r="P18" s="18">
        <f t="shared" ref="P18:P19" si="3">+P$16*O18</f>
        <v>0.4111696904298684</v>
      </c>
      <c r="Q18" s="18">
        <f>P18</f>
        <v>0.4111696904298684</v>
      </c>
      <c r="R18" s="18">
        <f t="shared" si="2"/>
        <v>0.4111696904298684</v>
      </c>
      <c r="S18" s="18">
        <f t="shared" si="2"/>
        <v>0.4111696904298684</v>
      </c>
      <c r="T18" s="18">
        <f t="shared" si="2"/>
        <v>0.4111696904298684</v>
      </c>
      <c r="U18" s="18">
        <f t="shared" si="2"/>
        <v>0.4111696904298684</v>
      </c>
      <c r="V18" s="18">
        <f t="shared" si="2"/>
        <v>0.4111696904298684</v>
      </c>
      <c r="W18" s="18">
        <f t="shared" si="2"/>
        <v>0.4111696904298684</v>
      </c>
      <c r="X18" s="18">
        <f t="shared" si="2"/>
        <v>0.4111696904298684</v>
      </c>
      <c r="Y18" s="18">
        <f t="shared" si="2"/>
        <v>0.4111696904298684</v>
      </c>
      <c r="Z18" s="18">
        <f t="shared" si="2"/>
        <v>0.4111696904298684</v>
      </c>
      <c r="AA18" s="18">
        <f t="shared" si="2"/>
        <v>0.4111696904298684</v>
      </c>
      <c r="AB18" s="18">
        <f t="shared" si="2"/>
        <v>0.4111696904298684</v>
      </c>
      <c r="AC18" s="18">
        <f t="shared" si="2"/>
        <v>0.4111696904298684</v>
      </c>
      <c r="AD18" s="18">
        <f t="shared" si="2"/>
        <v>0.4111696904298684</v>
      </c>
      <c r="AE18" s="18">
        <f t="shared" si="2"/>
        <v>0.4111696904298684</v>
      </c>
      <c r="AF18" s="18">
        <f t="shared" si="2"/>
        <v>0.4111696904298684</v>
      </c>
      <c r="AG18" s="18">
        <f t="shared" si="2"/>
        <v>0.4111696904298684</v>
      </c>
      <c r="AH18" s="18">
        <f t="shared" si="2"/>
        <v>0.4111696904298684</v>
      </c>
      <c r="AI18" s="18">
        <f t="shared" si="2"/>
        <v>0.4111696904298684</v>
      </c>
      <c r="AJ18" s="18">
        <f t="shared" si="2"/>
        <v>0.4111696904298684</v>
      </c>
      <c r="AK18" s="18">
        <f t="shared" si="2"/>
        <v>0.4111696904298684</v>
      </c>
      <c r="AL18" s="18">
        <f t="shared" si="2"/>
        <v>0.4111696904298684</v>
      </c>
      <c r="AM18" s="18">
        <f t="shared" si="2"/>
        <v>0.4111696904298684</v>
      </c>
    </row>
    <row r="19" spans="1:39">
      <c r="A19" s="17" t="s">
        <v>55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5"/>
      <c r="O19" s="18">
        <f>+Inputs!O100</f>
        <v>0.42649945316995669</v>
      </c>
      <c r="P19" s="18">
        <f t="shared" si="3"/>
        <v>0.20684610193404426</v>
      </c>
      <c r="Q19" s="18">
        <f>P19</f>
        <v>0.20684610193404426</v>
      </c>
      <c r="R19" s="18">
        <f t="shared" si="2"/>
        <v>0.20684610193404426</v>
      </c>
      <c r="S19" s="18">
        <f t="shared" si="2"/>
        <v>0.20684610193404426</v>
      </c>
      <c r="T19" s="18">
        <f t="shared" si="2"/>
        <v>0.20684610193404426</v>
      </c>
      <c r="U19" s="18">
        <f t="shared" si="2"/>
        <v>0.20684610193404426</v>
      </c>
      <c r="V19" s="18">
        <f t="shared" si="2"/>
        <v>0.20684610193404426</v>
      </c>
      <c r="W19" s="18">
        <f t="shared" si="2"/>
        <v>0.20684610193404426</v>
      </c>
      <c r="X19" s="18">
        <f t="shared" si="2"/>
        <v>0.20684610193404426</v>
      </c>
      <c r="Y19" s="18">
        <f t="shared" si="2"/>
        <v>0.20684610193404426</v>
      </c>
      <c r="Z19" s="18">
        <f t="shared" si="2"/>
        <v>0.20684610193404426</v>
      </c>
      <c r="AA19" s="18">
        <f t="shared" si="2"/>
        <v>0.20684610193404426</v>
      </c>
      <c r="AB19" s="18">
        <f t="shared" si="2"/>
        <v>0.20684610193404426</v>
      </c>
      <c r="AC19" s="18">
        <f t="shared" si="2"/>
        <v>0.20684610193404426</v>
      </c>
      <c r="AD19" s="18">
        <f t="shared" si="2"/>
        <v>0.20684610193404426</v>
      </c>
      <c r="AE19" s="18">
        <f t="shared" si="2"/>
        <v>0.20684610193404426</v>
      </c>
      <c r="AF19" s="18">
        <f t="shared" si="2"/>
        <v>0.20684610193404426</v>
      </c>
      <c r="AG19" s="18">
        <f t="shared" si="2"/>
        <v>0.20684610193404426</v>
      </c>
      <c r="AH19" s="18">
        <f t="shared" si="2"/>
        <v>0.20684610193404426</v>
      </c>
      <c r="AI19" s="18">
        <f t="shared" si="2"/>
        <v>0.20684610193404426</v>
      </c>
      <c r="AJ19" s="18">
        <f t="shared" si="2"/>
        <v>0.20684610193404426</v>
      </c>
      <c r="AK19" s="18">
        <f t="shared" si="2"/>
        <v>0.20684610193404426</v>
      </c>
      <c r="AL19" s="18">
        <f t="shared" si="2"/>
        <v>0.20684610193404426</v>
      </c>
      <c r="AM19" s="18">
        <f t="shared" si="2"/>
        <v>0.20684610193404426</v>
      </c>
    </row>
    <row r="20" spans="1:39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>
      <c r="A21" s="14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O21" s="16"/>
      <c r="P21" s="16">
        <f t="shared" ref="P21:AM21" si="4">SUMPRODUCT(P9:P12,P16:P19)</f>
        <v>67044.70991114447</v>
      </c>
      <c r="Q21" s="16">
        <f t="shared" si="4"/>
        <v>70097.006664968838</v>
      </c>
      <c r="R21" s="16">
        <f t="shared" si="4"/>
        <v>73398.085256368504</v>
      </c>
      <c r="S21" s="16">
        <f t="shared" si="4"/>
        <v>75376.413924226159</v>
      </c>
      <c r="T21" s="16">
        <f t="shared" si="4"/>
        <v>76626.243086874121</v>
      </c>
      <c r="U21" s="16">
        <f t="shared" si="4"/>
        <v>77853.414388403078</v>
      </c>
      <c r="V21" s="16">
        <f t="shared" si="4"/>
        <v>78175.227865961773</v>
      </c>
      <c r="W21" s="16">
        <f t="shared" si="4"/>
        <v>78439.734437115752</v>
      </c>
      <c r="X21" s="16">
        <f t="shared" si="4"/>
        <v>78649.050725149777</v>
      </c>
      <c r="Y21" s="16">
        <f t="shared" si="4"/>
        <v>78805.483766047444</v>
      </c>
      <c r="Z21" s="16">
        <f t="shared" si="4"/>
        <v>78911.222347605144</v>
      </c>
      <c r="AA21" s="16">
        <f t="shared" si="4"/>
        <v>78968.342980021131</v>
      </c>
      <c r="AB21" s="16">
        <f t="shared" si="4"/>
        <v>78978.815568584032</v>
      </c>
      <c r="AC21" s="16">
        <f t="shared" si="4"/>
        <v>78937.827641273674</v>
      </c>
      <c r="AD21" s="16">
        <f t="shared" si="4"/>
        <v>78847.396225657489</v>
      </c>
      <c r="AE21" s="16">
        <f t="shared" si="4"/>
        <v>78715.96532542877</v>
      </c>
      <c r="AF21" s="16">
        <f t="shared" si="4"/>
        <v>78545.129695425916</v>
      </c>
      <c r="AG21" s="16">
        <f t="shared" si="4"/>
        <v>78336.401871204696</v>
      </c>
      <c r="AH21" s="16">
        <f t="shared" si="4"/>
        <v>78091.216339395163</v>
      </c>
      <c r="AI21" s="16">
        <f t="shared" si="4"/>
        <v>77810.933499220453</v>
      </c>
      <c r="AJ21" s="16">
        <f t="shared" si="4"/>
        <v>77496.843425527943</v>
      </c>
      <c r="AK21" s="16">
        <f t="shared" si="4"/>
        <v>77150.169443174673</v>
      </c>
      <c r="AL21" s="16">
        <f t="shared" si="4"/>
        <v>76772.071522124941</v>
      </c>
      <c r="AM21" s="16">
        <f t="shared" si="4"/>
        <v>76363.649502157758</v>
      </c>
    </row>
    <row r="22" spans="1:39">
      <c r="A22" s="17" t="s">
        <v>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O22" s="15"/>
      <c r="P22" s="15">
        <f t="shared" ref="P22:AM22" si="5">-P6</f>
        <v>-18841.588521165329</v>
      </c>
      <c r="Q22" s="15">
        <f t="shared" si="5"/>
        <v>-17815.584186577154</v>
      </c>
      <c r="R22" s="15">
        <f t="shared" si="5"/>
        <v>-17986.265501800743</v>
      </c>
      <c r="S22" s="15">
        <f t="shared" si="5"/>
        <v>-17013.545848919399</v>
      </c>
      <c r="T22" s="15">
        <f t="shared" si="5"/>
        <v>-13466.328875561347</v>
      </c>
      <c r="U22" s="15">
        <f t="shared" si="5"/>
        <v>-13292.888172939358</v>
      </c>
      <c r="V22" s="15">
        <f t="shared" si="5"/>
        <v>-11246.467532097255</v>
      </c>
      <c r="W22" s="15">
        <f t="shared" si="5"/>
        <v>-11073.195254540793</v>
      </c>
      <c r="X22" s="15">
        <f t="shared" si="5"/>
        <v>-11530.539122140994</v>
      </c>
      <c r="Y22" s="15">
        <f t="shared" si="5"/>
        <v>-11581.834689936286</v>
      </c>
      <c r="Z22" s="15">
        <f t="shared" si="5"/>
        <v>-11823.433969234164</v>
      </c>
      <c r="AA22" s="15">
        <f t="shared" si="5"/>
        <v>-11339.732696378311</v>
      </c>
      <c r="AB22" s="15">
        <f t="shared" si="5"/>
        <v>-11094.965267488427</v>
      </c>
      <c r="AC22" s="15">
        <f t="shared" si="5"/>
        <v>-10623.505202906425</v>
      </c>
      <c r="AD22" s="15">
        <f t="shared" si="5"/>
        <v>-10981.214429534157</v>
      </c>
      <c r="AE22" s="15">
        <f t="shared" si="5"/>
        <v>-11697.104494896579</v>
      </c>
      <c r="AF22" s="15">
        <f t="shared" si="5"/>
        <v>-11705.032919057145</v>
      </c>
      <c r="AG22" s="15">
        <f t="shared" si="5"/>
        <v>-10279.644365439472</v>
      </c>
      <c r="AH22" s="15">
        <f t="shared" si="5"/>
        <v>-11655.259145045076</v>
      </c>
      <c r="AI22" s="15">
        <f t="shared" si="5"/>
        <v>-11423.416573379041</v>
      </c>
      <c r="AJ22" s="15">
        <f t="shared" si="5"/>
        <v>-10879.023155789109</v>
      </c>
      <c r="AK22" s="15">
        <f t="shared" si="5"/>
        <v>-10995.532942575539</v>
      </c>
      <c r="AL22" s="15">
        <f t="shared" si="5"/>
        <v>-11223.735680772194</v>
      </c>
      <c r="AM22" s="15">
        <f t="shared" si="5"/>
        <v>-10605.439921057774</v>
      </c>
    </row>
    <row r="23" spans="1:39">
      <c r="A23" s="17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9"/>
      <c r="O23" s="15"/>
      <c r="P23" s="15">
        <f t="shared" ref="P23:AM23" si="6">-P7</f>
        <v>-18253.842427303724</v>
      </c>
      <c r="Q23" s="15">
        <f t="shared" si="6"/>
        <v>-18234.059105632725</v>
      </c>
      <c r="R23" s="15">
        <f t="shared" si="6"/>
        <v>-18322.343341779688</v>
      </c>
      <c r="S23" s="15">
        <f t="shared" si="6"/>
        <v>-18497.222701526909</v>
      </c>
      <c r="T23" s="15">
        <f t="shared" si="6"/>
        <v>-18273.855550493023</v>
      </c>
      <c r="U23" s="15">
        <f t="shared" si="6"/>
        <v>-18377.695143525998</v>
      </c>
      <c r="V23" s="15">
        <f t="shared" si="6"/>
        <v>-18236.499986357583</v>
      </c>
      <c r="W23" s="15">
        <f t="shared" si="6"/>
        <v>-18409.458375746126</v>
      </c>
      <c r="X23" s="15">
        <f t="shared" si="6"/>
        <v>-18578.165899121712</v>
      </c>
      <c r="Y23" s="15">
        <f t="shared" si="6"/>
        <v>-18742.858431178596</v>
      </c>
      <c r="Z23" s="15">
        <f t="shared" si="6"/>
        <v>-18903.757418742356</v>
      </c>
      <c r="AA23" s="15">
        <f t="shared" si="6"/>
        <v>-19061.07088467076</v>
      </c>
      <c r="AB23" s="15">
        <f t="shared" si="6"/>
        <v>-19214.994351647409</v>
      </c>
      <c r="AC23" s="15">
        <f t="shared" si="6"/>
        <v>-19361.774213184843</v>
      </c>
      <c r="AD23" s="15">
        <f t="shared" si="6"/>
        <v>-19505.533682758007</v>
      </c>
      <c r="AE23" s="15">
        <f t="shared" si="6"/>
        <v>-19646.434671587689</v>
      </c>
      <c r="AF23" s="15">
        <f t="shared" si="6"/>
        <v>-19784.629682898758</v>
      </c>
      <c r="AG23" s="15">
        <f t="shared" si="6"/>
        <v>-19920.262425571731</v>
      </c>
      <c r="AH23" s="15">
        <f t="shared" si="6"/>
        <v>-20053.468381908089</v>
      </c>
      <c r="AI23" s="15">
        <f t="shared" si="6"/>
        <v>-20184.375333419535</v>
      </c>
      <c r="AJ23" s="15">
        <f t="shared" si="6"/>
        <v>-20313.103848182669</v>
      </c>
      <c r="AK23" s="15">
        <f t="shared" si="6"/>
        <v>-20439.76773296823</v>
      </c>
      <c r="AL23" s="15">
        <f t="shared" si="6"/>
        <v>-20564.474453055409</v>
      </c>
      <c r="AM23" s="15">
        <f t="shared" si="6"/>
        <v>-20687.325522373216</v>
      </c>
    </row>
    <row r="24" spans="1:39">
      <c r="A24" s="17" t="s">
        <v>20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O24" s="15"/>
      <c r="P24" s="15">
        <f>+Inputs!P68</f>
        <v>261.70268708595995</v>
      </c>
      <c r="Q24" s="15">
        <f>+Inputs!Q68</f>
        <v>-171.00072243136219</v>
      </c>
      <c r="R24" s="15">
        <f>+Inputs!R68</f>
        <v>28.446885870597725</v>
      </c>
      <c r="S24" s="15">
        <f>+Inputs!S68</f>
        <v>-162.11994214689093</v>
      </c>
      <c r="T24" s="15">
        <f>+Inputs!T68</f>
        <v>-591.2028288930087</v>
      </c>
      <c r="U24" s="15">
        <f>+Inputs!U68</f>
        <v>-28.906783770331458</v>
      </c>
      <c r="V24" s="15">
        <f>+Inputs!V68</f>
        <v>-341.07010680701751</v>
      </c>
      <c r="W24" s="15">
        <f>+Inputs!W68</f>
        <v>-28.878712926077242</v>
      </c>
      <c r="X24" s="15">
        <f>+Inputs!X68</f>
        <v>76.223977933366768</v>
      </c>
      <c r="Y24" s="15">
        <f>+Inputs!Y68</f>
        <v>8.5492612992156864</v>
      </c>
      <c r="Z24" s="15">
        <f>+Inputs!Z68</f>
        <v>40.266546549646591</v>
      </c>
      <c r="AA24" s="15">
        <f>+Inputs!AA68</f>
        <v>-80.616878809309128</v>
      </c>
      <c r="AB24" s="15">
        <f>+Inputs!AB68</f>
        <v>-40.794571481646926</v>
      </c>
      <c r="AC24" s="15">
        <f>+Inputs!AC68</f>
        <v>-78.576677430333802</v>
      </c>
      <c r="AD24" s="15">
        <f>+Inputs!AD68</f>
        <v>59.618204437955683</v>
      </c>
      <c r="AE24" s="15">
        <f>+Inputs!AE68</f>
        <v>119.31501089373705</v>
      </c>
      <c r="AF24" s="15">
        <f>+Inputs!AF68</f>
        <v>1.321404026761229</v>
      </c>
      <c r="AG24" s="15">
        <f>+Inputs!AG68</f>
        <v>-237.56475893627885</v>
      </c>
      <c r="AH24" s="15">
        <f>+Inputs!AH68</f>
        <v>229.26912993426777</v>
      </c>
      <c r="AI24" s="15">
        <f>+Inputs!AI68</f>
        <v>-38.640428611005518</v>
      </c>
      <c r="AJ24" s="15">
        <f>+Inputs!AJ68</f>
        <v>-90.732236264988387</v>
      </c>
      <c r="AK24" s="15">
        <f>+Inputs!AK68</f>
        <v>19.418297797737978</v>
      </c>
      <c r="AL24" s="15">
        <f>+Inputs!AL68</f>
        <v>38.033789699442423</v>
      </c>
      <c r="AM24" s="15">
        <f>+Inputs!AM68</f>
        <v>-103.04929328573689</v>
      </c>
    </row>
    <row r="25" spans="1:39">
      <c r="A25" s="17" t="s">
        <v>21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P25" s="35">
        <f>+Inputs!P65</f>
        <v>52.44115352204517</v>
      </c>
      <c r="Q25" s="35">
        <f>+Inputs!Q65</f>
        <v>-460.21851167417572</v>
      </c>
      <c r="R25" s="35">
        <f>+Inputs!R65</f>
        <v>-484.5676803723145</v>
      </c>
      <c r="S25" s="35">
        <f>+Inputs!S65</f>
        <v>-275.76377700898138</v>
      </c>
      <c r="T25" s="35">
        <f>+Inputs!T65</f>
        <v>-214.27843252126058</v>
      </c>
      <c r="U25" s="35">
        <f>+Inputs!U65</f>
        <v>-171.61494406538668</v>
      </c>
      <c r="V25" s="35">
        <f>+Inputs!V65</f>
        <v>-65.215440494014274</v>
      </c>
      <c r="W25" s="35">
        <f>+Inputs!W65</f>
        <v>-18.920978946471678</v>
      </c>
      <c r="X25" s="35">
        <f>+Inputs!X65</f>
        <v>-11.152540400033104</v>
      </c>
      <c r="Y25" s="35">
        <f>+Inputs!Y65</f>
        <v>-3.70185228782384</v>
      </c>
      <c r="Z25" s="35">
        <f>+Inputs!Z65</f>
        <v>3.4470912739961932</v>
      </c>
      <c r="AA25" s="35">
        <f>+Inputs!AA65</f>
        <v>10.309521049010527</v>
      </c>
      <c r="AB25" s="35">
        <f>+Inputs!AB65</f>
        <v>16.899927752762778</v>
      </c>
      <c r="AC25" s="35">
        <f>+Inputs!AC65</f>
        <v>23.761772481045682</v>
      </c>
      <c r="AD25" s="35">
        <f>+Inputs!AD65</f>
        <v>30.81584869120752</v>
      </c>
      <c r="AE25" s="35">
        <f>+Inputs!AE65</f>
        <v>36.622753693869981</v>
      </c>
      <c r="AF25" s="35">
        <f>+Inputs!AF65</f>
        <v>42.208745857756185</v>
      </c>
      <c r="AG25" s="35">
        <f>+Inputs!AG65</f>
        <v>47.585102753939282</v>
      </c>
      <c r="AH25" s="35">
        <f>+Inputs!AH65</f>
        <v>52.762544531793537</v>
      </c>
      <c r="AI25" s="35">
        <f>+Inputs!AI65</f>
        <v>57.751260207579435</v>
      </c>
      <c r="AJ25" s="35">
        <f>+Inputs!AJ65</f>
        <v>62.560932825452255</v>
      </c>
      <c r="AK25" s="35">
        <f>+Inputs!AK65</f>
        <v>67.20076352725755</v>
      </c>
      <c r="AL25" s="35">
        <f>+Inputs!AL65</f>
        <v>71.679494567921211</v>
      </c>
      <c r="AM25" s="35">
        <f>+Inputs!AM65</f>
        <v>76.005431313214103</v>
      </c>
    </row>
    <row r="26" spans="1:39">
      <c r="A26" s="17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O26" s="15"/>
      <c r="P26" s="15">
        <f>-'DAV Inputs'!P75</f>
        <v>0</v>
      </c>
      <c r="Q26" s="15">
        <f>-'DAV Inputs'!Q75</f>
        <v>0</v>
      </c>
      <c r="R26" s="15">
        <f>-'DAV Inputs'!R75</f>
        <v>0</v>
      </c>
      <c r="S26" s="15">
        <f>-'DAV Inputs'!S75</f>
        <v>-823.82160838898778</v>
      </c>
      <c r="T26" s="15">
        <f>-'DAV Inputs'!T75</f>
        <v>-1625.4875156948933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>
      <c r="A27" s="14" t="s">
        <v>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O27" s="53"/>
      <c r="P27" s="53">
        <f t="shared" ref="P27:AM27" si="7">SUM(P21:P26)</f>
        <v>30263.422803283422</v>
      </c>
      <c r="Q27" s="53">
        <f t="shared" si="7"/>
        <v>33416.144138653428</v>
      </c>
      <c r="R27" s="53">
        <f t="shared" si="7"/>
        <v>36633.355618286354</v>
      </c>
      <c r="S27" s="53">
        <f t="shared" si="7"/>
        <v>38603.940046234995</v>
      </c>
      <c r="T27" s="53">
        <f t="shared" si="7"/>
        <v>42455.089883710585</v>
      </c>
      <c r="U27" s="53">
        <f t="shared" si="7"/>
        <v>45982.309344101996</v>
      </c>
      <c r="V27" s="53">
        <f t="shared" si="7"/>
        <v>48285.974800205899</v>
      </c>
      <c r="W27" s="53">
        <f t="shared" si="7"/>
        <v>48909.281114956284</v>
      </c>
      <c r="X27" s="53">
        <f t="shared" si="7"/>
        <v>48605.417141420403</v>
      </c>
      <c r="Y27" s="53">
        <f t="shared" si="7"/>
        <v>48485.638053943963</v>
      </c>
      <c r="Z27" s="53">
        <f t="shared" si="7"/>
        <v>48227.744597452271</v>
      </c>
      <c r="AA27" s="53">
        <f t="shared" si="7"/>
        <v>48497.23204121177</v>
      </c>
      <c r="AB27" s="53">
        <f t="shared" si="7"/>
        <v>48644.961305719313</v>
      </c>
      <c r="AC27" s="53">
        <f t="shared" si="7"/>
        <v>48897.733320233121</v>
      </c>
      <c r="AD27" s="53">
        <f t="shared" si="7"/>
        <v>48451.082166494489</v>
      </c>
      <c r="AE27" s="53">
        <f t="shared" si="7"/>
        <v>47528.363923532102</v>
      </c>
      <c r="AF27" s="53">
        <f t="shared" si="7"/>
        <v>47098.997243354534</v>
      </c>
      <c r="AG27" s="53">
        <f t="shared" si="7"/>
        <v>47946.515424011159</v>
      </c>
      <c r="AH27" s="53">
        <f t="shared" si="7"/>
        <v>46664.520486908063</v>
      </c>
      <c r="AI27" s="53">
        <f t="shared" si="7"/>
        <v>46222.25242401845</v>
      </c>
      <c r="AJ27" s="53">
        <f t="shared" si="7"/>
        <v>46276.545118116628</v>
      </c>
      <c r="AK27" s="53">
        <f t="shared" si="7"/>
        <v>45801.487828955906</v>
      </c>
      <c r="AL27" s="53">
        <f t="shared" si="7"/>
        <v>45093.574672564697</v>
      </c>
      <c r="AM27" s="53">
        <f t="shared" si="7"/>
        <v>45043.840196754252</v>
      </c>
    </row>
    <row r="28" spans="1:39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>
      <c r="A29" s="14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>
        <f>SUM(P29:AM29)</f>
        <v>612458.10354665061</v>
      </c>
      <c r="P29" s="16">
        <f t="shared" ref="P29:AM29" si="8">P27*P4</f>
        <v>29947.088454428449</v>
      </c>
      <c r="Q29" s="16">
        <f t="shared" si="8"/>
        <v>31788.003053360237</v>
      </c>
      <c r="R29" s="16">
        <f t="shared" si="8"/>
        <v>32887.191055885203</v>
      </c>
      <c r="S29" s="16">
        <f t="shared" si="8"/>
        <v>32882.645310475702</v>
      </c>
      <c r="T29" s="16">
        <f t="shared" si="8"/>
        <v>34312.306783882523</v>
      </c>
      <c r="U29" s="16">
        <f t="shared" si="8"/>
        <v>35261.108937438039</v>
      </c>
      <c r="V29" s="16">
        <f t="shared" si="8"/>
        <v>35132.675717924358</v>
      </c>
      <c r="W29" s="16">
        <f t="shared" si="8"/>
        <v>33764.983297034189</v>
      </c>
      <c r="X29" s="16">
        <f t="shared" si="8"/>
        <v>31837.940773222781</v>
      </c>
      <c r="Y29" s="16">
        <f t="shared" si="8"/>
        <v>30134.115396128102</v>
      </c>
      <c r="Z29" s="16">
        <f t="shared" si="8"/>
        <v>28439.851231711451</v>
      </c>
      <c r="AA29" s="16">
        <f t="shared" si="8"/>
        <v>27135.158091414942</v>
      </c>
      <c r="AB29" s="16">
        <f t="shared" si="8"/>
        <v>25824.879416422144</v>
      </c>
      <c r="AC29" s="16">
        <f t="shared" si="8"/>
        <v>24630.555334021195</v>
      </c>
      <c r="AD29" s="16">
        <f t="shared" si="8"/>
        <v>23156.557340441457</v>
      </c>
      <c r="AE29" s="16">
        <f t="shared" si="8"/>
        <v>21553.033951435482</v>
      </c>
      <c r="AF29" s="16">
        <f t="shared" si="8"/>
        <v>20265.263043495212</v>
      </c>
      <c r="AG29" s="16">
        <f t="shared" si="8"/>
        <v>19574.139096019539</v>
      </c>
      <c r="AH29" s="16">
        <f t="shared" si="8"/>
        <v>18075.797358305339</v>
      </c>
      <c r="AI29" s="16">
        <f t="shared" si="8"/>
        <v>16988.17779147175</v>
      </c>
      <c r="AJ29" s="16">
        <f t="shared" si="8"/>
        <v>16137.700712421127</v>
      </c>
      <c r="AK29" s="16">
        <f t="shared" si="8"/>
        <v>15154.630457414361</v>
      </c>
      <c r="AL29" s="16">
        <f t="shared" si="8"/>
        <v>14156.812006265684</v>
      </c>
      <c r="AM29" s="16">
        <f t="shared" si="8"/>
        <v>13417.488936031479</v>
      </c>
    </row>
    <row r="30" spans="1:39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>
      <c r="A31" s="14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O31" s="16"/>
      <c r="P31" s="16">
        <f>+'DAV Pi'!P63</f>
        <v>470415.91518743068</v>
      </c>
      <c r="Q31" s="16">
        <f>+'DAV Pi'!Q63</f>
        <v>465763.60995288705</v>
      </c>
      <c r="R31" s="16">
        <f>+'DAV Pi'!R63</f>
        <v>460595.02526829415</v>
      </c>
      <c r="S31" s="16">
        <f>+'DAV Pi'!S63</f>
        <v>454619.45180017315</v>
      </c>
      <c r="T31" s="16">
        <f>+'DAV Pi'!T63</f>
        <v>445527.25266743085</v>
      </c>
      <c r="U31" s="16">
        <f>+'DAV Pi'!U63</f>
        <v>434324.93500252662</v>
      </c>
      <c r="V31" s="16">
        <f>+'DAV Pi'!V63</f>
        <v>420861.72152200458</v>
      </c>
      <c r="W31" s="16">
        <f>+'DAV Pi'!W63</f>
        <v>406994.7114914126</v>
      </c>
      <c r="X31" s="16">
        <f>+'DAV Pi'!X63</f>
        <v>393271.03041764436</v>
      </c>
      <c r="Y31" s="16">
        <f>+'DAV Pi'!Y63</f>
        <v>379290.65965838445</v>
      </c>
      <c r="Z31" s="16">
        <f>+'DAV Pi'!Z63</f>
        <v>365319.83611005667</v>
      </c>
      <c r="AA31" s="16">
        <f>+'DAV Pi'!AA63</f>
        <v>350682.42363139399</v>
      </c>
      <c r="AB31" s="16">
        <f>+'DAV Pi'!AB63</f>
        <v>335614.39477308013</v>
      </c>
      <c r="AC31" s="16">
        <f>+'DAV Pi'!AC63</f>
        <v>320051.1712935422</v>
      </c>
      <c r="AD31" s="16">
        <f>+'DAV Pi'!AD63</f>
        <v>304766.26595724857</v>
      </c>
      <c r="AE31" s="16">
        <f>+'DAV Pi'!AE63</f>
        <v>290017.08116367512</v>
      </c>
      <c r="AF31" s="16">
        <f>+'DAV Pi'!AF63</f>
        <v>275071.70696614211</v>
      </c>
      <c r="AG31" s="16">
        <f>+'DAV Pi'!AG63</f>
        <v>258641.22820379445</v>
      </c>
      <c r="AH31" s="16">
        <f>+'DAV Pi'!AH63</f>
        <v>243376.68311038983</v>
      </c>
      <c r="AI31" s="16">
        <f>+'DAV Pi'!AI63</f>
        <v>227657.27621773505</v>
      </c>
      <c r="AJ31" s="16">
        <f>+'DAV Pi'!AJ63</f>
        <v>211202.27860833661</v>
      </c>
      <c r="AK31" s="16">
        <f>+'DAV Pi'!AK63</f>
        <v>194624.37282780631</v>
      </c>
      <c r="AL31" s="16">
        <f>+'DAV Pi'!AL63</f>
        <v>178016.17639999941</v>
      </c>
      <c r="AM31" s="16">
        <f>+'DAV Pi'!AM63</f>
        <v>175151.69375358062</v>
      </c>
    </row>
    <row r="32" spans="1:39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>
      <c r="A33" s="17" t="s">
        <v>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35">
        <f>-Inputs!P56</f>
        <v>-661985.44824175956</v>
      </c>
    </row>
    <row r="34" spans="1:39">
      <c r="A34" s="17" t="s">
        <v>119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5"/>
      <c r="O34" s="35">
        <f>AM31*AM4</f>
        <v>52173.524788305767</v>
      </c>
    </row>
    <row r="35" spans="1:39">
      <c r="A35" s="17" t="s">
        <v>120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5"/>
      <c r="O35" s="35">
        <f>+Inputs!AM67*AM4</f>
        <v>-1277.4289077281346</v>
      </c>
    </row>
    <row r="36" spans="1:39">
      <c r="A36" s="17" t="s">
        <v>121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5"/>
      <c r="O36" s="35">
        <f>+Inputs!AM64*AM4</f>
        <v>-1368.7511854688021</v>
      </c>
    </row>
    <row r="37" spans="1:39">
      <c r="A37" s="14" t="s">
        <v>297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35">
        <f>SUM(O29:O36)</f>
        <v>-1.1209522199351341E-10</v>
      </c>
    </row>
    <row r="38" spans="1:39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43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>
      <c r="A39" s="14" t="s">
        <v>15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O39" s="16"/>
      <c r="P39" s="143"/>
      <c r="Q39" s="16"/>
      <c r="R39" s="16"/>
      <c r="S39" s="16"/>
      <c r="T39" s="16"/>
      <c r="U39" s="16">
        <f>U43+U44+U45+U46</f>
        <v>606262.90398425853</v>
      </c>
      <c r="V39" s="16"/>
      <c r="W39" s="16"/>
      <c r="X39" s="16"/>
      <c r="Y39" s="16"/>
      <c r="Z39" s="16"/>
      <c r="AA39" s="16">
        <f>AA43+AA44+AA45+AA46</f>
        <v>497681.07555690734</v>
      </c>
      <c r="AB39" s="16"/>
      <c r="AC39" s="16"/>
      <c r="AD39" s="16"/>
      <c r="AE39" s="16"/>
      <c r="AF39" s="16"/>
      <c r="AG39" s="16">
        <f t="shared" ref="AG39:AM39" si="9">AG43+AG44+AG45+AG46</f>
        <v>351397.77399471792</v>
      </c>
      <c r="AH39" s="16"/>
      <c r="AI39" s="16"/>
      <c r="AJ39" s="16"/>
      <c r="AK39" s="16"/>
      <c r="AL39" s="16"/>
      <c r="AM39" s="16">
        <f t="shared" si="9"/>
        <v>166268.20491166276</v>
      </c>
    </row>
    <row r="40" spans="1:39">
      <c r="A40" s="20"/>
    </row>
    <row r="41" spans="1:39">
      <c r="A41" s="14" t="s">
        <v>16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O41" s="15"/>
      <c r="P41" s="15">
        <f>P27*(1+Q3)*(1+R3)*(1+S3)*(1+T3)*(1+U3)</f>
        <v>39052.55185564125</v>
      </c>
      <c r="Q41" s="15">
        <f>Q27*(1+R3)*(1+S3)*(1+T3)*(1+U3)</f>
        <v>41453.199683091727</v>
      </c>
      <c r="R41" s="15">
        <f>R27*(1+S3)*(1+T3)*(1+U3)</f>
        <v>42886.597675455057</v>
      </c>
      <c r="S41" s="15">
        <f>S27*(1+T3)*(1+U3)</f>
        <v>42880.669788388594</v>
      </c>
      <c r="T41" s="15">
        <f>T27*(1+U3)</f>
        <v>44745.022274981537</v>
      </c>
      <c r="U41" s="15">
        <f>U27</f>
        <v>45982.309344101996</v>
      </c>
      <c r="V41" s="15">
        <f t="shared" ref="V41:AA41" si="10">V27*(1+$AA$3)^($AA$1-V1)</f>
        <v>62790.772059658142</v>
      </c>
      <c r="W41" s="15">
        <f t="shared" si="10"/>
        <v>60346.367775243729</v>
      </c>
      <c r="X41" s="15">
        <f t="shared" si="10"/>
        <v>56902.266653159902</v>
      </c>
      <c r="Y41" s="15">
        <f t="shared" si="10"/>
        <v>53857.109724562215</v>
      </c>
      <c r="Z41" s="15">
        <f t="shared" si="10"/>
        <v>50829.04104539648</v>
      </c>
      <c r="AA41" s="15">
        <f t="shared" si="10"/>
        <v>48497.23204121177</v>
      </c>
      <c r="AB41" s="15">
        <f t="shared" ref="AB41:AG41" si="11">AB27*(1+$AG$3)^($AG$1-AB1)</f>
        <v>63257.595809897313</v>
      </c>
      <c r="AC41" s="15">
        <f t="shared" si="11"/>
        <v>60332.119611061578</v>
      </c>
      <c r="AD41" s="15">
        <f t="shared" si="11"/>
        <v>56721.587000281063</v>
      </c>
      <c r="AE41" s="15">
        <f t="shared" si="11"/>
        <v>52793.784171937405</v>
      </c>
      <c r="AF41" s="15">
        <f t="shared" si="11"/>
        <v>49639.411588945652</v>
      </c>
      <c r="AG41" s="15">
        <f t="shared" si="11"/>
        <v>47946.515424011159</v>
      </c>
      <c r="AH41" s="15">
        <f t="shared" ref="AH41:AM41" si="12">AH27*(1+$AM$3)^($AM$1-AH1)</f>
        <v>60682.243266096339</v>
      </c>
      <c r="AI41" s="15">
        <f t="shared" si="12"/>
        <v>57030.996583734224</v>
      </c>
      <c r="AJ41" s="15">
        <f t="shared" si="12"/>
        <v>54175.860736602372</v>
      </c>
      <c r="AK41" s="15">
        <f t="shared" si="12"/>
        <v>50875.596456168067</v>
      </c>
      <c r="AL41" s="15">
        <f t="shared" si="12"/>
        <v>47525.821019557385</v>
      </c>
      <c r="AM41" s="15">
        <f t="shared" si="12"/>
        <v>45043.840196754252</v>
      </c>
    </row>
    <row r="42" spans="1:39">
      <c r="A42" s="14" t="s">
        <v>17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O42" s="15">
        <f>-O33</f>
        <v>661985.44824175956</v>
      </c>
      <c r="P42" s="15"/>
      <c r="Q42" s="15"/>
      <c r="R42" s="15"/>
      <c r="S42" s="15"/>
      <c r="T42" s="15"/>
      <c r="U42" s="15">
        <f>-O42/U4</f>
        <v>-863263.25460591866</v>
      </c>
      <c r="V42" s="15"/>
      <c r="W42" s="15"/>
      <c r="X42" s="15"/>
      <c r="Y42" s="15"/>
      <c r="Z42" s="15"/>
      <c r="AA42" s="15">
        <f>-U39*(1+AA3)^(AA1-U1)</f>
        <v>-830903.86485613952</v>
      </c>
      <c r="AB42" s="15"/>
      <c r="AC42" s="15"/>
      <c r="AD42" s="15"/>
      <c r="AE42" s="15"/>
      <c r="AF42" s="15"/>
      <c r="AG42" s="15">
        <f>-AA39*(1+AG3)^(AG1-AA1)</f>
        <v>-682088.78760085208</v>
      </c>
      <c r="AH42" s="15"/>
      <c r="AI42" s="15"/>
      <c r="AJ42" s="15"/>
      <c r="AK42" s="15"/>
      <c r="AL42" s="15"/>
      <c r="AM42" s="15">
        <f>-AG39*(1+AM3)^(AM1-AG1)</f>
        <v>-481602.56317057536</v>
      </c>
    </row>
    <row r="43" spans="1:39">
      <c r="A43" s="14" t="s">
        <v>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O43" s="15"/>
      <c r="P43" s="15"/>
      <c r="Q43" s="15"/>
      <c r="R43" s="15"/>
      <c r="S43" s="15"/>
      <c r="T43" s="15"/>
      <c r="U43" s="15">
        <f>U31</f>
        <v>434324.93500252662</v>
      </c>
      <c r="V43" s="15"/>
      <c r="W43" s="15"/>
      <c r="X43" s="15"/>
      <c r="Y43" s="15"/>
      <c r="Z43" s="15"/>
      <c r="AA43" s="15">
        <f>AA31</f>
        <v>350682.42363139399</v>
      </c>
      <c r="AB43" s="15"/>
      <c r="AC43" s="15"/>
      <c r="AD43" s="15"/>
      <c r="AE43" s="15"/>
      <c r="AF43" s="15"/>
      <c r="AG43" s="15">
        <f>AG31</f>
        <v>258641.22820379445</v>
      </c>
      <c r="AH43" s="15"/>
      <c r="AI43" s="15"/>
      <c r="AJ43" s="15"/>
      <c r="AK43" s="15"/>
      <c r="AL43" s="15"/>
      <c r="AM43" s="15">
        <f>AM31</f>
        <v>175151.69375358062</v>
      </c>
    </row>
    <row r="44" spans="1:39">
      <c r="A44" s="14" t="s">
        <v>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O44" s="15"/>
      <c r="P44" s="15"/>
      <c r="Q44" s="15"/>
      <c r="R44" s="15"/>
      <c r="S44" s="15"/>
      <c r="T44" s="15"/>
      <c r="U44" s="15">
        <f>+U53</f>
        <v>-4736.3634941700566</v>
      </c>
      <c r="V44" s="15"/>
      <c r="W44" s="15"/>
      <c r="X44" s="15"/>
      <c r="Y44" s="15"/>
      <c r="Z44" s="15"/>
      <c r="AA44" s="15">
        <f>+AA53</f>
        <v>-4410.8375814098818</v>
      </c>
      <c r="AB44" s="15"/>
      <c r="AC44" s="15"/>
      <c r="AD44" s="15"/>
      <c r="AE44" s="15"/>
      <c r="AF44" s="15"/>
      <c r="AG44" s="15">
        <f t="shared" ref="AG44:AM44" si="13">+AG53</f>
        <v>-4234.1561929200761</v>
      </c>
      <c r="AH44" s="15"/>
      <c r="AI44" s="15"/>
      <c r="AJ44" s="15"/>
      <c r="AK44" s="15"/>
      <c r="AL44" s="15"/>
      <c r="AM44" s="15">
        <f t="shared" si="13"/>
        <v>-4288.4554521897935</v>
      </c>
    </row>
    <row r="45" spans="1:39">
      <c r="A45" s="14" t="s">
        <v>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O45" s="15"/>
      <c r="P45" s="15"/>
      <c r="Q45" s="15"/>
      <c r="R45" s="15"/>
      <c r="S45" s="15"/>
      <c r="T45" s="15"/>
      <c r="U45" s="15">
        <f>+U52</f>
        <v>-4094.4130113298347</v>
      </c>
      <c r="V45" s="15"/>
      <c r="W45" s="15"/>
      <c r="X45" s="15"/>
      <c r="Y45" s="15"/>
      <c r="Z45" s="15"/>
      <c r="AA45" s="15">
        <f>+AA52</f>
        <v>-4009.1788115244985</v>
      </c>
      <c r="AB45" s="15"/>
      <c r="AC45" s="15"/>
      <c r="AD45" s="15"/>
      <c r="AE45" s="15"/>
      <c r="AF45" s="15"/>
      <c r="AG45" s="15">
        <f t="shared" ref="AG45:AM45" si="14">+AG52</f>
        <v>-4207.07296275508</v>
      </c>
      <c r="AH45" s="15"/>
      <c r="AI45" s="15"/>
      <c r="AJ45" s="15"/>
      <c r="AK45" s="15"/>
      <c r="AL45" s="15"/>
      <c r="AM45" s="15">
        <f t="shared" si="14"/>
        <v>-4595.0333897282981</v>
      </c>
    </row>
    <row r="46" spans="1:39">
      <c r="A46" s="14" t="s">
        <v>18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O46" s="15"/>
      <c r="P46" s="15"/>
      <c r="Q46" s="15"/>
      <c r="R46" s="15"/>
      <c r="S46" s="15"/>
      <c r="T46" s="15"/>
      <c r="U46" s="15">
        <f>-SUM(P41:U45)</f>
        <v>180768.74548723179</v>
      </c>
      <c r="V46" s="15"/>
      <c r="W46" s="15"/>
      <c r="X46" s="15"/>
      <c r="Y46" s="15"/>
      <c r="Z46" s="15"/>
      <c r="AA46" s="15">
        <f>-SUM(V41:AA45)</f>
        <v>155418.66831844772</v>
      </c>
      <c r="AB46" s="15"/>
      <c r="AC46" s="15"/>
      <c r="AD46" s="15"/>
      <c r="AE46" s="15"/>
      <c r="AF46" s="15"/>
      <c r="AG46" s="15">
        <f>-SUM(AB41:AG45)</f>
        <v>101197.77494659863</v>
      </c>
      <c r="AH46" s="15"/>
      <c r="AI46" s="15"/>
      <c r="AJ46" s="15"/>
      <c r="AK46" s="15"/>
      <c r="AL46" s="15"/>
      <c r="AM46" s="15">
        <f>-SUM(AH41:AM45)</f>
        <v>2.0190782379359007E-10</v>
      </c>
    </row>
    <row r="47" spans="1:39">
      <c r="A47" s="32"/>
      <c r="Y47" s="12"/>
      <c r="Z47" s="12"/>
    </row>
    <row r="48" spans="1:39">
      <c r="A48" s="32" t="s">
        <v>185</v>
      </c>
    </row>
    <row r="49" spans="1:39">
      <c r="A49" s="11" t="s">
        <v>42</v>
      </c>
      <c r="P49" s="35">
        <f>+P62</f>
        <v>30263.422803283422</v>
      </c>
      <c r="Q49" s="35">
        <f t="shared" ref="Q49:AM49" si="15">+Q62</f>
        <v>64897.084374073514</v>
      </c>
      <c r="R49" s="35">
        <f t="shared" si="15"/>
        <v>105400.66254605642</v>
      </c>
      <c r="S49" s="35">
        <f t="shared" si="15"/>
        <v>149689.67808940492</v>
      </c>
      <c r="T49" s="35">
        <f t="shared" si="15"/>
        <v>200218.69370109678</v>
      </c>
      <c r="U49" s="35">
        <f t="shared" si="15"/>
        <v>257000.35062166012</v>
      </c>
      <c r="V49" s="35">
        <f t="shared" si="15"/>
        <v>319148.34830460016</v>
      </c>
      <c r="W49" s="35">
        <f t="shared" si="15"/>
        <v>385271.77600139508</v>
      </c>
      <c r="X49" s="35">
        <f t="shared" si="15"/>
        <v>454657.88920834393</v>
      </c>
      <c r="Y49" s="35">
        <f t="shared" si="15"/>
        <v>527666.75475507753</v>
      </c>
      <c r="Z49" s="35">
        <f t="shared" si="15"/>
        <v>604355.66141390346</v>
      </c>
      <c r="AA49" s="35">
        <f t="shared" si="15"/>
        <v>685450.4832543697</v>
      </c>
      <c r="AB49" s="35">
        <f t="shared" si="15"/>
        <v>771067.10728688852</v>
      </c>
      <c r="AC49" s="35">
        <f t="shared" si="15"/>
        <v>861554.47213672788</v>
      </c>
      <c r="AD49" s="35">
        <f t="shared" si="15"/>
        <v>956475.87147824757</v>
      </c>
      <c r="AE49" s="35">
        <f t="shared" si="15"/>
        <v>1055594.4001044463</v>
      </c>
      <c r="AF49" s="35">
        <f t="shared" si="15"/>
        <v>1159629.7933244552</v>
      </c>
      <c r="AG49" s="35">
        <f t="shared" si="15"/>
        <v>1270124.1406548447</v>
      </c>
      <c r="AH49" s="35">
        <f t="shared" si="15"/>
        <v>1385296.31048574</v>
      </c>
      <c r="AI49" s="35">
        <f t="shared" si="15"/>
        <v>1506238.340952357</v>
      </c>
      <c r="AJ49" s="35">
        <f t="shared" si="15"/>
        <v>1633758.0061620511</v>
      </c>
      <c r="AK49" s="35">
        <f t="shared" si="15"/>
        <v>1767680.7390067705</v>
      </c>
      <c r="AL49" s="35">
        <f t="shared" si="15"/>
        <v>1908119.0507359509</v>
      </c>
      <c r="AM49" s="35">
        <f t="shared" si="15"/>
        <v>2056082.5557514559</v>
      </c>
    </row>
    <row r="50" spans="1:39">
      <c r="A50" s="11" t="s">
        <v>43</v>
      </c>
      <c r="P50" s="35">
        <f t="shared" ref="P50:AM50" si="16">-$O42/P$4</f>
        <v>-668978.07245094399</v>
      </c>
      <c r="Q50" s="35">
        <f t="shared" si="16"/>
        <v>-695891.50092268456</v>
      </c>
      <c r="R50" s="35">
        <f t="shared" si="16"/>
        <v>-737391.90125303727</v>
      </c>
      <c r="S50" s="35">
        <f t="shared" si="16"/>
        <v>-777165.16764737084</v>
      </c>
      <c r="T50" s="35">
        <f t="shared" si="16"/>
        <v>-819083.71488488512</v>
      </c>
      <c r="U50" s="35">
        <f t="shared" si="16"/>
        <v>-863263.25460591866</v>
      </c>
      <c r="V50" s="35">
        <f t="shared" si="16"/>
        <v>-909825.73967733886</v>
      </c>
      <c r="W50" s="35">
        <f t="shared" si="16"/>
        <v>-958899.70083031186</v>
      </c>
      <c r="X50" s="35">
        <f t="shared" si="16"/>
        <v>-1010620.6014555595</v>
      </c>
      <c r="Y50" s="35">
        <f t="shared" si="16"/>
        <v>-1065131.2115354775</v>
      </c>
      <c r="Z50" s="35">
        <f t="shared" si="16"/>
        <v>-1122582.0017453127</v>
      </c>
      <c r="AA50" s="35">
        <f t="shared" si="16"/>
        <v>-1183131.5588112772</v>
      </c>
      <c r="AB50" s="35">
        <f t="shared" si="16"/>
        <v>-1246947.0232721437</v>
      </c>
      <c r="AC50" s="35">
        <f t="shared" si="16"/>
        <v>-1314204.5508527262</v>
      </c>
      <c r="AD50" s="35">
        <f t="shared" si="16"/>
        <v>-1385089.7987228062</v>
      </c>
      <c r="AE50" s="35">
        <f t="shared" si="16"/>
        <v>-1459798.437983779</v>
      </c>
      <c r="AF50" s="35">
        <f t="shared" si="16"/>
        <v>-1538536.6937976808</v>
      </c>
      <c r="AG50" s="35">
        <f t="shared" si="16"/>
        <v>-1621521.9146495629</v>
      </c>
      <c r="AH50" s="35">
        <f t="shared" si="16"/>
        <v>-1708983.1723146047</v>
      </c>
      <c r="AI50" s="35">
        <f t="shared" si="16"/>
        <v>-1801161.894186107</v>
      </c>
      <c r="AJ50" s="35">
        <f t="shared" si="16"/>
        <v>-1898312.5297098404</v>
      </c>
      <c r="AK50" s="35">
        <f t="shared" si="16"/>
        <v>-2000703.2527643677</v>
      </c>
      <c r="AL50" s="35">
        <f t="shared" si="16"/>
        <v>-2108616.7019261871</v>
      </c>
      <c r="AM50" s="35">
        <f t="shared" si="16"/>
        <v>-2222350.7606631196</v>
      </c>
    </row>
    <row r="51" spans="1:39">
      <c r="A51" s="11" t="s">
        <v>44</v>
      </c>
      <c r="O51" s="35">
        <f>+Inputs!P42</f>
        <v>473369.46872050397</v>
      </c>
      <c r="P51" s="35">
        <f t="shared" ref="P51:AM51" si="17">+P31</f>
        <v>470415.91518743068</v>
      </c>
      <c r="Q51" s="35">
        <f t="shared" si="17"/>
        <v>465763.60995288705</v>
      </c>
      <c r="R51" s="35">
        <f t="shared" si="17"/>
        <v>460595.02526829415</v>
      </c>
      <c r="S51" s="35">
        <f t="shared" si="17"/>
        <v>454619.45180017315</v>
      </c>
      <c r="T51" s="35">
        <f t="shared" si="17"/>
        <v>445527.25266743085</v>
      </c>
      <c r="U51" s="35">
        <f t="shared" si="17"/>
        <v>434324.93500252662</v>
      </c>
      <c r="V51" s="35">
        <f t="shared" si="17"/>
        <v>420861.72152200458</v>
      </c>
      <c r="W51" s="35">
        <f t="shared" si="17"/>
        <v>406994.7114914126</v>
      </c>
      <c r="X51" s="35">
        <f t="shared" si="17"/>
        <v>393271.03041764436</v>
      </c>
      <c r="Y51" s="35">
        <f t="shared" si="17"/>
        <v>379290.65965838445</v>
      </c>
      <c r="Z51" s="35">
        <f t="shared" si="17"/>
        <v>365319.83611005667</v>
      </c>
      <c r="AA51" s="35">
        <f t="shared" si="17"/>
        <v>350682.42363139399</v>
      </c>
      <c r="AB51" s="35">
        <f t="shared" si="17"/>
        <v>335614.39477308013</v>
      </c>
      <c r="AC51" s="35">
        <f t="shared" si="17"/>
        <v>320051.1712935422</v>
      </c>
      <c r="AD51" s="35">
        <f t="shared" si="17"/>
        <v>304766.26595724857</v>
      </c>
      <c r="AE51" s="35">
        <f t="shared" si="17"/>
        <v>290017.08116367512</v>
      </c>
      <c r="AF51" s="35">
        <f t="shared" si="17"/>
        <v>275071.70696614211</v>
      </c>
      <c r="AG51" s="35">
        <f t="shared" si="17"/>
        <v>258641.22820379445</v>
      </c>
      <c r="AH51" s="35">
        <f t="shared" si="17"/>
        <v>243376.68311038983</v>
      </c>
      <c r="AI51" s="35">
        <f t="shared" si="17"/>
        <v>227657.27621773505</v>
      </c>
      <c r="AJ51" s="35">
        <f t="shared" si="17"/>
        <v>211202.27860833661</v>
      </c>
      <c r="AK51" s="35">
        <f t="shared" si="17"/>
        <v>194624.37282780631</v>
      </c>
      <c r="AL51" s="35">
        <f t="shared" si="17"/>
        <v>178016.17639999941</v>
      </c>
      <c r="AM51" s="35">
        <f t="shared" si="17"/>
        <v>175151.69375358062</v>
      </c>
    </row>
    <row r="52" spans="1:39">
      <c r="A52" s="11" t="s">
        <v>1</v>
      </c>
      <c r="O52" s="35">
        <f>+Inputs!O64</f>
        <v>-5648.4152034499084</v>
      </c>
      <c r="P52" s="35">
        <f>+Inputs!P64</f>
        <v>-5700.8563569719536</v>
      </c>
      <c r="Q52" s="35">
        <f>+Inputs!Q64</f>
        <v>-5240.6378452977779</v>
      </c>
      <c r="R52" s="35">
        <f>+Inputs!R64</f>
        <v>-4756.0701649254634</v>
      </c>
      <c r="S52" s="35">
        <f>+Inputs!S64</f>
        <v>-4480.306387916482</v>
      </c>
      <c r="T52" s="35">
        <f>+Inputs!T64</f>
        <v>-4266.0279553952214</v>
      </c>
      <c r="U52" s="35">
        <f>+Inputs!U64</f>
        <v>-4094.4130113298347</v>
      </c>
      <c r="V52" s="35">
        <f>+Inputs!V64</f>
        <v>-4029.1975708358204</v>
      </c>
      <c r="W52" s="35">
        <f>+Inputs!W64</f>
        <v>-4010.2765918893488</v>
      </c>
      <c r="X52" s="35">
        <f>+Inputs!X64</f>
        <v>-3999.1240514893157</v>
      </c>
      <c r="Y52" s="35">
        <f>+Inputs!Y64</f>
        <v>-3995.4221992014918</v>
      </c>
      <c r="Z52" s="35">
        <f>+Inputs!Z64</f>
        <v>-3998.869290475488</v>
      </c>
      <c r="AA52" s="35">
        <f>+Inputs!AA64</f>
        <v>-4009.1788115244985</v>
      </c>
      <c r="AB52" s="35">
        <f>+Inputs!AB64</f>
        <v>-4026.0787392772613</v>
      </c>
      <c r="AC52" s="35">
        <f>+Inputs!AC64</f>
        <v>-4049.840511758307</v>
      </c>
      <c r="AD52" s="35">
        <f>+Inputs!AD64</f>
        <v>-4080.6563604495145</v>
      </c>
      <c r="AE52" s="35">
        <f>+Inputs!AE64</f>
        <v>-4117.2791141433845</v>
      </c>
      <c r="AF52" s="35">
        <f>+Inputs!AF64</f>
        <v>-4159.4878600011407</v>
      </c>
      <c r="AG52" s="35">
        <f>+Inputs!AG64</f>
        <v>-4207.07296275508</v>
      </c>
      <c r="AH52" s="35">
        <f>+Inputs!AH64</f>
        <v>-4259.8355072868735</v>
      </c>
      <c r="AI52" s="35">
        <f>+Inputs!AI64</f>
        <v>-4317.5867674944529</v>
      </c>
      <c r="AJ52" s="35">
        <f>+Inputs!AJ64</f>
        <v>-4380.1477003199052</v>
      </c>
      <c r="AK52" s="35">
        <f>+Inputs!AK64</f>
        <v>-4447.3484638471627</v>
      </c>
      <c r="AL52" s="35">
        <f>+Inputs!AL64</f>
        <v>-4519.027958415084</v>
      </c>
      <c r="AM52" s="35">
        <f>+Inputs!AM64</f>
        <v>-4595.0333897282981</v>
      </c>
    </row>
    <row r="53" spans="1:39">
      <c r="A53" s="11" t="s">
        <v>2</v>
      </c>
      <c r="O53" s="35">
        <f>+Inputs!O67</f>
        <v>-5399.4441984550922</v>
      </c>
      <c r="P53" s="35">
        <f>+Inputs!P67</f>
        <v>-5661.1468855410521</v>
      </c>
      <c r="Q53" s="35">
        <f>+Inputs!Q67</f>
        <v>-5490.14616310969</v>
      </c>
      <c r="R53" s="35">
        <f>+Inputs!R67</f>
        <v>-5518.5930489802877</v>
      </c>
      <c r="S53" s="35">
        <f>+Inputs!S67</f>
        <v>-5356.4731068333967</v>
      </c>
      <c r="T53" s="35">
        <f>+Inputs!T67</f>
        <v>-4765.270277940388</v>
      </c>
      <c r="U53" s="35">
        <f>+Inputs!U67</f>
        <v>-4736.3634941700566</v>
      </c>
      <c r="V53" s="35">
        <f>+Inputs!V67</f>
        <v>-4395.2933873630391</v>
      </c>
      <c r="W53" s="35">
        <f>+Inputs!W67</f>
        <v>-4366.4146744369618</v>
      </c>
      <c r="X53" s="35">
        <f>+Inputs!X67</f>
        <v>-4442.6386523703286</v>
      </c>
      <c r="Y53" s="35">
        <f>+Inputs!Y67</f>
        <v>-4451.1879136695443</v>
      </c>
      <c r="Z53" s="35">
        <f>+Inputs!Z67</f>
        <v>-4491.4544602191909</v>
      </c>
      <c r="AA53" s="35">
        <f>+Inputs!AA67</f>
        <v>-4410.8375814098818</v>
      </c>
      <c r="AB53" s="35">
        <f>+Inputs!AB67</f>
        <v>-4370.0430099282348</v>
      </c>
      <c r="AC53" s="35">
        <f>+Inputs!AC67</f>
        <v>-4291.466332497901</v>
      </c>
      <c r="AD53" s="35">
        <f>+Inputs!AD67</f>
        <v>-4351.0845369358567</v>
      </c>
      <c r="AE53" s="35">
        <f>+Inputs!AE67</f>
        <v>-4470.3995478295938</v>
      </c>
      <c r="AF53" s="35">
        <f>+Inputs!AF67</f>
        <v>-4471.720951856355</v>
      </c>
      <c r="AG53" s="35">
        <f>+Inputs!AG67</f>
        <v>-4234.1561929200761</v>
      </c>
      <c r="AH53" s="35">
        <f>+Inputs!AH67</f>
        <v>-4463.4253228543439</v>
      </c>
      <c r="AI53" s="35">
        <f>+Inputs!AI67</f>
        <v>-4424.7848942433384</v>
      </c>
      <c r="AJ53" s="35">
        <f>+Inputs!AJ67</f>
        <v>-4334.05265797835</v>
      </c>
      <c r="AK53" s="35">
        <f>+Inputs!AK67</f>
        <v>-4353.470955776088</v>
      </c>
      <c r="AL53" s="35">
        <f>+Inputs!AL67</f>
        <v>-4391.5047454755304</v>
      </c>
      <c r="AM53" s="35">
        <f>+Inputs!AM67</f>
        <v>-4288.4554521897935</v>
      </c>
    </row>
    <row r="54" spans="1:39">
      <c r="A54" s="11" t="s">
        <v>45</v>
      </c>
      <c r="O54" s="52">
        <f>+Inputs!P43</f>
        <v>199663.8389231606</v>
      </c>
      <c r="P54" s="52">
        <f>-SUM(P49:P53)</f>
        <v>179660.73770274289</v>
      </c>
      <c r="Q54" s="52">
        <f>-SUM(Q49:Q53)</f>
        <v>175961.59060413143</v>
      </c>
      <c r="R54" s="52">
        <f t="shared" ref="R54:AM54" si="18">-SUM(R49:R53)</f>
        <v>181670.87665259244</v>
      </c>
      <c r="S54" s="52">
        <f t="shared" si="18"/>
        <v>182692.81725254262</v>
      </c>
      <c r="T54" s="52">
        <f t="shared" si="18"/>
        <v>182369.06674969307</v>
      </c>
      <c r="U54" s="52">
        <f t="shared" si="18"/>
        <v>180768.74548723179</v>
      </c>
      <c r="V54" s="52">
        <f t="shared" si="18"/>
        <v>178240.16080893291</v>
      </c>
      <c r="W54" s="52">
        <f t="shared" si="18"/>
        <v>175009.90460383051</v>
      </c>
      <c r="X54" s="52">
        <f t="shared" si="18"/>
        <v>171133.44453343085</v>
      </c>
      <c r="Y54" s="52">
        <f t="shared" si="18"/>
        <v>166620.40723488657</v>
      </c>
      <c r="Z54" s="52">
        <f t="shared" si="18"/>
        <v>161396.82797204726</v>
      </c>
      <c r="AA54" s="52">
        <f t="shared" si="18"/>
        <v>155418.66831844783</v>
      </c>
      <c r="AB54" s="52">
        <f t="shared" si="18"/>
        <v>148661.64296138051</v>
      </c>
      <c r="AC54" s="52">
        <f t="shared" si="18"/>
        <v>140940.21426671234</v>
      </c>
      <c r="AD54" s="52">
        <f t="shared" si="18"/>
        <v>132279.40218469538</v>
      </c>
      <c r="AE54" s="52">
        <f t="shared" si="18"/>
        <v>122774.63537763053</v>
      </c>
      <c r="AF54" s="52">
        <f t="shared" si="18"/>
        <v>112466.40231894102</v>
      </c>
      <c r="AG54" s="52">
        <f t="shared" si="18"/>
        <v>101197.77494659892</v>
      </c>
      <c r="AH54" s="52">
        <f t="shared" si="18"/>
        <v>89033.439548616167</v>
      </c>
      <c r="AI54" s="52">
        <f t="shared" si="18"/>
        <v>76008.648677752659</v>
      </c>
      <c r="AJ54" s="52">
        <f t="shared" si="18"/>
        <v>62066.445297750957</v>
      </c>
      <c r="AK54" s="52">
        <f t="shared" si="18"/>
        <v>47198.960349414134</v>
      </c>
      <c r="AL54" s="52">
        <f t="shared" si="18"/>
        <v>31392.007494127411</v>
      </c>
      <c r="AM54" s="52">
        <f t="shared" si="18"/>
        <v>1.1332303984090686E-9</v>
      </c>
    </row>
    <row r="55" spans="1:39">
      <c r="A55" s="11"/>
    </row>
    <row r="56" spans="1:39">
      <c r="A56" s="11" t="s">
        <v>0</v>
      </c>
      <c r="O56" s="35">
        <f>+O42</f>
        <v>661985.44824175956</v>
      </c>
      <c r="P56" s="35">
        <f>SUM(P51:P54)</f>
        <v>638714.64964766055</v>
      </c>
      <c r="Q56" s="35">
        <f t="shared" ref="Q56:U56" si="19">SUM(Q51:Q54)</f>
        <v>630994.41654861101</v>
      </c>
      <c r="R56" s="35">
        <f t="shared" si="19"/>
        <v>631991.23870698083</v>
      </c>
      <c r="S56" s="35">
        <f t="shared" si="19"/>
        <v>627475.48955796589</v>
      </c>
      <c r="T56" s="35">
        <f t="shared" si="19"/>
        <v>618865.02118378831</v>
      </c>
      <c r="U56" s="35">
        <f t="shared" si="19"/>
        <v>606262.90398425853</v>
      </c>
      <c r="V56" s="35">
        <f t="shared" ref="V56:Z56" si="20">SUM(V51:V54)</f>
        <v>590677.39137273864</v>
      </c>
      <c r="W56" s="35">
        <f t="shared" si="20"/>
        <v>573627.92482891679</v>
      </c>
      <c r="X56" s="35">
        <f t="shared" si="20"/>
        <v>555962.71224721556</v>
      </c>
      <c r="Y56" s="35">
        <f t="shared" si="20"/>
        <v>537464.45678040001</v>
      </c>
      <c r="Z56" s="35">
        <f t="shared" si="20"/>
        <v>518226.34033140924</v>
      </c>
      <c r="AA56" s="35">
        <f t="shared" ref="AA56:AM56" si="21">SUM(AA51:AA54)</f>
        <v>497681.07555690745</v>
      </c>
      <c r="AB56" s="35">
        <f t="shared" si="21"/>
        <v>475879.91598525515</v>
      </c>
      <c r="AC56" s="35">
        <f t="shared" si="21"/>
        <v>452650.07871599833</v>
      </c>
      <c r="AD56" s="35">
        <f t="shared" si="21"/>
        <v>428613.92724455858</v>
      </c>
      <c r="AE56" s="35">
        <f t="shared" si="21"/>
        <v>404204.03787933267</v>
      </c>
      <c r="AF56" s="35">
        <f t="shared" si="21"/>
        <v>378906.90047322563</v>
      </c>
      <c r="AG56" s="35">
        <f t="shared" si="21"/>
        <v>351397.77399471821</v>
      </c>
      <c r="AH56" s="35">
        <f t="shared" si="21"/>
        <v>323686.86182886478</v>
      </c>
      <c r="AI56" s="35">
        <f t="shared" si="21"/>
        <v>294923.55323374993</v>
      </c>
      <c r="AJ56" s="35">
        <f t="shared" si="21"/>
        <v>264554.52354778931</v>
      </c>
      <c r="AK56" s="35">
        <f t="shared" si="21"/>
        <v>233022.51375759719</v>
      </c>
      <c r="AL56" s="35">
        <f t="shared" si="21"/>
        <v>200497.65119023621</v>
      </c>
      <c r="AM56" s="35">
        <f t="shared" si="21"/>
        <v>166268.20491166369</v>
      </c>
    </row>
    <row r="57" spans="1:39">
      <c r="A57" s="102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</row>
    <row r="58" spans="1:39">
      <c r="A58" s="21" t="s">
        <v>38</v>
      </c>
      <c r="B58" s="22"/>
      <c r="O58" s="22"/>
      <c r="P58" s="22">
        <v>0</v>
      </c>
      <c r="Q58" s="22">
        <f>+P62</f>
        <v>30263.422803283422</v>
      </c>
      <c r="R58" s="22">
        <f>+Q62</f>
        <v>64897.084374073514</v>
      </c>
      <c r="S58" s="22">
        <f>+R62</f>
        <v>105400.66254605642</v>
      </c>
      <c r="T58" s="22">
        <f>+S62</f>
        <v>149689.67808940492</v>
      </c>
      <c r="U58" s="22">
        <f>+T62</f>
        <v>200218.69370109678</v>
      </c>
      <c r="V58" s="22">
        <f t="shared" ref="V58:AM58" si="22">+U62</f>
        <v>257000.35062166012</v>
      </c>
      <c r="W58" s="22">
        <f t="shared" si="22"/>
        <v>319148.34830460016</v>
      </c>
      <c r="X58" s="22">
        <f t="shared" si="22"/>
        <v>385271.77600139508</v>
      </c>
      <c r="Y58" s="22">
        <f t="shared" si="22"/>
        <v>454657.88920834393</v>
      </c>
      <c r="Z58" s="22">
        <f t="shared" si="22"/>
        <v>527666.75475507753</v>
      </c>
      <c r="AA58" s="22">
        <f t="shared" si="22"/>
        <v>604355.66141390346</v>
      </c>
      <c r="AB58" s="22">
        <f t="shared" si="22"/>
        <v>685450.4832543697</v>
      </c>
      <c r="AC58" s="22">
        <f t="shared" si="22"/>
        <v>771067.10728688852</v>
      </c>
      <c r="AD58" s="22">
        <f t="shared" si="22"/>
        <v>861554.47213672788</v>
      </c>
      <c r="AE58" s="22">
        <f t="shared" si="22"/>
        <v>956475.87147824757</v>
      </c>
      <c r="AF58" s="22">
        <f t="shared" si="22"/>
        <v>1055594.4001044463</v>
      </c>
      <c r="AG58" s="22">
        <f t="shared" si="22"/>
        <v>1159629.7933244552</v>
      </c>
      <c r="AH58" s="22">
        <f t="shared" si="22"/>
        <v>1270124.1406548447</v>
      </c>
      <c r="AI58" s="22">
        <f t="shared" si="22"/>
        <v>1385296.31048574</v>
      </c>
      <c r="AJ58" s="22">
        <f t="shared" si="22"/>
        <v>1506238.340952357</v>
      </c>
      <c r="AK58" s="22">
        <f t="shared" si="22"/>
        <v>1633758.0061620511</v>
      </c>
      <c r="AL58" s="22">
        <f t="shared" si="22"/>
        <v>1767680.7390067705</v>
      </c>
      <c r="AM58" s="22">
        <f t="shared" si="22"/>
        <v>1908119.0507359509</v>
      </c>
    </row>
    <row r="59" spans="1:39">
      <c r="A59" s="21" t="s">
        <v>303</v>
      </c>
      <c r="B59" s="22"/>
      <c r="O59" s="22"/>
      <c r="P59" s="22">
        <f t="shared" ref="P59:AM59" si="23">+P27</f>
        <v>30263.422803283422</v>
      </c>
      <c r="Q59" s="22">
        <f t="shared" si="23"/>
        <v>33416.144138653428</v>
      </c>
      <c r="R59" s="22">
        <f t="shared" si="23"/>
        <v>36633.355618286354</v>
      </c>
      <c r="S59" s="22">
        <f t="shared" si="23"/>
        <v>38603.940046234995</v>
      </c>
      <c r="T59" s="22">
        <f t="shared" si="23"/>
        <v>42455.089883710585</v>
      </c>
      <c r="U59" s="22">
        <f t="shared" si="23"/>
        <v>45982.309344101996</v>
      </c>
      <c r="V59" s="22">
        <f t="shared" si="23"/>
        <v>48285.974800205899</v>
      </c>
      <c r="W59" s="22">
        <f t="shared" si="23"/>
        <v>48909.281114956284</v>
      </c>
      <c r="X59" s="22">
        <f t="shared" si="23"/>
        <v>48605.417141420403</v>
      </c>
      <c r="Y59" s="22">
        <f t="shared" si="23"/>
        <v>48485.638053943963</v>
      </c>
      <c r="Z59" s="22">
        <f t="shared" si="23"/>
        <v>48227.744597452271</v>
      </c>
      <c r="AA59" s="22">
        <f t="shared" si="23"/>
        <v>48497.23204121177</v>
      </c>
      <c r="AB59" s="22">
        <f t="shared" si="23"/>
        <v>48644.961305719313</v>
      </c>
      <c r="AC59" s="22">
        <f t="shared" si="23"/>
        <v>48897.733320233121</v>
      </c>
      <c r="AD59" s="22">
        <f t="shared" si="23"/>
        <v>48451.082166494489</v>
      </c>
      <c r="AE59" s="22">
        <f t="shared" si="23"/>
        <v>47528.363923532102</v>
      </c>
      <c r="AF59" s="22">
        <f t="shared" si="23"/>
        <v>47098.997243354534</v>
      </c>
      <c r="AG59" s="22">
        <f t="shared" si="23"/>
        <v>47946.515424011159</v>
      </c>
      <c r="AH59" s="22">
        <f t="shared" si="23"/>
        <v>46664.520486908063</v>
      </c>
      <c r="AI59" s="22">
        <f t="shared" si="23"/>
        <v>46222.25242401845</v>
      </c>
      <c r="AJ59" s="22">
        <f t="shared" si="23"/>
        <v>46276.545118116628</v>
      </c>
      <c r="AK59" s="22">
        <f t="shared" si="23"/>
        <v>45801.487828955906</v>
      </c>
      <c r="AL59" s="22">
        <f t="shared" si="23"/>
        <v>45093.574672564697</v>
      </c>
      <c r="AM59" s="22">
        <f t="shared" si="23"/>
        <v>45043.840196754252</v>
      </c>
    </row>
    <row r="60" spans="1:39">
      <c r="A60" s="21" t="s">
        <v>39</v>
      </c>
      <c r="B60" s="22"/>
      <c r="O60" s="22"/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</row>
    <row r="61" spans="1:39">
      <c r="A61" s="21" t="s">
        <v>40</v>
      </c>
      <c r="B61" s="22"/>
      <c r="O61" s="22"/>
      <c r="P61" s="22">
        <f>P58*'Pi''s Calc'!P3</f>
        <v>0</v>
      </c>
      <c r="Q61" s="22">
        <f>Q58*'Pi''s Calc'!Q3</f>
        <v>1217.5174321366667</v>
      </c>
      <c r="R61" s="22">
        <f>R58*'Pi''s Calc'!R3</f>
        <v>3870.2225536965607</v>
      </c>
      <c r="S61" s="22">
        <f>S58*'Pi''s Calc'!S3</f>
        <v>5685.0754971134784</v>
      </c>
      <c r="T61" s="22">
        <f>T58*'Pi''s Calc'!T3</f>
        <v>8073.9257279813019</v>
      </c>
      <c r="U61" s="22">
        <f>U58*'Pi''s Calc'!U3</f>
        <v>10799.347576461339</v>
      </c>
      <c r="V61" s="22">
        <f>V58*'Pi''s Calc'!V3</f>
        <v>13862.022882734133</v>
      </c>
      <c r="W61" s="22">
        <f>W58*'Pi''s Calc'!W3</f>
        <v>17214.146581838595</v>
      </c>
      <c r="X61" s="22">
        <f>X58*'Pi''s Calc'!X3</f>
        <v>20780.696065528424</v>
      </c>
      <c r="Y61" s="22">
        <f>Y58*'Pi''s Calc'!Y3</f>
        <v>24523.227492789603</v>
      </c>
      <c r="Z61" s="22">
        <f>Z58*'Pi''s Calc'!Z3</f>
        <v>28461.16206137375</v>
      </c>
      <c r="AA61" s="22">
        <f>AA58*'Pi''s Calc'!AA3</f>
        <v>32597.589799254474</v>
      </c>
      <c r="AB61" s="22">
        <f>AB58*'Pi''s Calc'!AB3</f>
        <v>36971.662726799528</v>
      </c>
      <c r="AC61" s="22">
        <f>AC58*'Pi''s Calc'!AC3</f>
        <v>41589.631529606275</v>
      </c>
      <c r="AD61" s="22">
        <f>AD58*'Pi''s Calc'!AD3</f>
        <v>46470.317175025273</v>
      </c>
      <c r="AE61" s="22">
        <f>AE58*'Pi''s Calc'!AE3</f>
        <v>51590.164702666712</v>
      </c>
      <c r="AF61" s="22">
        <f>AF58*'Pi''s Calc'!AF3</f>
        <v>56936.395976654341</v>
      </c>
      <c r="AG61" s="22">
        <f>AG58*'Pi''s Calc'!AG3</f>
        <v>62547.831906378175</v>
      </c>
      <c r="AH61" s="22">
        <f>AH58*'Pi''s Calc'!AH3</f>
        <v>68507.649343987316</v>
      </c>
      <c r="AI61" s="22">
        <f>AI58*'Pi''s Calc'!AI3</f>
        <v>74719.778042598729</v>
      </c>
      <c r="AJ61" s="22">
        <f>AJ58*'Pi''s Calc'!AJ3</f>
        <v>81243.120091577541</v>
      </c>
      <c r="AK61" s="22">
        <f>AK58*'Pi''s Calc'!AK3</f>
        <v>88121.245015763518</v>
      </c>
      <c r="AL61" s="22">
        <f>AL58*'Pi''s Calc'!AL3</f>
        <v>95344.737056615733</v>
      </c>
      <c r="AM61" s="22">
        <f>AM58*'Pi''s Calc'!AM3</f>
        <v>102919.66481875075</v>
      </c>
    </row>
    <row r="62" spans="1:39">
      <c r="A62" s="21" t="s">
        <v>41</v>
      </c>
      <c r="B62" s="22"/>
      <c r="O62" s="64"/>
      <c r="P62" s="64">
        <f t="shared" ref="P62:AM62" si="24">SUM(P58:P61)</f>
        <v>30263.422803283422</v>
      </c>
      <c r="Q62" s="64">
        <f t="shared" si="24"/>
        <v>64897.084374073514</v>
      </c>
      <c r="R62" s="64">
        <f t="shared" si="24"/>
        <v>105400.66254605642</v>
      </c>
      <c r="S62" s="64">
        <f t="shared" si="24"/>
        <v>149689.67808940492</v>
      </c>
      <c r="T62" s="64">
        <f t="shared" si="24"/>
        <v>200218.69370109678</v>
      </c>
      <c r="U62" s="64">
        <f t="shared" si="24"/>
        <v>257000.35062166012</v>
      </c>
      <c r="V62" s="64">
        <f t="shared" si="24"/>
        <v>319148.34830460016</v>
      </c>
      <c r="W62" s="64">
        <f t="shared" si="24"/>
        <v>385271.77600139508</v>
      </c>
      <c r="X62" s="64">
        <f t="shared" si="24"/>
        <v>454657.88920834393</v>
      </c>
      <c r="Y62" s="64">
        <f t="shared" si="24"/>
        <v>527666.75475507753</v>
      </c>
      <c r="Z62" s="64">
        <f t="shared" si="24"/>
        <v>604355.66141390346</v>
      </c>
      <c r="AA62" s="64">
        <f t="shared" si="24"/>
        <v>685450.4832543697</v>
      </c>
      <c r="AB62" s="64">
        <f t="shared" si="24"/>
        <v>771067.10728688852</v>
      </c>
      <c r="AC62" s="64">
        <f t="shared" si="24"/>
        <v>861554.47213672788</v>
      </c>
      <c r="AD62" s="64">
        <f t="shared" si="24"/>
        <v>956475.87147824757</v>
      </c>
      <c r="AE62" s="64">
        <f t="shared" si="24"/>
        <v>1055594.4001044463</v>
      </c>
      <c r="AF62" s="64">
        <f t="shared" si="24"/>
        <v>1159629.7933244552</v>
      </c>
      <c r="AG62" s="64">
        <f t="shared" si="24"/>
        <v>1270124.1406548447</v>
      </c>
      <c r="AH62" s="64">
        <f t="shared" si="24"/>
        <v>1385296.31048574</v>
      </c>
      <c r="AI62" s="64">
        <f t="shared" si="24"/>
        <v>1506238.340952357</v>
      </c>
      <c r="AJ62" s="64">
        <f t="shared" si="24"/>
        <v>1633758.0061620511</v>
      </c>
      <c r="AK62" s="64">
        <f t="shared" si="24"/>
        <v>1767680.7390067705</v>
      </c>
      <c r="AL62" s="64">
        <f t="shared" si="24"/>
        <v>1908119.0507359509</v>
      </c>
      <c r="AM62" s="64">
        <f t="shared" si="24"/>
        <v>2056082.5557514559</v>
      </c>
    </row>
    <row r="64" spans="1:39">
      <c r="A64" s="13" t="s">
        <v>300</v>
      </c>
      <c r="P64" s="35">
        <f>+O67</f>
        <v>661985.44824175956</v>
      </c>
      <c r="Q64" s="35">
        <f>+P67</f>
        <v>638714.64964766055</v>
      </c>
      <c r="R64" s="35">
        <f t="shared" ref="R64:AM64" si="25">+Q67</f>
        <v>630994.41654861101</v>
      </c>
      <c r="S64" s="35">
        <f t="shared" si="25"/>
        <v>631991.23870698083</v>
      </c>
      <c r="T64" s="35">
        <f t="shared" si="25"/>
        <v>627475.48955796601</v>
      </c>
      <c r="U64" s="35">
        <f t="shared" si="25"/>
        <v>618865.02118378831</v>
      </c>
      <c r="V64" s="35">
        <f t="shared" si="25"/>
        <v>606262.90398425842</v>
      </c>
      <c r="W64" s="35">
        <f t="shared" si="25"/>
        <v>590677.39137273852</v>
      </c>
      <c r="X64" s="35">
        <f t="shared" si="25"/>
        <v>573627.92482891667</v>
      </c>
      <c r="Y64" s="35">
        <f t="shared" si="25"/>
        <v>555962.71224721556</v>
      </c>
      <c r="Z64" s="35">
        <f t="shared" si="25"/>
        <v>537464.45678039989</v>
      </c>
      <c r="AA64" s="35">
        <f t="shared" si="25"/>
        <v>518226.34033140918</v>
      </c>
      <c r="AB64" s="35">
        <f t="shared" si="25"/>
        <v>497681.0755569071</v>
      </c>
      <c r="AC64" s="35">
        <f t="shared" si="25"/>
        <v>475879.91598525492</v>
      </c>
      <c r="AD64" s="35">
        <f t="shared" si="25"/>
        <v>452650.07871599798</v>
      </c>
      <c r="AE64" s="35">
        <f t="shared" si="25"/>
        <v>428613.92724455812</v>
      </c>
      <c r="AF64" s="35">
        <f t="shared" si="25"/>
        <v>404204.0378793322</v>
      </c>
      <c r="AG64" s="35">
        <f t="shared" si="25"/>
        <v>378906.90047322493</v>
      </c>
      <c r="AH64" s="35">
        <f t="shared" si="25"/>
        <v>351397.77399471751</v>
      </c>
      <c r="AI64" s="35">
        <f t="shared" si="25"/>
        <v>323686.86182886397</v>
      </c>
      <c r="AJ64" s="35">
        <f t="shared" si="25"/>
        <v>294923.55323374917</v>
      </c>
      <c r="AK64" s="35">
        <f t="shared" si="25"/>
        <v>264554.52354778827</v>
      </c>
      <c r="AL64" s="35">
        <f t="shared" si="25"/>
        <v>233022.51375759576</v>
      </c>
      <c r="AM64" s="35">
        <f t="shared" si="25"/>
        <v>200497.65119023464</v>
      </c>
    </row>
    <row r="65" spans="1:39">
      <c r="A65" s="13" t="s">
        <v>302</v>
      </c>
      <c r="P65" s="35">
        <f t="shared" ref="P65:AM65" si="26">+P64*P3</f>
        <v>6992.6242091844251</v>
      </c>
      <c r="Q65" s="35">
        <f t="shared" si="26"/>
        <v>25695.911039603881</v>
      </c>
      <c r="R65" s="35">
        <f t="shared" si="26"/>
        <v>37630.177776656099</v>
      </c>
      <c r="S65" s="35">
        <f t="shared" si="26"/>
        <v>34088.190897220135</v>
      </c>
      <c r="T65" s="35">
        <f t="shared" si="26"/>
        <v>33844.621509532866</v>
      </c>
      <c r="U65" s="35">
        <f t="shared" si="26"/>
        <v>33380.192144572109</v>
      </c>
      <c r="V65" s="35">
        <f t="shared" si="26"/>
        <v>32700.462188685982</v>
      </c>
      <c r="W65" s="35">
        <f t="shared" si="26"/>
        <v>31859.81457113436</v>
      </c>
      <c r="X65" s="35">
        <f t="shared" si="26"/>
        <v>30940.204559719263</v>
      </c>
      <c r="Y65" s="35">
        <f t="shared" si="26"/>
        <v>29987.382587128282</v>
      </c>
      <c r="Z65" s="35">
        <f t="shared" si="26"/>
        <v>28989.628148461579</v>
      </c>
      <c r="AA65" s="35">
        <f t="shared" si="26"/>
        <v>27951.967266709704</v>
      </c>
      <c r="AB65" s="35">
        <f t="shared" si="26"/>
        <v>26843.801734067132</v>
      </c>
      <c r="AC65" s="35">
        <f t="shared" si="26"/>
        <v>25667.896050976167</v>
      </c>
      <c r="AD65" s="35">
        <f t="shared" si="26"/>
        <v>24414.930695054623</v>
      </c>
      <c r="AE65" s="35">
        <f t="shared" si="26"/>
        <v>23118.474558306141</v>
      </c>
      <c r="AF65" s="35">
        <f t="shared" si="26"/>
        <v>21801.859837247266</v>
      </c>
      <c r="AG65" s="35">
        <f t="shared" si="26"/>
        <v>20437.388945503768</v>
      </c>
      <c r="AH65" s="35">
        <f t="shared" si="26"/>
        <v>18953.60832105446</v>
      </c>
      <c r="AI65" s="35">
        <f t="shared" si="26"/>
        <v>17458.943828903673</v>
      </c>
      <c r="AJ65" s="35">
        <f t="shared" si="26"/>
        <v>15907.51543215572</v>
      </c>
      <c r="AK65" s="35">
        <f t="shared" si="26"/>
        <v>14269.478038763376</v>
      </c>
      <c r="AL65" s="35">
        <f t="shared" si="26"/>
        <v>12568.712105203571</v>
      </c>
      <c r="AM65" s="35">
        <f t="shared" si="26"/>
        <v>10814.39391818183</v>
      </c>
    </row>
    <row r="66" spans="1:39">
      <c r="A66" s="13" t="s">
        <v>42</v>
      </c>
      <c r="P66" s="35">
        <f t="shared" ref="P66:AM66" si="27">-P27</f>
        <v>-30263.422803283422</v>
      </c>
      <c r="Q66" s="35">
        <f t="shared" si="27"/>
        <v>-33416.144138653428</v>
      </c>
      <c r="R66" s="35">
        <f t="shared" si="27"/>
        <v>-36633.355618286354</v>
      </c>
      <c r="S66" s="35">
        <f t="shared" si="27"/>
        <v>-38603.940046234995</v>
      </c>
      <c r="T66" s="35">
        <f t="shared" si="27"/>
        <v>-42455.089883710585</v>
      </c>
      <c r="U66" s="35">
        <f t="shared" si="27"/>
        <v>-45982.309344101996</v>
      </c>
      <c r="V66" s="35">
        <f t="shared" si="27"/>
        <v>-48285.974800205899</v>
      </c>
      <c r="W66" s="35">
        <f t="shared" si="27"/>
        <v>-48909.281114956284</v>
      </c>
      <c r="X66" s="35">
        <f t="shared" si="27"/>
        <v>-48605.417141420403</v>
      </c>
      <c r="Y66" s="35">
        <f t="shared" si="27"/>
        <v>-48485.638053943963</v>
      </c>
      <c r="Z66" s="35">
        <f t="shared" si="27"/>
        <v>-48227.744597452271</v>
      </c>
      <c r="AA66" s="35">
        <f t="shared" si="27"/>
        <v>-48497.23204121177</v>
      </c>
      <c r="AB66" s="35">
        <f t="shared" si="27"/>
        <v>-48644.961305719313</v>
      </c>
      <c r="AC66" s="35">
        <f t="shared" si="27"/>
        <v>-48897.733320233121</v>
      </c>
      <c r="AD66" s="35">
        <f t="shared" si="27"/>
        <v>-48451.082166494489</v>
      </c>
      <c r="AE66" s="35">
        <f t="shared" si="27"/>
        <v>-47528.363923532102</v>
      </c>
      <c r="AF66" s="35">
        <f t="shared" si="27"/>
        <v>-47098.997243354534</v>
      </c>
      <c r="AG66" s="35">
        <f t="shared" si="27"/>
        <v>-47946.515424011159</v>
      </c>
      <c r="AH66" s="35">
        <f t="shared" si="27"/>
        <v>-46664.520486908063</v>
      </c>
      <c r="AI66" s="35">
        <f t="shared" si="27"/>
        <v>-46222.25242401845</v>
      </c>
      <c r="AJ66" s="35">
        <f t="shared" si="27"/>
        <v>-46276.545118116628</v>
      </c>
      <c r="AK66" s="35">
        <f t="shared" si="27"/>
        <v>-45801.487828955906</v>
      </c>
      <c r="AL66" s="35">
        <f t="shared" si="27"/>
        <v>-45093.574672564697</v>
      </c>
      <c r="AM66" s="35">
        <f t="shared" si="27"/>
        <v>-45043.840196754252</v>
      </c>
    </row>
    <row r="67" spans="1:39">
      <c r="A67" s="13" t="s">
        <v>301</v>
      </c>
      <c r="O67" s="52">
        <f>+O56</f>
        <v>661985.44824175956</v>
      </c>
      <c r="P67" s="52">
        <f t="shared" ref="P67:AM67" si="28">SUM(P64:P66)</f>
        <v>638714.64964766055</v>
      </c>
      <c r="Q67" s="52">
        <f t="shared" si="28"/>
        <v>630994.41654861101</v>
      </c>
      <c r="R67" s="52">
        <f t="shared" si="28"/>
        <v>631991.23870698083</v>
      </c>
      <c r="S67" s="52">
        <f t="shared" si="28"/>
        <v>627475.48955796601</v>
      </c>
      <c r="T67" s="52">
        <f t="shared" si="28"/>
        <v>618865.02118378831</v>
      </c>
      <c r="U67" s="52">
        <f t="shared" si="28"/>
        <v>606262.90398425842</v>
      </c>
      <c r="V67" s="52">
        <f t="shared" si="28"/>
        <v>590677.39137273852</v>
      </c>
      <c r="W67" s="52">
        <f t="shared" si="28"/>
        <v>573627.92482891667</v>
      </c>
      <c r="X67" s="52">
        <f t="shared" si="28"/>
        <v>555962.71224721556</v>
      </c>
      <c r="Y67" s="52">
        <f t="shared" si="28"/>
        <v>537464.45678039989</v>
      </c>
      <c r="Z67" s="52">
        <f t="shared" si="28"/>
        <v>518226.34033140918</v>
      </c>
      <c r="AA67" s="52">
        <f t="shared" si="28"/>
        <v>497681.0755569071</v>
      </c>
      <c r="AB67" s="52">
        <f t="shared" si="28"/>
        <v>475879.91598525492</v>
      </c>
      <c r="AC67" s="52">
        <f t="shared" si="28"/>
        <v>452650.07871599798</v>
      </c>
      <c r="AD67" s="52">
        <f t="shared" si="28"/>
        <v>428613.92724455812</v>
      </c>
      <c r="AE67" s="52">
        <f t="shared" si="28"/>
        <v>404204.0378793322</v>
      </c>
      <c r="AF67" s="52">
        <f t="shared" si="28"/>
        <v>378906.90047322493</v>
      </c>
      <c r="AG67" s="52">
        <f t="shared" si="28"/>
        <v>351397.77399471751</v>
      </c>
      <c r="AH67" s="52">
        <f t="shared" si="28"/>
        <v>323686.86182886397</v>
      </c>
      <c r="AI67" s="52">
        <f t="shared" si="28"/>
        <v>294923.55323374917</v>
      </c>
      <c r="AJ67" s="52">
        <f t="shared" si="28"/>
        <v>264554.52354778827</v>
      </c>
      <c r="AK67" s="52">
        <f t="shared" si="28"/>
        <v>233022.51375759576</v>
      </c>
      <c r="AL67" s="52">
        <f t="shared" si="28"/>
        <v>200497.65119023464</v>
      </c>
      <c r="AM67" s="52">
        <f t="shared" si="28"/>
        <v>166268.20491166221</v>
      </c>
    </row>
    <row r="69" spans="1:39">
      <c r="A69" s="13" t="s">
        <v>218</v>
      </c>
      <c r="P69" s="35">
        <f>+P6+P7</f>
        <v>37095.430948469053</v>
      </c>
      <c r="Q69" s="35">
        <f t="shared" ref="Q69:U69" si="29">+Q6+Q7</f>
        <v>36049.643292209876</v>
      </c>
      <c r="R69" s="35">
        <f t="shared" si="29"/>
        <v>36308.608843580427</v>
      </c>
      <c r="S69" s="35">
        <f t="shared" si="29"/>
        <v>35510.768550446308</v>
      </c>
      <c r="T69" s="35">
        <f t="shared" si="29"/>
        <v>31740.184426054369</v>
      </c>
      <c r="U69" s="35">
        <f t="shared" si="29"/>
        <v>31670.583316465356</v>
      </c>
    </row>
    <row r="70" spans="1:39">
      <c r="A70" s="13" t="s">
        <v>0</v>
      </c>
      <c r="P70" s="35">
        <f>+P56</f>
        <v>638714.64964766055</v>
      </c>
      <c r="Q70" s="35">
        <f t="shared" ref="Q70:U70" si="30">+Q56</f>
        <v>630994.41654861101</v>
      </c>
      <c r="R70" s="35">
        <f t="shared" si="30"/>
        <v>631991.23870698083</v>
      </c>
      <c r="S70" s="35">
        <f t="shared" si="30"/>
        <v>627475.48955796589</v>
      </c>
      <c r="T70" s="35">
        <f t="shared" si="30"/>
        <v>618865.02118378831</v>
      </c>
      <c r="U70" s="35">
        <f t="shared" si="30"/>
        <v>606262.90398425853</v>
      </c>
    </row>
    <row r="71" spans="1:39">
      <c r="A71" s="13" t="s">
        <v>219</v>
      </c>
      <c r="P71" s="120">
        <f>+P69/P70</f>
        <v>5.8078252892637287E-2</v>
      </c>
      <c r="Q71" s="120">
        <f t="shared" ref="Q71:U71" si="31">+Q69/Q70</f>
        <v>5.7131477469155478E-2</v>
      </c>
      <c r="R71" s="120">
        <f t="shared" si="31"/>
        <v>5.7451126882495769E-2</v>
      </c>
      <c r="S71" s="120">
        <f t="shared" si="31"/>
        <v>5.6593076767767259E-2</v>
      </c>
      <c r="T71" s="120">
        <f t="shared" si="31"/>
        <v>5.1287733737706731E-2</v>
      </c>
      <c r="U71" s="120">
        <f t="shared" si="31"/>
        <v>5.2239025525612028E-2</v>
      </c>
    </row>
    <row r="73" spans="1:39">
      <c r="A73" s="66" t="s">
        <v>252</v>
      </c>
    </row>
    <row r="74" spans="1:39">
      <c r="A74" s="13" t="s">
        <v>304</v>
      </c>
      <c r="O74" s="136" t="s">
        <v>305</v>
      </c>
      <c r="P74" s="35">
        <f t="shared" ref="P74:U74" si="32">+P65</f>
        <v>6992.6242091844251</v>
      </c>
      <c r="Q74" s="35">
        <f t="shared" si="32"/>
        <v>25695.911039603881</v>
      </c>
      <c r="R74" s="35">
        <f t="shared" si="32"/>
        <v>37630.177776656099</v>
      </c>
      <c r="S74" s="35">
        <f t="shared" si="32"/>
        <v>34088.190897220135</v>
      </c>
      <c r="T74" s="35">
        <f t="shared" si="32"/>
        <v>33844.621509532866</v>
      </c>
      <c r="U74" s="35">
        <f t="shared" si="32"/>
        <v>33380.192144572109</v>
      </c>
      <c r="V74" s="35">
        <f t="shared" ref="V74:AM74" si="33">+V65</f>
        <v>32700.462188685982</v>
      </c>
      <c r="W74" s="35">
        <f t="shared" si="33"/>
        <v>31859.81457113436</v>
      </c>
      <c r="X74" s="35">
        <f t="shared" si="33"/>
        <v>30940.204559719263</v>
      </c>
      <c r="Y74" s="35">
        <f t="shared" si="33"/>
        <v>29987.382587128282</v>
      </c>
      <c r="Z74" s="35">
        <f t="shared" si="33"/>
        <v>28989.628148461579</v>
      </c>
      <c r="AA74" s="35">
        <f t="shared" si="33"/>
        <v>27951.967266709704</v>
      </c>
      <c r="AB74" s="35">
        <f t="shared" si="33"/>
        <v>26843.801734067132</v>
      </c>
      <c r="AC74" s="35">
        <f t="shared" si="33"/>
        <v>25667.896050976167</v>
      </c>
      <c r="AD74" s="35">
        <f t="shared" si="33"/>
        <v>24414.930695054623</v>
      </c>
      <c r="AE74" s="35">
        <f t="shared" si="33"/>
        <v>23118.474558306141</v>
      </c>
      <c r="AF74" s="35">
        <f t="shared" si="33"/>
        <v>21801.859837247266</v>
      </c>
      <c r="AG74" s="35">
        <f t="shared" si="33"/>
        <v>20437.388945503768</v>
      </c>
      <c r="AH74" s="35">
        <f t="shared" si="33"/>
        <v>18953.60832105446</v>
      </c>
      <c r="AI74" s="35">
        <f t="shared" si="33"/>
        <v>17458.943828903673</v>
      </c>
      <c r="AJ74" s="35">
        <f t="shared" si="33"/>
        <v>15907.51543215572</v>
      </c>
      <c r="AK74" s="35">
        <f t="shared" si="33"/>
        <v>14269.478038763376</v>
      </c>
      <c r="AL74" s="35">
        <f t="shared" si="33"/>
        <v>12568.712105203571</v>
      </c>
      <c r="AM74" s="35">
        <f t="shared" si="33"/>
        <v>10814.39391818183</v>
      </c>
    </row>
    <row r="75" spans="1:39">
      <c r="A75" s="13" t="s">
        <v>306</v>
      </c>
      <c r="O75" s="136" t="s">
        <v>307</v>
      </c>
      <c r="P75" s="35">
        <f>+'DAV Pi'!P61</f>
        <v>21795.142054238866</v>
      </c>
      <c r="Q75" s="35">
        <f>+'DAV Pi'!Q61</f>
        <v>22467.889421120795</v>
      </c>
      <c r="R75" s="35">
        <f>+'DAV Pi'!R61</f>
        <v>23154.850186393647</v>
      </c>
      <c r="S75" s="35">
        <f>+'DAV Pi'!S61</f>
        <v>23812.94092542935</v>
      </c>
      <c r="T75" s="35">
        <f>+'DAV Pi'!T61</f>
        <v>24184.015523998529</v>
      </c>
      <c r="U75" s="35">
        <f>+'DAV Pi'!U61</f>
        <v>24495.205837843616</v>
      </c>
      <c r="V75" s="35">
        <f>+'DAV Pi'!V61</f>
        <v>24709.681012619294</v>
      </c>
      <c r="W75" s="35">
        <f>+'DAV Pi'!W61</f>
        <v>24940.205285132739</v>
      </c>
      <c r="X75" s="35">
        <f>+'DAV Pi'!X61</f>
        <v>25254.220195909198</v>
      </c>
      <c r="Y75" s="35">
        <f>+'DAV Pi'!Y61</f>
        <v>25562.20544919623</v>
      </c>
      <c r="Z75" s="35">
        <f>+'DAV Pi'!Z61</f>
        <v>25794.257517561971</v>
      </c>
      <c r="AA75" s="35">
        <f>+'DAV Pi'!AA61</f>
        <v>25977.145175040965</v>
      </c>
      <c r="AB75" s="35">
        <f>+'DAV Pi'!AB61</f>
        <v>26162.994125802321</v>
      </c>
      <c r="AC75" s="35">
        <f>+'DAV Pi'!AC61</f>
        <v>26186.728682444351</v>
      </c>
      <c r="AD75" s="35">
        <f>+'DAV Pi'!AD61</f>
        <v>26266.119765827807</v>
      </c>
      <c r="AE75" s="35">
        <f>+'DAV Pi'!AE61</f>
        <v>26446.289288470063</v>
      </c>
      <c r="AF75" s="35">
        <f>+'DAV Pi'!AF61</f>
        <v>26650.407116590141</v>
      </c>
      <c r="AG75" s="35">
        <f>+'DAV Pi'!AG61</f>
        <v>26710.123127787156</v>
      </c>
      <c r="AH75" s="35">
        <f>+'DAV Pi'!AH61</f>
        <v>26919.804238449702</v>
      </c>
      <c r="AI75" s="35">
        <f>+'DAV Pi'!AI61</f>
        <v>27142.823466033817</v>
      </c>
      <c r="AJ75" s="35">
        <f>+'DAV Pi'!AJ61</f>
        <v>27334.020765187535</v>
      </c>
      <c r="AK75" s="35">
        <f>+'DAV Pi'!AK61</f>
        <v>27573.438723105854</v>
      </c>
      <c r="AL75" s="35">
        <f>+'DAV Pi'!AL61</f>
        <v>27831.932108579076</v>
      </c>
      <c r="AM75" s="35">
        <f>+'DAV Pi'!AM61</f>
        <v>13469.922567476578</v>
      </c>
    </row>
    <row r="76" spans="1:39">
      <c r="A76" s="13" t="s">
        <v>308</v>
      </c>
      <c r="O76" s="136"/>
      <c r="P76" s="35">
        <f t="shared" ref="P76:U76" si="34">-P23</f>
        <v>18253.842427303724</v>
      </c>
      <c r="Q76" s="35">
        <f t="shared" si="34"/>
        <v>18234.059105632725</v>
      </c>
      <c r="R76" s="35">
        <f t="shared" si="34"/>
        <v>18322.343341779688</v>
      </c>
      <c r="S76" s="35">
        <f t="shared" si="34"/>
        <v>18497.222701526909</v>
      </c>
      <c r="T76" s="35">
        <f t="shared" si="34"/>
        <v>18273.855550493023</v>
      </c>
      <c r="U76" s="35">
        <f t="shared" si="34"/>
        <v>18377.695143525998</v>
      </c>
      <c r="V76" s="35">
        <f t="shared" ref="V76:AM76" si="35">-V23</f>
        <v>18236.499986357583</v>
      </c>
      <c r="W76" s="35">
        <f t="shared" si="35"/>
        <v>18409.458375746126</v>
      </c>
      <c r="X76" s="35">
        <f t="shared" si="35"/>
        <v>18578.165899121712</v>
      </c>
      <c r="Y76" s="35">
        <f t="shared" si="35"/>
        <v>18742.858431178596</v>
      </c>
      <c r="Z76" s="35">
        <f t="shared" si="35"/>
        <v>18903.757418742356</v>
      </c>
      <c r="AA76" s="35">
        <f t="shared" si="35"/>
        <v>19061.07088467076</v>
      </c>
      <c r="AB76" s="35">
        <f t="shared" si="35"/>
        <v>19214.994351647409</v>
      </c>
      <c r="AC76" s="35">
        <f t="shared" si="35"/>
        <v>19361.774213184843</v>
      </c>
      <c r="AD76" s="35">
        <f t="shared" si="35"/>
        <v>19505.533682758007</v>
      </c>
      <c r="AE76" s="35">
        <f t="shared" si="35"/>
        <v>19646.434671587689</v>
      </c>
      <c r="AF76" s="35">
        <f t="shared" si="35"/>
        <v>19784.629682898758</v>
      </c>
      <c r="AG76" s="35">
        <f t="shared" si="35"/>
        <v>19920.262425571731</v>
      </c>
      <c r="AH76" s="35">
        <f t="shared" si="35"/>
        <v>20053.468381908089</v>
      </c>
      <c r="AI76" s="35">
        <f t="shared" si="35"/>
        <v>20184.375333419535</v>
      </c>
      <c r="AJ76" s="35">
        <f t="shared" si="35"/>
        <v>20313.103848182669</v>
      </c>
      <c r="AK76" s="35">
        <f t="shared" si="35"/>
        <v>20439.76773296823</v>
      </c>
      <c r="AL76" s="35">
        <f t="shared" si="35"/>
        <v>20564.474453055409</v>
      </c>
      <c r="AM76" s="35">
        <f t="shared" si="35"/>
        <v>20687.325522373216</v>
      </c>
    </row>
    <row r="77" spans="1:39">
      <c r="A77" s="13" t="s">
        <v>309</v>
      </c>
      <c r="O77" s="136" t="s">
        <v>310</v>
      </c>
    </row>
    <row r="78" spans="1:39">
      <c r="A78" s="13" t="s">
        <v>67</v>
      </c>
      <c r="O78" s="136"/>
      <c r="P78" s="35">
        <f t="shared" ref="P78:U78" si="36">-P54+O54</f>
        <v>20003.10122041771</v>
      </c>
      <c r="Q78" s="35">
        <f t="shared" si="36"/>
        <v>3699.1470986114582</v>
      </c>
      <c r="R78" s="35">
        <f t="shared" si="36"/>
        <v>-5709.2860484610137</v>
      </c>
      <c r="S78" s="35">
        <f t="shared" si="36"/>
        <v>-1021.940599950176</v>
      </c>
      <c r="T78" s="35">
        <f t="shared" si="36"/>
        <v>323.75050284955068</v>
      </c>
      <c r="U78" s="35">
        <f t="shared" si="36"/>
        <v>1600.3212624612788</v>
      </c>
      <c r="V78" s="35">
        <f t="shared" ref="V78" si="37">-V54+U54</f>
        <v>2528.584678298881</v>
      </c>
      <c r="W78" s="35">
        <f t="shared" ref="W78" si="38">-W54+V54</f>
        <v>3230.2562051023997</v>
      </c>
      <c r="X78" s="35">
        <f t="shared" ref="X78" si="39">-X54+W54</f>
        <v>3876.4600703996548</v>
      </c>
      <c r="Y78" s="35">
        <f t="shared" ref="Y78" si="40">-Y54+X54</f>
        <v>4513.0372985442809</v>
      </c>
      <c r="Z78" s="35">
        <f t="shared" ref="Z78" si="41">-Z54+Y54</f>
        <v>5223.5792628393101</v>
      </c>
      <c r="AA78" s="35">
        <f t="shared" ref="AA78" si="42">-AA54+Z54</f>
        <v>5978.1596535994322</v>
      </c>
      <c r="AB78" s="35">
        <f t="shared" ref="AB78" si="43">-AB54+AA54</f>
        <v>6757.0253570673231</v>
      </c>
      <c r="AC78" s="35">
        <f t="shared" ref="AC78" si="44">-AC54+AB54</f>
        <v>7721.4286946681677</v>
      </c>
      <c r="AD78" s="35">
        <f t="shared" ref="AD78" si="45">-AD54+AC54</f>
        <v>8660.812082016957</v>
      </c>
      <c r="AE78" s="35">
        <f t="shared" ref="AE78" si="46">-AE54+AD54</f>
        <v>9504.7668070648506</v>
      </c>
      <c r="AF78" s="35">
        <f t="shared" ref="AF78" si="47">-AF54+AE54</f>
        <v>10308.233058689511</v>
      </c>
      <c r="AG78" s="35">
        <f t="shared" ref="AG78" si="48">-AG54+AF54</f>
        <v>11268.627372342104</v>
      </c>
      <c r="AH78" s="35">
        <f t="shared" ref="AH78" si="49">-AH54+AG54</f>
        <v>12164.335397982752</v>
      </c>
      <c r="AI78" s="35">
        <f t="shared" ref="AI78" si="50">-AI54+AH54</f>
        <v>13024.790870863508</v>
      </c>
      <c r="AJ78" s="35">
        <f t="shared" ref="AJ78" si="51">-AJ54+AI54</f>
        <v>13942.203380001702</v>
      </c>
      <c r="AK78" s="35">
        <f t="shared" ref="AK78" si="52">-AK54+AJ54</f>
        <v>14867.484948336823</v>
      </c>
      <c r="AL78" s="35">
        <f t="shared" ref="AL78" si="53">-AL54+AK54</f>
        <v>15806.952855286723</v>
      </c>
      <c r="AM78" s="35">
        <f t="shared" ref="AM78" si="54">-AM54+AL54</f>
        <v>31392.007494126279</v>
      </c>
    </row>
    <row r="79" spans="1:39">
      <c r="A79" s="13" t="s">
        <v>311</v>
      </c>
      <c r="O79" s="136"/>
      <c r="P79" s="35">
        <f>-'DAV Pi'!P37</f>
        <v>0</v>
      </c>
      <c r="Q79" s="35">
        <f>-'DAV Pi'!Q37</f>
        <v>0</v>
      </c>
      <c r="R79" s="35">
        <f>-'DAV Pi'!R37</f>
        <v>0</v>
      </c>
      <c r="U79" s="35">
        <f>-'DAV Pi'!U37</f>
        <v>0</v>
      </c>
      <c r="V79" s="35">
        <f>-'DAV Pi'!V37</f>
        <v>0</v>
      </c>
      <c r="W79" s="35">
        <f>-'DAV Pi'!W37</f>
        <v>0</v>
      </c>
      <c r="X79" s="35">
        <f>-'DAV Pi'!X37</f>
        <v>0</v>
      </c>
      <c r="Y79" s="35">
        <f>-'DAV Pi'!Y37</f>
        <v>0</v>
      </c>
      <c r="Z79" s="35">
        <f>-'DAV Pi'!Z37</f>
        <v>0</v>
      </c>
      <c r="AA79" s="35">
        <f>-'DAV Pi'!AA37</f>
        <v>0</v>
      </c>
      <c r="AB79" s="35">
        <f>-'DAV Pi'!AB37</f>
        <v>0</v>
      </c>
      <c r="AC79" s="35">
        <f>-'DAV Pi'!AC37</f>
        <v>0</v>
      </c>
      <c r="AD79" s="35">
        <f>-'DAV Pi'!AD37</f>
        <v>0</v>
      </c>
      <c r="AE79" s="35">
        <f>-'DAV Pi'!AE37</f>
        <v>0</v>
      </c>
      <c r="AF79" s="35">
        <f>-'DAV Pi'!AF37</f>
        <v>0</v>
      </c>
      <c r="AG79" s="35">
        <f>-'DAV Pi'!AG37</f>
        <v>0</v>
      </c>
      <c r="AH79" s="35">
        <f>-'DAV Pi'!AH37</f>
        <v>0</v>
      </c>
      <c r="AI79" s="35">
        <f>-'DAV Pi'!AI37</f>
        <v>0</v>
      </c>
      <c r="AJ79" s="35">
        <f>-'DAV Pi'!AJ37</f>
        <v>0</v>
      </c>
      <c r="AK79" s="35">
        <f>-'DAV Pi'!AK37</f>
        <v>0</v>
      </c>
      <c r="AL79" s="35">
        <f>-'DAV Pi'!AL37</f>
        <v>0</v>
      </c>
      <c r="AM79" s="35">
        <f>-'DAV Pi'!AM37</f>
        <v>0</v>
      </c>
    </row>
    <row r="80" spans="1:39">
      <c r="A80" s="66" t="s">
        <v>312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137"/>
      <c r="P80" s="133">
        <f>SUM(P74:P79)</f>
        <v>67044.709911144717</v>
      </c>
      <c r="Q80" s="133">
        <f t="shared" ref="Q80:U80" si="55">SUM(Q74:Q79)</f>
        <v>70097.006664968852</v>
      </c>
      <c r="R80" s="133">
        <f t="shared" si="55"/>
        <v>73398.085256368417</v>
      </c>
      <c r="S80" s="133">
        <f t="shared" si="55"/>
        <v>75376.413924226217</v>
      </c>
      <c r="T80" s="133">
        <f t="shared" si="55"/>
        <v>76626.243086873976</v>
      </c>
      <c r="U80" s="133">
        <f t="shared" si="55"/>
        <v>77853.414388403005</v>
      </c>
      <c r="V80" s="133">
        <f t="shared" ref="V80:AM80" si="56">SUM(V74:V79)</f>
        <v>78175.227865961744</v>
      </c>
      <c r="W80" s="133">
        <f t="shared" si="56"/>
        <v>78439.734437115621</v>
      </c>
      <c r="X80" s="133">
        <f t="shared" si="56"/>
        <v>78649.050725149835</v>
      </c>
      <c r="Y80" s="133">
        <f t="shared" si="56"/>
        <v>78805.483766047386</v>
      </c>
      <c r="Z80" s="133">
        <f t="shared" si="56"/>
        <v>78911.222347605217</v>
      </c>
      <c r="AA80" s="133">
        <f t="shared" si="56"/>
        <v>78968.342980020854</v>
      </c>
      <c r="AB80" s="133">
        <f t="shared" si="56"/>
        <v>78978.815568584192</v>
      </c>
      <c r="AC80" s="133">
        <f t="shared" si="56"/>
        <v>78937.827641273529</v>
      </c>
      <c r="AD80" s="133">
        <f t="shared" si="56"/>
        <v>78847.396225657387</v>
      </c>
      <c r="AE80" s="133">
        <f t="shared" si="56"/>
        <v>78715.96532542874</v>
      </c>
      <c r="AF80" s="133">
        <f t="shared" si="56"/>
        <v>78545.129695425669</v>
      </c>
      <c r="AG80" s="133">
        <f t="shared" si="56"/>
        <v>78336.401871204755</v>
      </c>
      <c r="AH80" s="133">
        <f t="shared" si="56"/>
        <v>78091.216339395003</v>
      </c>
      <c r="AI80" s="133">
        <f t="shared" si="56"/>
        <v>77810.933499220526</v>
      </c>
      <c r="AJ80" s="133">
        <f t="shared" si="56"/>
        <v>77496.843425527622</v>
      </c>
      <c r="AK80" s="133">
        <f t="shared" si="56"/>
        <v>77150.169443174294</v>
      </c>
      <c r="AL80" s="133">
        <f t="shared" si="56"/>
        <v>76772.071522124781</v>
      </c>
      <c r="AM80" s="133">
        <f t="shared" si="56"/>
        <v>76363.649502157903</v>
      </c>
    </row>
    <row r="81" spans="1:39">
      <c r="O81" s="136" t="s">
        <v>313</v>
      </c>
      <c r="P81" s="135">
        <f t="shared" ref="P81:U81" si="57">+P80-P21</f>
        <v>2.4738255888223648E-10</v>
      </c>
      <c r="Q81" s="135">
        <f t="shared" si="57"/>
        <v>0</v>
      </c>
      <c r="R81" s="135">
        <f t="shared" si="57"/>
        <v>0</v>
      </c>
      <c r="S81" s="135">
        <f t="shared" si="57"/>
        <v>0</v>
      </c>
      <c r="T81" s="135">
        <f t="shared" si="57"/>
        <v>-1.4551915228366852E-10</v>
      </c>
      <c r="U81" s="135">
        <f t="shared" si="57"/>
        <v>0</v>
      </c>
      <c r="V81" s="135">
        <f t="shared" ref="V81:AM81" si="58">+V80-V21</f>
        <v>0</v>
      </c>
      <c r="W81" s="135">
        <f t="shared" si="58"/>
        <v>-1.3096723705530167E-10</v>
      </c>
      <c r="X81" s="135">
        <f t="shared" si="58"/>
        <v>0</v>
      </c>
      <c r="Y81" s="135">
        <f t="shared" si="58"/>
        <v>0</v>
      </c>
      <c r="Z81" s="135">
        <f t="shared" si="58"/>
        <v>0</v>
      </c>
      <c r="AA81" s="135">
        <f t="shared" si="58"/>
        <v>-2.7648638933897018E-10</v>
      </c>
      <c r="AB81" s="135">
        <f t="shared" si="58"/>
        <v>1.6007106751203537E-10</v>
      </c>
      <c r="AC81" s="135">
        <f t="shared" si="58"/>
        <v>-1.4551915228366852E-10</v>
      </c>
      <c r="AD81" s="135">
        <f t="shared" si="58"/>
        <v>0</v>
      </c>
      <c r="AE81" s="135">
        <f t="shared" si="58"/>
        <v>0</v>
      </c>
      <c r="AF81" s="135">
        <f t="shared" si="58"/>
        <v>-2.4738255888223648E-10</v>
      </c>
      <c r="AG81" s="135">
        <f t="shared" si="58"/>
        <v>0</v>
      </c>
      <c r="AH81" s="135">
        <f t="shared" si="58"/>
        <v>-1.6007106751203537E-10</v>
      </c>
      <c r="AI81" s="135">
        <f t="shared" si="58"/>
        <v>0</v>
      </c>
      <c r="AJ81" s="135">
        <f t="shared" si="58"/>
        <v>-3.2014213502407074E-10</v>
      </c>
      <c r="AK81" s="135">
        <f t="shared" si="58"/>
        <v>-3.7834979593753815E-10</v>
      </c>
      <c r="AL81" s="135">
        <f t="shared" si="58"/>
        <v>-1.6007106751203537E-10</v>
      </c>
      <c r="AM81" s="135">
        <f t="shared" si="58"/>
        <v>1.4551915228366852E-10</v>
      </c>
    </row>
    <row r="82" spans="1:39">
      <c r="P82" s="135"/>
      <c r="Q82" s="135"/>
      <c r="R82" s="135"/>
      <c r="S82" s="135"/>
      <c r="T82" s="135"/>
      <c r="U82" s="135"/>
      <c r="V82" s="134"/>
    </row>
    <row r="83" spans="1:39">
      <c r="A83" s="132" t="str">
        <f>+Inputs!A34</f>
        <v xml:space="preserve">Annual Inflation </v>
      </c>
      <c r="B83" s="132">
        <f>+Inputs!B34</f>
        <v>0</v>
      </c>
      <c r="C83" s="132" t="str">
        <f>+Inputs!C34</f>
        <v>CPIH</v>
      </c>
      <c r="D83" s="132">
        <f>+Inputs!D34</f>
        <v>0</v>
      </c>
      <c r="E83" s="132">
        <f>+Inputs!E34</f>
        <v>0</v>
      </c>
      <c r="F83" s="132">
        <f>+Inputs!F34</f>
        <v>0</v>
      </c>
      <c r="G83" s="132">
        <f>+Inputs!G34</f>
        <v>0</v>
      </c>
      <c r="H83" s="132">
        <f>+Inputs!H34</f>
        <v>0</v>
      </c>
      <c r="I83" s="132">
        <f>+Inputs!I34</f>
        <v>0</v>
      </c>
      <c r="J83" s="132">
        <f>+Inputs!J34</f>
        <v>0</v>
      </c>
      <c r="K83" s="132">
        <f>+Inputs!K34</f>
        <v>0</v>
      </c>
      <c r="L83" s="132">
        <f>+Inputs!L34</f>
        <v>0</v>
      </c>
      <c r="M83" s="132">
        <f>+Inputs!M34</f>
        <v>0</v>
      </c>
      <c r="N83" s="132">
        <f>+Inputs!N34</f>
        <v>2.9304029304029422E-2</v>
      </c>
      <c r="O83" s="132">
        <f>+Inputs!O34</f>
        <v>9.3299999999999994E-2</v>
      </c>
      <c r="P83" s="132">
        <f>+Inputs!P34</f>
        <v>5.5500000000000001E-2</v>
      </c>
      <c r="Q83" s="132">
        <f>+Inputs!Q34</f>
        <v>2.2799999999999997E-2</v>
      </c>
      <c r="R83" s="132">
        <f>+Inputs!R34</f>
        <v>1.09E-2</v>
      </c>
      <c r="S83" s="132">
        <f>+Inputs!S34</f>
        <v>2.0899999999999998E-2</v>
      </c>
      <c r="T83" s="132">
        <f>+Inputs!T34</f>
        <v>2.0899999999999998E-2</v>
      </c>
      <c r="U83" s="132">
        <f>+Inputs!U34</f>
        <v>2.0899999999999998E-2</v>
      </c>
      <c r="V83" s="132">
        <f>+Inputs!V34</f>
        <v>2.0899999999999998E-2</v>
      </c>
      <c r="W83" s="132">
        <f>+Inputs!W34</f>
        <v>2.0899999999999998E-2</v>
      </c>
      <c r="X83" s="132">
        <f>+Inputs!X34</f>
        <v>2.0899999999999998E-2</v>
      </c>
      <c r="Y83" s="132">
        <f>+Inputs!Y34</f>
        <v>2.0899999999999998E-2</v>
      </c>
      <c r="Z83" s="132">
        <f>+Inputs!Z34</f>
        <v>2.0899999999999998E-2</v>
      </c>
      <c r="AA83" s="132">
        <f>+Inputs!AA34</f>
        <v>2.0899999999999998E-2</v>
      </c>
      <c r="AB83" s="132">
        <f>+Inputs!AB34</f>
        <v>2.0899999999999998E-2</v>
      </c>
      <c r="AC83" s="132">
        <f>+Inputs!AC34</f>
        <v>2.0899999999999998E-2</v>
      </c>
      <c r="AD83" s="132">
        <f>+Inputs!AD34</f>
        <v>2.0899999999999998E-2</v>
      </c>
      <c r="AE83" s="132">
        <f>+Inputs!AE34</f>
        <v>2.0899999999999998E-2</v>
      </c>
      <c r="AF83" s="132">
        <f>+Inputs!AF34</f>
        <v>2.0899999999999998E-2</v>
      </c>
      <c r="AG83" s="132">
        <f>+Inputs!AG34</f>
        <v>2.0899999999999998E-2</v>
      </c>
      <c r="AH83" s="132">
        <f>+Inputs!AH34</f>
        <v>2.0899999999999998E-2</v>
      </c>
      <c r="AI83" s="132">
        <f>+Inputs!AI34</f>
        <v>2.0899999999999998E-2</v>
      </c>
      <c r="AJ83" s="132">
        <f>+Inputs!AJ34</f>
        <v>2.0899999999999998E-2</v>
      </c>
      <c r="AK83" s="132">
        <f>+Inputs!AK34</f>
        <v>2.0899999999999998E-2</v>
      </c>
      <c r="AL83" s="132">
        <f>+Inputs!AL34</f>
        <v>2.0899999999999998E-2</v>
      </c>
      <c r="AM83" s="132">
        <f>+Inputs!AM34</f>
        <v>2.0899999999999998E-2</v>
      </c>
    </row>
    <row r="84" spans="1:39">
      <c r="A84" s="132" t="str">
        <f>+Inputs!A35</f>
        <v>Inflation factor</v>
      </c>
      <c r="B84" s="132">
        <f>+Inputs!B35</f>
        <v>0</v>
      </c>
      <c r="C84" s="132">
        <f>+Inputs!C35</f>
        <v>0</v>
      </c>
      <c r="D84" s="132">
        <f>+Inputs!D35</f>
        <v>0</v>
      </c>
      <c r="E84" s="132">
        <f>+Inputs!E35</f>
        <v>0</v>
      </c>
      <c r="F84" s="132">
        <f>+Inputs!F35</f>
        <v>0</v>
      </c>
      <c r="G84" s="132">
        <f>+Inputs!G35</f>
        <v>0</v>
      </c>
      <c r="H84" s="132">
        <f>+Inputs!H35</f>
        <v>0</v>
      </c>
      <c r="I84" s="132">
        <f>+Inputs!I35</f>
        <v>0</v>
      </c>
      <c r="J84" s="132">
        <f>+Inputs!J35</f>
        <v>0</v>
      </c>
      <c r="K84" s="132">
        <f>+Inputs!K35</f>
        <v>0</v>
      </c>
      <c r="L84" s="132">
        <f>+Inputs!L35</f>
        <v>0</v>
      </c>
      <c r="M84" s="132">
        <f>+Inputs!M35</f>
        <v>1</v>
      </c>
      <c r="N84" s="132">
        <f>+Inputs!N35</f>
        <v>1.0293040293040294</v>
      </c>
      <c r="O84" s="132">
        <f>+Inputs!O35</f>
        <v>1.1253380952380954</v>
      </c>
      <c r="P84" s="132">
        <f>+Inputs!P35</f>
        <v>1.1877943595238096</v>
      </c>
      <c r="Q84" s="132">
        <f>+Inputs!Q35</f>
        <v>1.2148760709209525</v>
      </c>
      <c r="R84" s="132">
        <f>+Inputs!R35</f>
        <v>1.2281182200939909</v>
      </c>
      <c r="S84" s="132">
        <f>+Inputs!S35</f>
        <v>1.2537858908939552</v>
      </c>
      <c r="T84" s="132">
        <f>+Inputs!T35</f>
        <v>1.2799900160136388</v>
      </c>
      <c r="U84" s="132">
        <f>+Inputs!U35</f>
        <v>1.3067418073483239</v>
      </c>
      <c r="V84" s="132">
        <f>+Inputs!V35</f>
        <v>1.3340527111219038</v>
      </c>
      <c r="W84" s="132">
        <f>+Inputs!W35</f>
        <v>1.3619344127843516</v>
      </c>
      <c r="X84" s="132">
        <f>+Inputs!X35</f>
        <v>1.3903988420115445</v>
      </c>
      <c r="Y84" s="132">
        <f>+Inputs!Y35</f>
        <v>1.4194581778095858</v>
      </c>
      <c r="Z84" s="132">
        <f>+Inputs!Z35</f>
        <v>1.4491248537258061</v>
      </c>
      <c r="AA84" s="132">
        <f>+Inputs!AA35</f>
        <v>1.4794115631686755</v>
      </c>
      <c r="AB84" s="132">
        <f>+Inputs!AB35</f>
        <v>1.5103312648389009</v>
      </c>
      <c r="AC84" s="132">
        <f>+Inputs!AC35</f>
        <v>1.541897188274034</v>
      </c>
      <c r="AD84" s="132">
        <f>+Inputs!AD35</f>
        <v>1.5741228395089613</v>
      </c>
      <c r="AE84" s="132">
        <f>+Inputs!AE35</f>
        <v>1.6070220068546985</v>
      </c>
      <c r="AF84" s="132">
        <f>+Inputs!AF35</f>
        <v>1.6406087667979616</v>
      </c>
      <c r="AG84" s="132">
        <f>+Inputs!AG35</f>
        <v>1.674897490024039</v>
      </c>
      <c r="AH84" s="132">
        <f>+Inputs!AH35</f>
        <v>1.7099028475655413</v>
      </c>
      <c r="AI84" s="132">
        <f>+Inputs!AI35</f>
        <v>1.7456398170796612</v>
      </c>
      <c r="AJ84" s="132">
        <f>+Inputs!AJ35</f>
        <v>1.7821236892566261</v>
      </c>
      <c r="AK84" s="132">
        <f>+Inputs!AK35</f>
        <v>1.8193700743620895</v>
      </c>
      <c r="AL84" s="132">
        <f>+Inputs!AL35</f>
        <v>1.8573949089162571</v>
      </c>
      <c r="AM84" s="132">
        <f>+Inputs!AM35</f>
        <v>1.8962144625126069</v>
      </c>
    </row>
    <row r="86" spans="1:39">
      <c r="A86" s="66" t="s">
        <v>253</v>
      </c>
    </row>
    <row r="87" spans="1:39">
      <c r="A87" s="13" t="s">
        <v>304</v>
      </c>
      <c r="P87" s="35">
        <f t="shared" ref="P87:AM87" si="59">+P74*P$84</f>
        <v>8305.7995939389002</v>
      </c>
      <c r="Q87" s="35">
        <f t="shared" si="59"/>
        <v>31217.347442528291</v>
      </c>
      <c r="R87" s="35">
        <f t="shared" si="59"/>
        <v>46214.306952887338</v>
      </c>
      <c r="S87" s="35">
        <f t="shared" si="59"/>
        <v>42739.292793034358</v>
      </c>
      <c r="T87" s="35">
        <f t="shared" si="59"/>
        <v>43320.777627962518</v>
      </c>
      <c r="U87" s="35">
        <f t="shared" si="59"/>
        <v>43619.292612632482</v>
      </c>
      <c r="V87" s="35">
        <f t="shared" si="59"/>
        <v>43624.140237755841</v>
      </c>
      <c r="W87" s="35">
        <f t="shared" si="59"/>
        <v>43390.977849356204</v>
      </c>
      <c r="X87" s="35">
        <f t="shared" si="59"/>
        <v>43019.224591433973</v>
      </c>
      <c r="Y87" s="35">
        <f t="shared" si="59"/>
        <v>42565.835444404016</v>
      </c>
      <c r="Z87" s="35">
        <f t="shared" si="59"/>
        <v>42009.590650204897</v>
      </c>
      <c r="AA87" s="35">
        <f t="shared" si="59"/>
        <v>41352.463587682651</v>
      </c>
      <c r="AB87" s="35">
        <f t="shared" si="59"/>
        <v>40543.033026098296</v>
      </c>
      <c r="AC87" s="35">
        <f t="shared" si="59"/>
        <v>39577.256749910332</v>
      </c>
      <c r="AD87" s="35">
        <f t="shared" si="59"/>
        <v>38432.100032113878</v>
      </c>
      <c r="AE87" s="35">
        <f t="shared" si="59"/>
        <v>37151.897380108428</v>
      </c>
      <c r="AF87" s="35">
        <f t="shared" si="59"/>
        <v>35768.322381488244</v>
      </c>
      <c r="AG87" s="35">
        <f t="shared" si="59"/>
        <v>34230.5314474693</v>
      </c>
      <c r="AH87" s="35">
        <f t="shared" si="59"/>
        <v>32408.828839812959</v>
      </c>
      <c r="AI87" s="35">
        <f t="shared" si="59"/>
        <v>30477.027511891487</v>
      </c>
      <c r="AJ87" s="35">
        <f t="shared" si="59"/>
        <v>28349.160088860066</v>
      </c>
      <c r="AK87" s="35">
        <f t="shared" si="59"/>
        <v>25961.461320493127</v>
      </c>
      <c r="AL87" s="35">
        <f t="shared" si="59"/>
        <v>23345.061875839245</v>
      </c>
      <c r="AM87" s="35">
        <f t="shared" si="59"/>
        <v>20506.410150964763</v>
      </c>
    </row>
    <row r="88" spans="1:39">
      <c r="A88" s="13" t="s">
        <v>306</v>
      </c>
      <c r="P88" s="35">
        <f t="shared" ref="P88:AM88" si="60">+P75*P$84</f>
        <v>25888.146797045101</v>
      </c>
      <c r="Q88" s="35">
        <f t="shared" si="60"/>
        <v>27295.701221817664</v>
      </c>
      <c r="R88" s="35">
        <f t="shared" si="60"/>
        <v>28436.893397456777</v>
      </c>
      <c r="S88" s="35">
        <f t="shared" si="60"/>
        <v>29856.329352994562</v>
      </c>
      <c r="T88" s="35">
        <f t="shared" si="60"/>
        <v>30955.298417836966</v>
      </c>
      <c r="U88" s="35">
        <f t="shared" si="60"/>
        <v>32008.909547912983</v>
      </c>
      <c r="V88" s="35">
        <f t="shared" si="60"/>
        <v>32964.016945842202</v>
      </c>
      <c r="W88" s="35">
        <f t="shared" si="60"/>
        <v>33966.923839728435</v>
      </c>
      <c r="X88" s="35">
        <f t="shared" si="60"/>
        <v>35113.438516296708</v>
      </c>
      <c r="Y88" s="35">
        <f t="shared" si="60"/>
        <v>36284.481567710347</v>
      </c>
      <c r="Z88" s="35">
        <f t="shared" si="60"/>
        <v>37379.09965210277</v>
      </c>
      <c r="AA88" s="35">
        <f t="shared" si="60"/>
        <v>38430.888950066968</v>
      </c>
      <c r="AB88" s="35">
        <f t="shared" si="60"/>
        <v>39514.788009995755</v>
      </c>
      <c r="AC88" s="35">
        <f t="shared" si="60"/>
        <v>40377.243325555944</v>
      </c>
      <c r="AD88" s="35">
        <f t="shared" si="60"/>
        <v>41346.099028667319</v>
      </c>
      <c r="AE88" s="35">
        <f t="shared" si="60"/>
        <v>42499.768886217076</v>
      </c>
      <c r="AF88" s="35">
        <f t="shared" si="60"/>
        <v>43722.891554212569</v>
      </c>
      <c r="AG88" s="35">
        <f t="shared" si="60"/>
        <v>44736.718184963742</v>
      </c>
      <c r="AH88" s="35">
        <f t="shared" si="60"/>
        <v>46030.249923232077</v>
      </c>
      <c r="AI88" s="35">
        <f t="shared" si="60"/>
        <v>47381.593390272807</v>
      </c>
      <c r="AJ88" s="35">
        <f t="shared" si="60"/>
        <v>48712.605928273239</v>
      </c>
      <c r="AK88" s="35">
        <f t="shared" si="60"/>
        <v>50166.289260075617</v>
      </c>
      <c r="AL88" s="35">
        <f t="shared" si="60"/>
        <v>51694.889003777687</v>
      </c>
      <c r="AM88" s="35">
        <f t="shared" si="60"/>
        <v>25541.861981374033</v>
      </c>
    </row>
    <row r="89" spans="1:39">
      <c r="A89" s="13" t="s">
        <v>308</v>
      </c>
      <c r="P89" s="35">
        <f t="shared" ref="P89:AM89" si="61">+P76*P$84</f>
        <v>21681.811074787769</v>
      </c>
      <c r="Q89" s="35">
        <f t="shared" si="61"/>
        <v>22152.122083191502</v>
      </c>
      <c r="R89" s="35">
        <f t="shared" si="61"/>
        <v>22502.003692857455</v>
      </c>
      <c r="S89" s="35">
        <f t="shared" si="61"/>
        <v>23191.556843897808</v>
      </c>
      <c r="T89" s="35">
        <f t="shared" si="61"/>
        <v>23390.352658706488</v>
      </c>
      <c r="U89" s="35">
        <f t="shared" si="61"/>
        <v>24014.902566747678</v>
      </c>
      <c r="V89" s="35">
        <f t="shared" si="61"/>
        <v>24328.452248174897</v>
      </c>
      <c r="W89" s="35">
        <f t="shared" si="61"/>
        <v>25072.474882649763</v>
      </c>
      <c r="X89" s="35">
        <f t="shared" si="61"/>
        <v>25831.060352837194</v>
      </c>
      <c r="Y89" s="35">
        <f t="shared" si="61"/>
        <v>26604.703675663804</v>
      </c>
      <c r="Z89" s="35">
        <f t="shared" si="61"/>
        <v>27393.904704303139</v>
      </c>
      <c r="AA89" s="35">
        <f t="shared" si="61"/>
        <v>28199.168673159696</v>
      </c>
      <c r="AB89" s="35">
        <f t="shared" si="61"/>
        <v>29021.006722995968</v>
      </c>
      <c r="AC89" s="35">
        <f t="shared" si="61"/>
        <v>29853.865219306404</v>
      </c>
      <c r="AD89" s="35">
        <f t="shared" si="61"/>
        <v>30704.106066840719</v>
      </c>
      <c r="AE89" s="35">
        <f t="shared" si="61"/>
        <v>31572.252873474579</v>
      </c>
      <c r="AF89" s="35">
        <f t="shared" si="61"/>
        <v>32458.836905614877</v>
      </c>
      <c r="AG89" s="35">
        <f t="shared" si="61"/>
        <v>33364.397537210265</v>
      </c>
      <c r="AH89" s="35">
        <f t="shared" si="61"/>
        <v>34289.482689790188</v>
      </c>
      <c r="AI89" s="35">
        <f t="shared" si="61"/>
        <v>35234.6492648977</v>
      </c>
      <c r="AJ89" s="35">
        <f t="shared" si="61"/>
        <v>36200.463570176267</v>
      </c>
      <c r="AK89" s="35">
        <f t="shared" si="61"/>
        <v>37187.501740274245</v>
      </c>
      <c r="AL89" s="35">
        <f t="shared" si="61"/>
        <v>38196.350153643551</v>
      </c>
      <c r="AM89" s="35">
        <f t="shared" si="61"/>
        <v>39227.605846230261</v>
      </c>
    </row>
    <row r="90" spans="1:39">
      <c r="A90" s="13" t="s">
        <v>309</v>
      </c>
      <c r="P90" s="35">
        <f t="shared" ref="P90:AM90" si="62">+P77*P$84</f>
        <v>0</v>
      </c>
      <c r="Q90" s="35">
        <f t="shared" si="62"/>
        <v>0</v>
      </c>
      <c r="R90" s="35">
        <f t="shared" si="62"/>
        <v>0</v>
      </c>
      <c r="S90" s="35">
        <f t="shared" si="62"/>
        <v>0</v>
      </c>
      <c r="T90" s="35">
        <f t="shared" si="62"/>
        <v>0</v>
      </c>
      <c r="U90" s="35">
        <f t="shared" si="62"/>
        <v>0</v>
      </c>
      <c r="V90" s="35">
        <f t="shared" si="62"/>
        <v>0</v>
      </c>
      <c r="W90" s="35">
        <f t="shared" si="62"/>
        <v>0</v>
      </c>
      <c r="X90" s="35">
        <f t="shared" si="62"/>
        <v>0</v>
      </c>
      <c r="Y90" s="35">
        <f t="shared" si="62"/>
        <v>0</v>
      </c>
      <c r="Z90" s="35">
        <f t="shared" si="62"/>
        <v>0</v>
      </c>
      <c r="AA90" s="35">
        <f t="shared" si="62"/>
        <v>0</v>
      </c>
      <c r="AB90" s="35">
        <f t="shared" si="62"/>
        <v>0</v>
      </c>
      <c r="AC90" s="35">
        <f t="shared" si="62"/>
        <v>0</v>
      </c>
      <c r="AD90" s="35">
        <f t="shared" si="62"/>
        <v>0</v>
      </c>
      <c r="AE90" s="35">
        <f t="shared" si="62"/>
        <v>0</v>
      </c>
      <c r="AF90" s="35">
        <f t="shared" si="62"/>
        <v>0</v>
      </c>
      <c r="AG90" s="35">
        <f t="shared" si="62"/>
        <v>0</v>
      </c>
      <c r="AH90" s="35">
        <f t="shared" si="62"/>
        <v>0</v>
      </c>
      <c r="AI90" s="35">
        <f t="shared" si="62"/>
        <v>0</v>
      </c>
      <c r="AJ90" s="35">
        <f t="shared" si="62"/>
        <v>0</v>
      </c>
      <c r="AK90" s="35">
        <f t="shared" si="62"/>
        <v>0</v>
      </c>
      <c r="AL90" s="35">
        <f t="shared" si="62"/>
        <v>0</v>
      </c>
      <c r="AM90" s="35">
        <f t="shared" si="62"/>
        <v>0</v>
      </c>
    </row>
    <row r="91" spans="1:39">
      <c r="A91" s="13" t="s">
        <v>67</v>
      </c>
      <c r="P91" s="35">
        <f t="shared" ref="P91:AM91" si="63">+P78*P$84</f>
        <v>23759.570802595987</v>
      </c>
      <c r="Q91" s="35">
        <f t="shared" si="63"/>
        <v>4494.00529291973</v>
      </c>
      <c r="R91" s="35">
        <f t="shared" si="63"/>
        <v>-7011.6782198433948</v>
      </c>
      <c r="S91" s="35">
        <f t="shared" si="63"/>
        <v>-1281.2947055492345</v>
      </c>
      <c r="T91" s="35">
        <f t="shared" si="63"/>
        <v>414.39741132682002</v>
      </c>
      <c r="U91" s="35">
        <f t="shared" si="63"/>
        <v>2091.2066988466031</v>
      </c>
      <c r="V91" s="35">
        <f t="shared" si="63"/>
        <v>3373.2652453859291</v>
      </c>
      <c r="W91" s="35">
        <f t="shared" si="63"/>
        <v>4399.3970878391447</v>
      </c>
      <c r="X91" s="35">
        <f t="shared" si="63"/>
        <v>5389.8255929876705</v>
      </c>
      <c r="Y91" s="35">
        <f t="shared" si="63"/>
        <v>6406.0677001783606</v>
      </c>
      <c r="Z91" s="35">
        <f t="shared" si="63"/>
        <v>7569.6185351871691</v>
      </c>
      <c r="AA91" s="35">
        <f t="shared" si="63"/>
        <v>8844.1585180034435</v>
      </c>
      <c r="AB91" s="35">
        <f t="shared" si="63"/>
        <v>10205.346654088016</v>
      </c>
      <c r="AC91" s="35">
        <f t="shared" si="63"/>
        <v>11905.649193767293</v>
      </c>
      <c r="AD91" s="35">
        <f t="shared" si="63"/>
        <v>13633.182106998051</v>
      </c>
      <c r="AE91" s="35">
        <f t="shared" si="63"/>
        <v>15274.369428975282</v>
      </c>
      <c r="AF91" s="35">
        <f t="shared" si="63"/>
        <v>16911.777526282578</v>
      </c>
      <c r="AG91" s="35">
        <f t="shared" si="63"/>
        <v>18873.795701951971</v>
      </c>
      <c r="AH91" s="35">
        <f t="shared" si="63"/>
        <v>20799.831735753021</v>
      </c>
      <c r="AI91" s="35">
        <f t="shared" si="63"/>
        <v>22736.593553315015</v>
      </c>
      <c r="AJ91" s="35">
        <f t="shared" si="63"/>
        <v>24846.730923934836</v>
      </c>
      <c r="AK91" s="35">
        <f t="shared" si="63"/>
        <v>27049.457196032814</v>
      </c>
      <c r="AL91" s="35">
        <f t="shared" si="63"/>
        <v>29359.753758888855</v>
      </c>
      <c r="AM91" s="35">
        <f t="shared" si="63"/>
        <v>59525.978617666391</v>
      </c>
    </row>
    <row r="92" spans="1:39">
      <c r="A92" s="13" t="s">
        <v>311</v>
      </c>
      <c r="P92" s="35">
        <f t="shared" ref="P92:AM92" si="64">+P79*P$84</f>
        <v>0</v>
      </c>
      <c r="Q92" s="35">
        <f t="shared" si="64"/>
        <v>0</v>
      </c>
      <c r="R92" s="35">
        <f t="shared" si="64"/>
        <v>0</v>
      </c>
      <c r="S92" s="35">
        <f t="shared" si="64"/>
        <v>0</v>
      </c>
      <c r="T92" s="35">
        <f t="shared" si="64"/>
        <v>0</v>
      </c>
      <c r="U92" s="35">
        <f t="shared" si="64"/>
        <v>0</v>
      </c>
      <c r="V92" s="35">
        <f t="shared" si="64"/>
        <v>0</v>
      </c>
      <c r="W92" s="35">
        <f t="shared" si="64"/>
        <v>0</v>
      </c>
      <c r="X92" s="35">
        <f t="shared" si="64"/>
        <v>0</v>
      </c>
      <c r="Y92" s="35">
        <f t="shared" si="64"/>
        <v>0</v>
      </c>
      <c r="Z92" s="35">
        <f t="shared" si="64"/>
        <v>0</v>
      </c>
      <c r="AA92" s="35">
        <f t="shared" si="64"/>
        <v>0</v>
      </c>
      <c r="AB92" s="35">
        <f t="shared" si="64"/>
        <v>0</v>
      </c>
      <c r="AC92" s="35">
        <f t="shared" si="64"/>
        <v>0</v>
      </c>
      <c r="AD92" s="35">
        <f t="shared" si="64"/>
        <v>0</v>
      </c>
      <c r="AE92" s="35">
        <f t="shared" si="64"/>
        <v>0</v>
      </c>
      <c r="AF92" s="35">
        <f t="shared" si="64"/>
        <v>0</v>
      </c>
      <c r="AG92" s="35">
        <f t="shared" si="64"/>
        <v>0</v>
      </c>
      <c r="AH92" s="35">
        <f t="shared" si="64"/>
        <v>0</v>
      </c>
      <c r="AI92" s="35">
        <f t="shared" si="64"/>
        <v>0</v>
      </c>
      <c r="AJ92" s="35">
        <f t="shared" si="64"/>
        <v>0</v>
      </c>
      <c r="AK92" s="35">
        <f t="shared" si="64"/>
        <v>0</v>
      </c>
      <c r="AL92" s="35">
        <f t="shared" si="64"/>
        <v>0</v>
      </c>
      <c r="AM92" s="35">
        <f t="shared" si="64"/>
        <v>0</v>
      </c>
    </row>
    <row r="93" spans="1:39">
      <c r="A93" s="66" t="s">
        <v>312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95"/>
      <c r="P93" s="133">
        <f>SUM(P87:P92)</f>
        <v>79635.328268367753</v>
      </c>
      <c r="Q93" s="133">
        <f t="shared" ref="Q93:AM93" si="65">SUM(Q87:Q92)</f>
        <v>85159.176040457183</v>
      </c>
      <c r="R93" s="133">
        <f t="shared" si="65"/>
        <v>90141.525823358184</v>
      </c>
      <c r="S93" s="133">
        <f t="shared" si="65"/>
        <v>94505.884284377491</v>
      </c>
      <c r="T93" s="133">
        <f t="shared" si="65"/>
        <v>98080.82611583278</v>
      </c>
      <c r="U93" s="133">
        <f t="shared" si="65"/>
        <v>101734.31142613976</v>
      </c>
      <c r="V93" s="133">
        <f t="shared" si="65"/>
        <v>104289.87467715888</v>
      </c>
      <c r="W93" s="133">
        <f t="shared" si="65"/>
        <v>106829.77365957355</v>
      </c>
      <c r="X93" s="133">
        <f t="shared" si="65"/>
        <v>109353.54905355556</v>
      </c>
      <c r="Y93" s="133">
        <f t="shared" si="65"/>
        <v>111861.08838795652</v>
      </c>
      <c r="Z93" s="133">
        <f t="shared" si="65"/>
        <v>114352.21354179796</v>
      </c>
      <c r="AA93" s="133">
        <f t="shared" si="65"/>
        <v>116826.67972891277</v>
      </c>
      <c r="AB93" s="133">
        <f t="shared" si="65"/>
        <v>119284.17441317803</v>
      </c>
      <c r="AC93" s="133">
        <f t="shared" si="65"/>
        <v>121714.01448853998</v>
      </c>
      <c r="AD93" s="133">
        <f t="shared" si="65"/>
        <v>124115.48723461996</v>
      </c>
      <c r="AE93" s="133">
        <f t="shared" si="65"/>
        <v>126498.28856877537</v>
      </c>
      <c r="AF93" s="133">
        <f t="shared" si="65"/>
        <v>128861.82836759827</v>
      </c>
      <c r="AG93" s="133">
        <f t="shared" si="65"/>
        <v>131205.4428715953</v>
      </c>
      <c r="AH93" s="133">
        <f t="shared" si="65"/>
        <v>133528.39318858823</v>
      </c>
      <c r="AI93" s="133">
        <f t="shared" si="65"/>
        <v>135829.863720377</v>
      </c>
      <c r="AJ93" s="133">
        <f t="shared" si="65"/>
        <v>138108.96051124443</v>
      </c>
      <c r="AK93" s="133">
        <f t="shared" si="65"/>
        <v>140364.7095168758</v>
      </c>
      <c r="AL93" s="133">
        <f t="shared" si="65"/>
        <v>142596.05479214934</v>
      </c>
      <c r="AM93" s="133">
        <f t="shared" si="65"/>
        <v>144801.85659623545</v>
      </c>
    </row>
    <row r="94" spans="1:39">
      <c r="O94" s="136" t="s">
        <v>313</v>
      </c>
      <c r="P94" s="35">
        <f>+P93-Financeability!P14</f>
        <v>2.9103830456733704E-10</v>
      </c>
      <c r="Q94" s="35">
        <f>+Q93-Financeability!Q14</f>
        <v>0</v>
      </c>
      <c r="R94" s="35">
        <f>+R93-Financeability!R14</f>
        <v>0</v>
      </c>
      <c r="S94" s="35">
        <f>+S93-Financeability!S14</f>
        <v>0</v>
      </c>
      <c r="T94" s="35">
        <f>+T93-Financeability!T14</f>
        <v>-2.0372681319713593E-10</v>
      </c>
      <c r="U94" s="35">
        <f>+U93-Financeability!U14</f>
        <v>0</v>
      </c>
      <c r="V94" s="35">
        <f>+V93-Financeability!V14</f>
        <v>0</v>
      </c>
      <c r="W94" s="35">
        <f>+W93-Financeability!W14</f>
        <v>-1.7462298274040222E-10</v>
      </c>
      <c r="X94" s="35">
        <f>+X93-Financeability!X14</f>
        <v>0</v>
      </c>
      <c r="Y94" s="35">
        <f>+Y93-Financeability!Y14</f>
        <v>0</v>
      </c>
      <c r="Z94" s="35">
        <f>+Z93-Financeability!Z14</f>
        <v>0</v>
      </c>
      <c r="AA94" s="35">
        <f>+AA93-Financeability!AA14</f>
        <v>-3.92901711165905E-10</v>
      </c>
      <c r="AB94" s="35">
        <f>+AB93-Financeability!AB14</f>
        <v>2.3283064365386963E-10</v>
      </c>
      <c r="AC94" s="35">
        <f>+AC93-Financeability!AC14</f>
        <v>-2.1827872842550278E-10</v>
      </c>
      <c r="AD94" s="35">
        <f>+AD93-Financeability!AD14</f>
        <v>-1.6007106751203537E-10</v>
      </c>
      <c r="AE94" s="35">
        <f>+AE93-Financeability!AE14</f>
        <v>0</v>
      </c>
      <c r="AF94" s="35">
        <f>+AF93-Financeability!AF14</f>
        <v>-4.0745362639427185E-10</v>
      </c>
      <c r="AG94" s="35">
        <f>+AG93-Financeability!AG14</f>
        <v>0</v>
      </c>
      <c r="AH94" s="35">
        <f>+AH93-Financeability!AH14</f>
        <v>-2.9103830456733704E-10</v>
      </c>
      <c r="AI94" s="35">
        <f>+AI93-Financeability!AI14</f>
        <v>0</v>
      </c>
      <c r="AJ94" s="35">
        <f>+AJ93-Financeability!AJ14</f>
        <v>-5.5297277867794037E-10</v>
      </c>
      <c r="AK94" s="35">
        <f>+AK93-Financeability!AK14</f>
        <v>-7.2759576141834259E-10</v>
      </c>
      <c r="AL94" s="35">
        <f>+AL93-Financeability!AL14</f>
        <v>-2.9103830456733704E-10</v>
      </c>
      <c r="AM94" s="35">
        <f>+AM93-Financeability!AM14</f>
        <v>2.6193447411060333E-10</v>
      </c>
    </row>
  </sheetData>
  <dataConsolidate/>
  <conditionalFormatting sqref="AN54:XFD54 A54:M54">
    <cfRule type="top10" dxfId="0" priority="1" rank="1"/>
    <cfRule type="top10" priority="2" rank="1"/>
  </conditionalFormatting>
  <pageMargins left="0.70866141732283472" right="0.70866141732283472" top="0.74803149606299213" bottom="0.74803149606299213" header="0.31496062992125984" footer="0.31496062992125984"/>
  <pageSetup paperSize="8" scale="5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80"/>
  <sheetViews>
    <sheetView zoomScaleNormal="100" workbookViewId="0">
      <pane xSplit="13" ySplit="1" topLeftCell="P23" activePane="bottomRight" state="frozen"/>
      <selection pane="topRight" activeCell="N1" sqref="N1"/>
      <selection pane="bottomLeft" activeCell="A2" sqref="A2"/>
      <selection pane="bottomRight" activeCell="P25" sqref="P25"/>
    </sheetView>
  </sheetViews>
  <sheetFormatPr defaultColWidth="9.36328125" defaultRowHeight="13"/>
  <cols>
    <col min="1" max="1" width="47.36328125" style="32" bestFit="1" customWidth="1"/>
    <col min="2" max="13" width="2.81640625" style="33" hidden="1" customWidth="1"/>
    <col min="14" max="39" width="6.08984375" style="33" bestFit="1" customWidth="1"/>
    <col min="40" max="16384" width="9.36328125" style="32"/>
  </cols>
  <sheetData>
    <row r="1" spans="1:39" s="36" customFormat="1">
      <c r="A1" s="36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>
        <f>+Inputs!N1</f>
        <v>2021</v>
      </c>
      <c r="O1" s="40">
        <f>+Inputs!O1</f>
        <v>2022</v>
      </c>
      <c r="P1" s="40">
        <f>+Inputs!P1</f>
        <v>2023</v>
      </c>
      <c r="Q1" s="40">
        <f>+Inputs!Q1</f>
        <v>2024</v>
      </c>
      <c r="R1" s="40">
        <f>+Inputs!R1</f>
        <v>2025</v>
      </c>
      <c r="S1" s="40">
        <f>+Inputs!S1</f>
        <v>2026</v>
      </c>
      <c r="T1" s="40">
        <f>+Inputs!T1</f>
        <v>2027</v>
      </c>
      <c r="U1" s="40">
        <f>+Inputs!U1</f>
        <v>2028</v>
      </c>
      <c r="V1" s="40">
        <f>+Inputs!V1</f>
        <v>2029</v>
      </c>
      <c r="W1" s="40">
        <f>+Inputs!W1</f>
        <v>2030</v>
      </c>
      <c r="X1" s="40">
        <f>+Inputs!X1</f>
        <v>2031</v>
      </c>
      <c r="Y1" s="40">
        <f>+Inputs!Y1</f>
        <v>2032</v>
      </c>
      <c r="Z1" s="40">
        <f>+Inputs!Z1</f>
        <v>2033</v>
      </c>
      <c r="AA1" s="40">
        <f>+Inputs!AA1</f>
        <v>2034</v>
      </c>
      <c r="AB1" s="40">
        <f>+Inputs!AB1</f>
        <v>2035</v>
      </c>
      <c r="AC1" s="40">
        <f>+Inputs!AC1</f>
        <v>2036</v>
      </c>
      <c r="AD1" s="40">
        <f>+Inputs!AD1</f>
        <v>2037</v>
      </c>
      <c r="AE1" s="40">
        <f>+Inputs!AE1</f>
        <v>2038</v>
      </c>
      <c r="AF1" s="40">
        <f>+Inputs!AF1</f>
        <v>2039</v>
      </c>
      <c r="AG1" s="40">
        <f>+Inputs!AG1</f>
        <v>2040</v>
      </c>
      <c r="AH1" s="40">
        <f>+Inputs!AH1</f>
        <v>2041</v>
      </c>
      <c r="AI1" s="40">
        <f>+Inputs!AI1</f>
        <v>2042</v>
      </c>
      <c r="AJ1" s="40">
        <f>+Inputs!AJ1</f>
        <v>2043</v>
      </c>
      <c r="AK1" s="40">
        <f>+Inputs!AK1</f>
        <v>2044</v>
      </c>
      <c r="AL1" s="40">
        <f>+Inputs!AL1</f>
        <v>2045</v>
      </c>
      <c r="AM1" s="40">
        <f>+Inputs!AM1</f>
        <v>2046</v>
      </c>
    </row>
    <row r="2" spans="1:39">
      <c r="A2" s="61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>
      <c r="A3" s="32" t="s">
        <v>68</v>
      </c>
      <c r="B3" s="35"/>
      <c r="C3" s="35"/>
      <c r="D3" s="35"/>
      <c r="E3" s="35"/>
      <c r="F3" s="73"/>
      <c r="G3" s="74"/>
      <c r="H3" s="74"/>
      <c r="I3" s="74"/>
      <c r="J3" s="74"/>
      <c r="K3" s="74"/>
      <c r="L3" s="74"/>
      <c r="M3" s="74"/>
      <c r="N3" s="85"/>
      <c r="O3" s="85"/>
      <c r="P3" s="85">
        <f>Inputs!P88</f>
        <v>0.19</v>
      </c>
      <c r="Q3" s="85">
        <f>Inputs!Q88</f>
        <v>0.19</v>
      </c>
      <c r="R3" s="85">
        <f>Inputs!R88</f>
        <v>0.19</v>
      </c>
      <c r="S3" s="85">
        <f>Inputs!S88</f>
        <v>0.19</v>
      </c>
      <c r="T3" s="85">
        <f>Inputs!T88</f>
        <v>0.19</v>
      </c>
      <c r="U3" s="85">
        <f>Inputs!U88</f>
        <v>0.19</v>
      </c>
      <c r="V3" s="85">
        <f>Inputs!V88</f>
        <v>0.19</v>
      </c>
      <c r="W3" s="85">
        <f>Inputs!W88</f>
        <v>0.19</v>
      </c>
      <c r="X3" s="85">
        <f>Inputs!X88</f>
        <v>0.19</v>
      </c>
      <c r="Y3" s="85">
        <f>Inputs!Y88</f>
        <v>0.19</v>
      </c>
      <c r="Z3" s="85">
        <f>Inputs!Z88</f>
        <v>0.19</v>
      </c>
      <c r="AA3" s="85">
        <f>Inputs!AA88</f>
        <v>0.19</v>
      </c>
      <c r="AB3" s="85">
        <f>Inputs!AB88</f>
        <v>0.19</v>
      </c>
      <c r="AC3" s="85">
        <f>Inputs!AC88</f>
        <v>0.19</v>
      </c>
      <c r="AD3" s="85">
        <f>Inputs!AD88</f>
        <v>0.19</v>
      </c>
      <c r="AE3" s="85">
        <f>Inputs!AE88</f>
        <v>0.19</v>
      </c>
      <c r="AF3" s="85">
        <f>Inputs!AF88</f>
        <v>0.19</v>
      </c>
      <c r="AG3" s="85">
        <f>Inputs!AG88</f>
        <v>0.19</v>
      </c>
      <c r="AH3" s="85">
        <f>Inputs!AH88</f>
        <v>0.19</v>
      </c>
      <c r="AI3" s="85">
        <f>Inputs!AI88</f>
        <v>0.19</v>
      </c>
      <c r="AJ3" s="85">
        <f>Inputs!AJ88</f>
        <v>0.19</v>
      </c>
      <c r="AK3" s="85">
        <f>Inputs!AK88</f>
        <v>0.19</v>
      </c>
      <c r="AL3" s="85">
        <f>Inputs!AL88</f>
        <v>0.19</v>
      </c>
      <c r="AM3" s="85">
        <f>Inputs!AM88</f>
        <v>0.19</v>
      </c>
    </row>
    <row r="4" spans="1:39">
      <c r="A4" s="32" t="s">
        <v>69</v>
      </c>
      <c r="B4" s="35"/>
      <c r="C4" s="35"/>
      <c r="D4" s="35"/>
      <c r="E4" s="35"/>
      <c r="F4" s="73"/>
      <c r="G4" s="74"/>
      <c r="H4" s="74"/>
      <c r="I4" s="74"/>
      <c r="J4" s="74"/>
      <c r="K4" s="74"/>
      <c r="L4" s="74"/>
      <c r="M4" s="74"/>
      <c r="N4" s="85"/>
      <c r="O4" s="85"/>
      <c r="P4" s="85">
        <f>Inputs!P89</f>
        <v>0.19</v>
      </c>
      <c r="Q4" s="85">
        <f>Inputs!Q89</f>
        <v>0.19</v>
      </c>
      <c r="R4" s="85">
        <f>Inputs!R89</f>
        <v>0.19</v>
      </c>
      <c r="S4" s="85">
        <f>Inputs!S89</f>
        <v>0.19</v>
      </c>
      <c r="T4" s="85">
        <f>Inputs!T89</f>
        <v>0.19</v>
      </c>
      <c r="U4" s="85">
        <f>Inputs!U89</f>
        <v>0.19</v>
      </c>
      <c r="V4" s="85">
        <f>Inputs!V89</f>
        <v>0.19</v>
      </c>
      <c r="W4" s="85">
        <f>Inputs!W89</f>
        <v>0.19</v>
      </c>
      <c r="X4" s="85">
        <f>Inputs!X89</f>
        <v>0.19</v>
      </c>
      <c r="Y4" s="85">
        <f>Inputs!Y89</f>
        <v>0.19</v>
      </c>
      <c r="Z4" s="85">
        <f>Inputs!Z89</f>
        <v>0.19</v>
      </c>
      <c r="AA4" s="85">
        <f>Inputs!AA89</f>
        <v>0.19</v>
      </c>
      <c r="AB4" s="85">
        <f>Inputs!AB89</f>
        <v>0.19</v>
      </c>
      <c r="AC4" s="85">
        <f>Inputs!AC89</f>
        <v>0.19</v>
      </c>
      <c r="AD4" s="85">
        <f>Inputs!AD89</f>
        <v>0.19</v>
      </c>
      <c r="AE4" s="85">
        <f>Inputs!AE89</f>
        <v>0.19</v>
      </c>
      <c r="AF4" s="85">
        <f>Inputs!AF89</f>
        <v>0.19</v>
      </c>
      <c r="AG4" s="85">
        <f>Inputs!AG89</f>
        <v>0.19</v>
      </c>
      <c r="AH4" s="85">
        <f>Inputs!AH89</f>
        <v>0.19</v>
      </c>
      <c r="AI4" s="85">
        <f>Inputs!AI89</f>
        <v>0.19</v>
      </c>
      <c r="AJ4" s="85">
        <f>Inputs!AJ89</f>
        <v>0.19</v>
      </c>
      <c r="AK4" s="85">
        <f>Inputs!AK89</f>
        <v>0.19</v>
      </c>
      <c r="AL4" s="85">
        <f>Inputs!AL89</f>
        <v>0.19</v>
      </c>
      <c r="AM4" s="85">
        <f>Inputs!AM89</f>
        <v>0.19</v>
      </c>
    </row>
    <row r="5" spans="1:39">
      <c r="B5" s="35"/>
      <c r="C5" s="35"/>
      <c r="D5" s="35"/>
      <c r="E5" s="35"/>
      <c r="F5" s="73"/>
      <c r="G5" s="35"/>
      <c r="H5" s="35"/>
      <c r="I5" s="35"/>
      <c r="J5" s="35"/>
      <c r="K5" s="35"/>
      <c r="L5" s="35"/>
      <c r="M5" s="35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>
      <c r="A6" s="32" t="s">
        <v>241</v>
      </c>
      <c r="B6" s="35"/>
      <c r="C6" s="35"/>
      <c r="D6" s="35"/>
      <c r="E6" s="35"/>
      <c r="F6" s="73"/>
      <c r="G6" s="35"/>
      <c r="H6" s="35"/>
      <c r="I6" s="35"/>
      <c r="J6" s="35"/>
      <c r="K6" s="35"/>
      <c r="L6" s="35"/>
      <c r="M6" s="35"/>
      <c r="N6" s="12">
        <f>+Inputs!N35</f>
        <v>1.0293040293040294</v>
      </c>
      <c r="O6" s="12">
        <f>+Inputs!O35</f>
        <v>1.1253380952380954</v>
      </c>
      <c r="P6" s="12">
        <f>+Inputs!P35</f>
        <v>1.1877943595238096</v>
      </c>
      <c r="Q6" s="12">
        <f>+Inputs!Q35</f>
        <v>1.2148760709209525</v>
      </c>
      <c r="R6" s="12">
        <f>+Inputs!R35</f>
        <v>1.2281182200939909</v>
      </c>
      <c r="S6" s="12">
        <f>+Inputs!S35</f>
        <v>1.2537858908939552</v>
      </c>
      <c r="T6" s="12">
        <f>+Inputs!T35</f>
        <v>1.2799900160136388</v>
      </c>
      <c r="U6" s="12">
        <f>+Inputs!U35</f>
        <v>1.3067418073483239</v>
      </c>
      <c r="V6" s="12">
        <f>+Inputs!V35</f>
        <v>1.3340527111219038</v>
      </c>
      <c r="W6" s="12">
        <f>+Inputs!W35</f>
        <v>1.3619344127843516</v>
      </c>
      <c r="X6" s="12">
        <f>+Inputs!X35</f>
        <v>1.3903988420115445</v>
      </c>
      <c r="Y6" s="12">
        <f>+Inputs!Y35</f>
        <v>1.4194581778095858</v>
      </c>
      <c r="Z6" s="12">
        <f>+Inputs!Z35</f>
        <v>1.4491248537258061</v>
      </c>
      <c r="AA6" s="12">
        <f>+Inputs!AA35</f>
        <v>1.4794115631686755</v>
      </c>
      <c r="AB6" s="12">
        <f>+Inputs!AB35</f>
        <v>1.5103312648389009</v>
      </c>
      <c r="AC6" s="12">
        <f>+Inputs!AC35</f>
        <v>1.541897188274034</v>
      </c>
      <c r="AD6" s="12">
        <f>+Inputs!AD35</f>
        <v>1.5741228395089613</v>
      </c>
      <c r="AE6" s="12">
        <f>+Inputs!AE35</f>
        <v>1.6070220068546985</v>
      </c>
      <c r="AF6" s="12">
        <f>+Inputs!AF35</f>
        <v>1.6406087667979616</v>
      </c>
      <c r="AG6" s="12">
        <f>+Inputs!AG35</f>
        <v>1.674897490024039</v>
      </c>
      <c r="AH6" s="12">
        <f>+Inputs!AH35</f>
        <v>1.7099028475655413</v>
      </c>
      <c r="AI6" s="12">
        <f>+Inputs!AI35</f>
        <v>1.7456398170796612</v>
      </c>
      <c r="AJ6" s="12">
        <f>+Inputs!AJ35</f>
        <v>1.7821236892566261</v>
      </c>
      <c r="AK6" s="12">
        <f>+Inputs!AK35</f>
        <v>1.8193700743620895</v>
      </c>
      <c r="AL6" s="12">
        <f>+Inputs!AL35</f>
        <v>1.8573949089162571</v>
      </c>
      <c r="AM6" s="12">
        <f>+Inputs!AM35</f>
        <v>1.8962144625126069</v>
      </c>
    </row>
    <row r="7" spans="1:39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>
      <c r="A8" s="32" t="s">
        <v>70</v>
      </c>
      <c r="B8" s="35"/>
      <c r="C8" s="35"/>
      <c r="D8" s="35"/>
      <c r="E8" s="35"/>
      <c r="F8" s="73"/>
      <c r="G8" s="82"/>
      <c r="H8" s="82"/>
      <c r="I8" s="82"/>
      <c r="J8" s="82"/>
      <c r="K8" s="35"/>
      <c r="L8" s="35"/>
      <c r="M8" s="35"/>
      <c r="N8" s="35"/>
      <c r="O8" s="35"/>
      <c r="P8" s="35">
        <f>+'Pi''s Calc'!P21*'UR Tax Calculation'!P6</f>
        <v>79635.328268367462</v>
      </c>
      <c r="Q8" s="35">
        <f>+'Pi''s Calc'!Q21*'UR Tax Calculation'!Q6</f>
        <v>85159.176040457169</v>
      </c>
      <c r="R8" s="35">
        <f>+'Pi''s Calc'!R21*'UR Tax Calculation'!R6</f>
        <v>90141.525823358286</v>
      </c>
      <c r="S8" s="35">
        <f>+'Pi''s Calc'!S21*'UR Tax Calculation'!S6</f>
        <v>94505.884284377418</v>
      </c>
      <c r="T8" s="35">
        <f>+'Pi''s Calc'!T21*'UR Tax Calculation'!T6</f>
        <v>98080.826115832984</v>
      </c>
      <c r="U8" s="35">
        <f>+'Pi''s Calc'!U21*'UR Tax Calculation'!U6</f>
        <v>101734.31142613984</v>
      </c>
      <c r="V8" s="35">
        <f>+'Pi''s Calc'!V21*'UR Tax Calculation'!V6</f>
        <v>104289.87467715891</v>
      </c>
      <c r="W8" s="35">
        <f>+'Pi''s Calc'!W21*'UR Tax Calculation'!W6</f>
        <v>106829.77365957372</v>
      </c>
      <c r="X8" s="35">
        <f>+'Pi''s Calc'!X21*'UR Tax Calculation'!X6</f>
        <v>109353.54905355547</v>
      </c>
      <c r="Y8" s="35">
        <f>+'Pi''s Calc'!Y21*'UR Tax Calculation'!Y6</f>
        <v>111861.0883879566</v>
      </c>
      <c r="Z8" s="35">
        <f>+'Pi''s Calc'!Z21*'UR Tax Calculation'!Z6</f>
        <v>114352.21354179787</v>
      </c>
      <c r="AA8" s="35">
        <f>+'Pi''s Calc'!AA21*'UR Tax Calculation'!AA6</f>
        <v>116826.67972891316</v>
      </c>
      <c r="AB8" s="35">
        <f>+'Pi''s Calc'!AB21*'UR Tax Calculation'!AB6</f>
        <v>119284.1744131778</v>
      </c>
      <c r="AC8" s="35">
        <f>+'Pi''s Calc'!AC21*'UR Tax Calculation'!AC6</f>
        <v>121714.0144885402</v>
      </c>
      <c r="AD8" s="35">
        <f>+'Pi''s Calc'!AD21*'UR Tax Calculation'!AD6</f>
        <v>124115.48723462012</v>
      </c>
      <c r="AE8" s="35">
        <f>+'Pi''s Calc'!AE21*'UR Tax Calculation'!AE6</f>
        <v>126498.2885687754</v>
      </c>
      <c r="AF8" s="35">
        <f>+'Pi''s Calc'!AF21*'UR Tax Calculation'!AF6</f>
        <v>128861.82836759867</v>
      </c>
      <c r="AG8" s="35">
        <f>+'Pi''s Calc'!AG21*'UR Tax Calculation'!AG6</f>
        <v>131205.44287159518</v>
      </c>
      <c r="AH8" s="35">
        <f>+'Pi''s Calc'!AH21*'UR Tax Calculation'!AH6</f>
        <v>133528.39318858852</v>
      </c>
      <c r="AI8" s="35">
        <f>+'Pi''s Calc'!AI21*'UR Tax Calculation'!AI6</f>
        <v>135829.86372037689</v>
      </c>
      <c r="AJ8" s="35">
        <f>+'Pi''s Calc'!AJ21*'UR Tax Calculation'!AJ6</f>
        <v>138108.96051124498</v>
      </c>
      <c r="AK8" s="35">
        <f>+'Pi''s Calc'!AK21*'UR Tax Calculation'!AK6</f>
        <v>140364.70951687652</v>
      </c>
      <c r="AL8" s="35">
        <f>+'Pi''s Calc'!AL21*'UR Tax Calculation'!AL6</f>
        <v>142596.05479214963</v>
      </c>
      <c r="AM8" s="35">
        <f>+'Pi''s Calc'!AM21*'UR Tax Calculation'!AM6</f>
        <v>144801.85659623519</v>
      </c>
    </row>
    <row r="9" spans="1:39">
      <c r="A9" s="32" t="s">
        <v>71</v>
      </c>
      <c r="B9" s="35"/>
      <c r="C9" s="35"/>
      <c r="D9" s="35"/>
      <c r="E9" s="35"/>
      <c r="F9" s="73"/>
      <c r="G9" s="82"/>
      <c r="H9" s="82"/>
      <c r="I9" s="82"/>
      <c r="J9" s="82"/>
      <c r="K9" s="35"/>
      <c r="L9" s="35"/>
      <c r="M9" s="35"/>
      <c r="N9" s="35"/>
      <c r="O9" s="35"/>
      <c r="P9" s="35">
        <f>+'Pi''s Calc'!P23*'UR Tax Calculation'!P6</f>
        <v>-21681.811074787769</v>
      </c>
      <c r="Q9" s="35">
        <f>+'Pi''s Calc'!Q23*'UR Tax Calculation'!Q6</f>
        <v>-22152.122083191502</v>
      </c>
      <c r="R9" s="35">
        <f>+'Pi''s Calc'!R23*'UR Tax Calculation'!R6</f>
        <v>-22502.003692857455</v>
      </c>
      <c r="S9" s="35">
        <f>+'Pi''s Calc'!S23*'UR Tax Calculation'!S6</f>
        <v>-23191.556843897808</v>
      </c>
      <c r="T9" s="35">
        <f>+'Pi''s Calc'!T23*'UR Tax Calculation'!T6</f>
        <v>-23390.352658706488</v>
      </c>
      <c r="U9" s="35">
        <f>+'Pi''s Calc'!U23*'UR Tax Calculation'!U6</f>
        <v>-24014.902566747678</v>
      </c>
      <c r="V9" s="35">
        <f>+'Pi''s Calc'!V23*'UR Tax Calculation'!V6</f>
        <v>-24328.452248174897</v>
      </c>
      <c r="W9" s="35">
        <f>+'Pi''s Calc'!W23*'UR Tax Calculation'!W6</f>
        <v>-25072.474882649763</v>
      </c>
      <c r="X9" s="35">
        <f>+'Pi''s Calc'!X23*'UR Tax Calculation'!X6</f>
        <v>-25831.060352837194</v>
      </c>
      <c r="Y9" s="35">
        <f>+'Pi''s Calc'!Y23*'UR Tax Calculation'!Y6</f>
        <v>-26604.703675663804</v>
      </c>
      <c r="Z9" s="35">
        <f>+'Pi''s Calc'!Z23*'UR Tax Calculation'!Z6</f>
        <v>-27393.904704303139</v>
      </c>
      <c r="AA9" s="35">
        <f>+'Pi''s Calc'!AA23*'UR Tax Calculation'!AA6</f>
        <v>-28199.168673159696</v>
      </c>
      <c r="AB9" s="35">
        <f>+'Pi''s Calc'!AB23*'UR Tax Calculation'!AB6</f>
        <v>-29021.006722995968</v>
      </c>
      <c r="AC9" s="35">
        <f>+'Pi''s Calc'!AC23*'UR Tax Calculation'!AC6</f>
        <v>-29853.865219306404</v>
      </c>
      <c r="AD9" s="35">
        <f>+'Pi''s Calc'!AD23*'UR Tax Calculation'!AD6</f>
        <v>-30704.106066840719</v>
      </c>
      <c r="AE9" s="35">
        <f>+'Pi''s Calc'!AE23*'UR Tax Calculation'!AE6</f>
        <v>-31572.252873474579</v>
      </c>
      <c r="AF9" s="35">
        <f>+'Pi''s Calc'!AF23*'UR Tax Calculation'!AF6</f>
        <v>-32458.836905614877</v>
      </c>
      <c r="AG9" s="35">
        <f>+'Pi''s Calc'!AG23*'UR Tax Calculation'!AG6</f>
        <v>-33364.397537210265</v>
      </c>
      <c r="AH9" s="35">
        <f>+'Pi''s Calc'!AH23*'UR Tax Calculation'!AH6</f>
        <v>-34289.482689790188</v>
      </c>
      <c r="AI9" s="35">
        <f>+'Pi''s Calc'!AI23*'UR Tax Calculation'!AI6</f>
        <v>-35234.6492648977</v>
      </c>
      <c r="AJ9" s="35">
        <f>+'Pi''s Calc'!AJ23*'UR Tax Calculation'!AJ6</f>
        <v>-36200.463570176267</v>
      </c>
      <c r="AK9" s="35">
        <f>+'Pi''s Calc'!AK23*'UR Tax Calculation'!AK6</f>
        <v>-37187.501740274245</v>
      </c>
      <c r="AL9" s="35">
        <f>+'Pi''s Calc'!AL23*'UR Tax Calculation'!AL6</f>
        <v>-38196.350153643551</v>
      </c>
      <c r="AM9" s="35">
        <f>+'Pi''s Calc'!AM23*'UR Tax Calculation'!AM6</f>
        <v>-39227.605846230261</v>
      </c>
    </row>
    <row r="10" spans="1:39">
      <c r="A10" s="32" t="s">
        <v>72</v>
      </c>
      <c r="B10" s="35"/>
      <c r="C10" s="35"/>
      <c r="D10" s="35"/>
      <c r="E10" s="35"/>
      <c r="F10" s="73"/>
      <c r="G10" s="82"/>
      <c r="H10" s="82"/>
      <c r="I10" s="82"/>
      <c r="J10" s="82"/>
      <c r="K10" s="35"/>
      <c r="L10" s="35"/>
      <c r="M10" s="35"/>
      <c r="N10" s="35"/>
      <c r="O10" s="35"/>
      <c r="P10" s="35">
        <f>-Financeability!P24</f>
        <v>-9220.9441405401449</v>
      </c>
      <c r="Q10" s="35">
        <f>-Financeability!Q24</f>
        <v>-19210.418906025316</v>
      </c>
      <c r="R10" s="35">
        <f>-Financeability!R24</f>
        <v>-29400.767030596402</v>
      </c>
      <c r="S10" s="35">
        <f>-Financeability!S24</f>
        <v>-29784.583139397921</v>
      </c>
      <c r="T10" s="35">
        <f>-Financeability!T24</f>
        <v>-30089.142822666327</v>
      </c>
      <c r="U10" s="35">
        <f>-Financeability!U24</f>
        <v>-30194.133776410301</v>
      </c>
      <c r="V10" s="35">
        <f>-Financeability!V24</f>
        <v>-30115.116178405926</v>
      </c>
      <c r="W10" s="35">
        <f>-Financeability!W24</f>
        <v>-29905.760547251339</v>
      </c>
      <c r="X10" s="35">
        <f>-Financeability!X24</f>
        <v>-29620.186500635809</v>
      </c>
      <c r="Y10" s="35">
        <f>-Financeability!Y24</f>
        <v>-29270.761663823705</v>
      </c>
      <c r="Z10" s="35">
        <f>-Financeability!Z24</f>
        <v>-28850.825045497331</v>
      </c>
      <c r="AA10" s="35">
        <f>-Financeability!AA24</f>
        <v>-28343.263207931559</v>
      </c>
      <c r="AB10" s="35">
        <f>-Financeability!AB24</f>
        <v>-27728.880772609307</v>
      </c>
      <c r="AC10" s="35">
        <f>-Financeability!AC24</f>
        <v>-26998.306663693784</v>
      </c>
      <c r="AD10" s="35">
        <f>-Financeability!AD24</f>
        <v>-26158.912535390151</v>
      </c>
      <c r="AE10" s="35">
        <f>-Financeability!AE24</f>
        <v>-25237.004076428777</v>
      </c>
      <c r="AF10" s="35">
        <f>-Financeability!AF24</f>
        <v>-24225.946729210227</v>
      </c>
      <c r="AG10" s="35">
        <f>-Financeability!AG24</f>
        <v>-23063.257526089561</v>
      </c>
      <c r="AH10" s="35">
        <f>-Financeability!AH24</f>
        <v>-21764.205021410249</v>
      </c>
      <c r="AI10" s="35">
        <f>-Financeability!AI24</f>
        <v>-20359.19174591947</v>
      </c>
      <c r="AJ10" s="35">
        <f>-Financeability!AJ24</f>
        <v>-18796.396642554733</v>
      </c>
      <c r="AK10" s="35">
        <f>-Financeability!AK24</f>
        <v>-17064.525188879223</v>
      </c>
      <c r="AL10" s="35">
        <f>-Financeability!AL24</f>
        <v>-15176.58314684198</v>
      </c>
      <c r="AM10" s="35">
        <f>-Financeability!AM24</f>
        <v>-13105.5281369728</v>
      </c>
    </row>
    <row r="11" spans="1:39">
      <c r="A11" s="32" t="s">
        <v>73</v>
      </c>
      <c r="B11" s="35"/>
      <c r="C11" s="35"/>
      <c r="D11" s="35"/>
      <c r="E11" s="35"/>
      <c r="F11" s="73"/>
      <c r="G11" s="82"/>
      <c r="H11" s="82"/>
      <c r="I11" s="35"/>
      <c r="J11" s="35"/>
      <c r="K11" s="35"/>
      <c r="L11" s="35"/>
      <c r="M11" s="35"/>
      <c r="N11" s="35"/>
      <c r="O11" s="35"/>
      <c r="P11" s="35">
        <f>-P79</f>
        <v>-15552.654397078728</v>
      </c>
      <c r="Q11" s="35">
        <f t="shared" ref="Q11:U11" si="0">-Q79</f>
        <v>-15767.159020564715</v>
      </c>
      <c r="R11" s="35">
        <f t="shared" si="0"/>
        <v>-16192.276364281479</v>
      </c>
      <c r="S11" s="35">
        <f t="shared" si="0"/>
        <v>-16511.940594467622</v>
      </c>
      <c r="T11" s="35">
        <f t="shared" si="0"/>
        <v>-16423.014767182576</v>
      </c>
      <c r="U11" s="35">
        <f t="shared" si="0"/>
        <v>-16375.899239325126</v>
      </c>
      <c r="V11" s="35">
        <f t="shared" ref="V11:AM11" si="1">-V79</f>
        <v>-16126.390662349773</v>
      </c>
      <c r="W11" s="35">
        <f t="shared" si="1"/>
        <v>-15929.280983426859</v>
      </c>
      <c r="X11" s="35">
        <f t="shared" si="1"/>
        <v>-15858.165386426403</v>
      </c>
      <c r="Y11" s="35">
        <f t="shared" si="1"/>
        <v>-15843.815576549712</v>
      </c>
      <c r="Z11" s="35">
        <f t="shared" si="1"/>
        <v>-15904.821324126437</v>
      </c>
      <c r="AA11" s="35">
        <f t="shared" si="1"/>
        <v>-15931.293945033214</v>
      </c>
      <c r="AB11" s="35">
        <f t="shared" si="1"/>
        <v>-15959.020212105934</v>
      </c>
      <c r="AC11" s="35">
        <f t="shared" si="1"/>
        <v>-15953.370512329675</v>
      </c>
      <c r="AD11" s="35">
        <f t="shared" si="1"/>
        <v>-16039.286239926503</v>
      </c>
      <c r="AE11" s="35">
        <f t="shared" si="1"/>
        <v>-16261.990739478719</v>
      </c>
      <c r="AF11" s="35">
        <f t="shared" si="1"/>
        <v>-16499.43325043736</v>
      </c>
      <c r="AG11" s="35">
        <f t="shared" si="1"/>
        <v>-16523.765808392243</v>
      </c>
      <c r="AH11" s="35">
        <f t="shared" si="1"/>
        <v>-16806.585161657058</v>
      </c>
      <c r="AI11" s="35">
        <f t="shared" si="1"/>
        <v>-17059.425597342932</v>
      </c>
      <c r="AJ11" s="35">
        <f t="shared" si="1"/>
        <v>-17233.082196874402</v>
      </c>
      <c r="AK11" s="35">
        <f t="shared" si="1"/>
        <v>-17448.596235650697</v>
      </c>
      <c r="AL11" s="35">
        <f t="shared" si="1"/>
        <v>-17721.978241419965</v>
      </c>
      <c r="AM11" s="35">
        <f t="shared" si="1"/>
        <v>-17896.75194737707</v>
      </c>
    </row>
    <row r="12" spans="1:39">
      <c r="A12" s="32" t="s">
        <v>74</v>
      </c>
      <c r="B12" s="35"/>
      <c r="C12" s="35"/>
      <c r="D12" s="35"/>
      <c r="E12" s="35"/>
      <c r="F12" s="73"/>
      <c r="G12" s="82"/>
      <c r="H12" s="82"/>
      <c r="I12" s="82"/>
      <c r="J12" s="82"/>
      <c r="K12" s="35"/>
      <c r="L12" s="35"/>
      <c r="M12" s="35"/>
      <c r="N12" s="35"/>
      <c r="O12" s="35"/>
      <c r="P12" s="52">
        <f t="shared" ref="P12:U12" si="2">SUM(P8:P11)</f>
        <v>33179.918655960821</v>
      </c>
      <c r="Q12" s="52">
        <f t="shared" si="2"/>
        <v>28029.476030675643</v>
      </c>
      <c r="R12" s="52">
        <f t="shared" si="2"/>
        <v>22046.478735622954</v>
      </c>
      <c r="S12" s="52">
        <f t="shared" si="2"/>
        <v>25017.803706614071</v>
      </c>
      <c r="T12" s="52">
        <f t="shared" si="2"/>
        <v>28178.315867277597</v>
      </c>
      <c r="U12" s="52">
        <f t="shared" si="2"/>
        <v>31149.375843656737</v>
      </c>
      <c r="V12" s="52">
        <f t="shared" ref="V12:AM12" si="3">SUM(V8:V11)</f>
        <v>33719.915588228308</v>
      </c>
      <c r="W12" s="52">
        <f t="shared" si="3"/>
        <v>35922.257246245761</v>
      </c>
      <c r="X12" s="52">
        <f t="shared" si="3"/>
        <v>38044.136813656056</v>
      </c>
      <c r="Y12" s="52">
        <f t="shared" si="3"/>
        <v>40141.807471919361</v>
      </c>
      <c r="Z12" s="52">
        <f t="shared" si="3"/>
        <v>42202.662467870956</v>
      </c>
      <c r="AA12" s="52">
        <f t="shared" si="3"/>
        <v>44352.953902788693</v>
      </c>
      <c r="AB12" s="52">
        <f t="shared" si="3"/>
        <v>46575.266705466587</v>
      </c>
      <c r="AC12" s="52">
        <f t="shared" si="3"/>
        <v>48908.47209321033</v>
      </c>
      <c r="AD12" s="52">
        <f t="shared" si="3"/>
        <v>51213.182392462753</v>
      </c>
      <c r="AE12" s="52">
        <f t="shared" si="3"/>
        <v>53427.040879393331</v>
      </c>
      <c r="AF12" s="52">
        <f t="shared" si="3"/>
        <v>55677.6114823362</v>
      </c>
      <c r="AG12" s="52">
        <f t="shared" si="3"/>
        <v>58254.021999903125</v>
      </c>
      <c r="AH12" s="52">
        <f t="shared" si="3"/>
        <v>60668.120315731023</v>
      </c>
      <c r="AI12" s="52">
        <f t="shared" si="3"/>
        <v>63176.59711221679</v>
      </c>
      <c r="AJ12" s="52">
        <f t="shared" si="3"/>
        <v>65879.01810163958</v>
      </c>
      <c r="AK12" s="52">
        <f t="shared" si="3"/>
        <v>68664.086352072351</v>
      </c>
      <c r="AL12" s="52">
        <f t="shared" si="3"/>
        <v>71501.143250244146</v>
      </c>
      <c r="AM12" s="52">
        <f t="shared" si="3"/>
        <v>74571.970665655055</v>
      </c>
    </row>
    <row r="13" spans="1:39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>
      <c r="A14" s="32" t="s">
        <v>203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>
        <f>+Inputs!P90</f>
        <v>5000</v>
      </c>
      <c r="Q14" s="35">
        <f>+P14</f>
        <v>5000</v>
      </c>
      <c r="R14" s="35">
        <f t="shared" ref="R14:U14" si="4">+Q14</f>
        <v>5000</v>
      </c>
      <c r="S14" s="35">
        <f t="shared" si="4"/>
        <v>5000</v>
      </c>
      <c r="T14" s="35">
        <f t="shared" si="4"/>
        <v>5000</v>
      </c>
      <c r="U14" s="35">
        <f t="shared" si="4"/>
        <v>5000</v>
      </c>
      <c r="V14" s="35">
        <f t="shared" ref="V14" si="5">+U14</f>
        <v>5000</v>
      </c>
      <c r="W14" s="35">
        <f t="shared" ref="W14" si="6">+V14</f>
        <v>5000</v>
      </c>
      <c r="X14" s="35">
        <f t="shared" ref="X14" si="7">+W14</f>
        <v>5000</v>
      </c>
      <c r="Y14" s="35">
        <f t="shared" ref="Y14" si="8">+X14</f>
        <v>5000</v>
      </c>
      <c r="Z14" s="35">
        <f t="shared" ref="Z14" si="9">+Y14</f>
        <v>5000</v>
      </c>
      <c r="AA14" s="35">
        <f t="shared" ref="AA14" si="10">+Z14</f>
        <v>5000</v>
      </c>
      <c r="AB14" s="35">
        <f t="shared" ref="AB14" si="11">+AA14</f>
        <v>5000</v>
      </c>
      <c r="AC14" s="35">
        <f t="shared" ref="AC14" si="12">+AB14</f>
        <v>5000</v>
      </c>
      <c r="AD14" s="35">
        <f t="shared" ref="AD14" si="13">+AC14</f>
        <v>5000</v>
      </c>
      <c r="AE14" s="35">
        <f t="shared" ref="AE14" si="14">+AD14</f>
        <v>5000</v>
      </c>
      <c r="AF14" s="35">
        <f t="shared" ref="AF14" si="15">+AE14</f>
        <v>5000</v>
      </c>
      <c r="AG14" s="35">
        <f t="shared" ref="AG14" si="16">+AF14</f>
        <v>5000</v>
      </c>
      <c r="AH14" s="35">
        <f t="shared" ref="AH14" si="17">+AG14</f>
        <v>5000</v>
      </c>
      <c r="AI14" s="35">
        <f t="shared" ref="AI14" si="18">+AH14</f>
        <v>5000</v>
      </c>
      <c r="AJ14" s="35">
        <f t="shared" ref="AJ14" si="19">+AI14</f>
        <v>5000</v>
      </c>
      <c r="AK14" s="35">
        <f t="shared" ref="AK14" si="20">+AJ14</f>
        <v>5000</v>
      </c>
      <c r="AL14" s="35">
        <f t="shared" ref="AL14" si="21">+AK14</f>
        <v>5000</v>
      </c>
      <c r="AM14" s="35">
        <f t="shared" ref="AM14" si="22">+AL14</f>
        <v>5000</v>
      </c>
    </row>
    <row r="15" spans="1:39">
      <c r="A15" s="32" t="s">
        <v>204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>
        <f>IF(P19&gt;=0,0,IF(P12&lt;0,0,IF(P12-P14&lt;0,0,(P12-P14)*50%)))</f>
        <v>0</v>
      </c>
      <c r="Q15" s="35">
        <f t="shared" ref="Q15:U15" si="23">IF(Q19&gt;=0,0,IF(Q12&lt;0,0,IF(Q12-Q14&lt;0,0,(Q12-Q14)*50%)))</f>
        <v>0</v>
      </c>
      <c r="R15" s="35">
        <f t="shared" si="23"/>
        <v>0</v>
      </c>
      <c r="S15" s="35">
        <f t="shared" si="23"/>
        <v>0</v>
      </c>
      <c r="T15" s="35">
        <f t="shared" si="23"/>
        <v>0</v>
      </c>
      <c r="U15" s="35">
        <f t="shared" si="23"/>
        <v>0</v>
      </c>
      <c r="V15" s="35">
        <f t="shared" ref="V15:AM15" si="24">IF(V19&gt;=0,0,IF(V12&lt;0,0,IF(V12-V14&lt;0,0,(V12-V14)*50%)))</f>
        <v>0</v>
      </c>
      <c r="W15" s="35">
        <f t="shared" si="24"/>
        <v>0</v>
      </c>
      <c r="X15" s="35">
        <f t="shared" si="24"/>
        <v>0</v>
      </c>
      <c r="Y15" s="35">
        <f t="shared" si="24"/>
        <v>0</v>
      </c>
      <c r="Z15" s="35">
        <f t="shared" si="24"/>
        <v>0</v>
      </c>
      <c r="AA15" s="35">
        <f t="shared" si="24"/>
        <v>0</v>
      </c>
      <c r="AB15" s="35">
        <f t="shared" si="24"/>
        <v>0</v>
      </c>
      <c r="AC15" s="35">
        <f t="shared" si="24"/>
        <v>0</v>
      </c>
      <c r="AD15" s="35">
        <f t="shared" si="24"/>
        <v>0</v>
      </c>
      <c r="AE15" s="35">
        <f t="shared" si="24"/>
        <v>0</v>
      </c>
      <c r="AF15" s="35">
        <f t="shared" si="24"/>
        <v>0</v>
      </c>
      <c r="AG15" s="35">
        <f t="shared" si="24"/>
        <v>0</v>
      </c>
      <c r="AH15" s="35">
        <f t="shared" si="24"/>
        <v>0</v>
      </c>
      <c r="AI15" s="35">
        <f t="shared" si="24"/>
        <v>0</v>
      </c>
      <c r="AJ15" s="35">
        <f t="shared" si="24"/>
        <v>0</v>
      </c>
      <c r="AK15" s="35">
        <f t="shared" si="24"/>
        <v>0</v>
      </c>
      <c r="AL15" s="35">
        <f t="shared" si="24"/>
        <v>0</v>
      </c>
      <c r="AM15" s="35">
        <f t="shared" si="24"/>
        <v>0</v>
      </c>
    </row>
    <row r="16" spans="1:39">
      <c r="A16" s="32" t="s">
        <v>205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>
        <f>IF(P19&gt;=0,0,IF(P12&lt;0,0,IF(P12-P14&lt;0,P12,SUM(P14:P15))))</f>
        <v>0</v>
      </c>
      <c r="Q16" s="35">
        <f t="shared" ref="Q16:U16" si="25">IF(Q19&gt;=0,0,IF(Q12&lt;0,0,IF(Q12-Q14&lt;0,Q12,SUM(Q14:Q15))))</f>
        <v>0</v>
      </c>
      <c r="R16" s="35">
        <f t="shared" si="25"/>
        <v>0</v>
      </c>
      <c r="S16" s="35">
        <f t="shared" si="25"/>
        <v>0</v>
      </c>
      <c r="T16" s="35">
        <f t="shared" si="25"/>
        <v>0</v>
      </c>
      <c r="U16" s="35">
        <f t="shared" si="25"/>
        <v>0</v>
      </c>
      <c r="V16" s="35">
        <f t="shared" ref="V16:AM16" si="26">IF(V19&gt;=0,0,IF(V12&lt;0,0,IF(V12-V14&lt;0,V12,SUM(V14:V15))))</f>
        <v>0</v>
      </c>
      <c r="W16" s="35">
        <f t="shared" si="26"/>
        <v>0</v>
      </c>
      <c r="X16" s="35">
        <f t="shared" si="26"/>
        <v>0</v>
      </c>
      <c r="Y16" s="35">
        <f t="shared" si="26"/>
        <v>0</v>
      </c>
      <c r="Z16" s="35">
        <f t="shared" si="26"/>
        <v>0</v>
      </c>
      <c r="AA16" s="35">
        <f t="shared" si="26"/>
        <v>0</v>
      </c>
      <c r="AB16" s="35">
        <f t="shared" si="26"/>
        <v>0</v>
      </c>
      <c r="AC16" s="35">
        <f t="shared" si="26"/>
        <v>0</v>
      </c>
      <c r="AD16" s="35">
        <f t="shared" si="26"/>
        <v>0</v>
      </c>
      <c r="AE16" s="35">
        <f t="shared" si="26"/>
        <v>0</v>
      </c>
      <c r="AF16" s="35">
        <f t="shared" si="26"/>
        <v>0</v>
      </c>
      <c r="AG16" s="35">
        <f t="shared" si="26"/>
        <v>0</v>
      </c>
      <c r="AH16" s="35">
        <f t="shared" si="26"/>
        <v>0</v>
      </c>
      <c r="AI16" s="35">
        <f t="shared" si="26"/>
        <v>0</v>
      </c>
      <c r="AJ16" s="35">
        <f t="shared" si="26"/>
        <v>0</v>
      </c>
      <c r="AK16" s="35">
        <f t="shared" si="26"/>
        <v>0</v>
      </c>
      <c r="AL16" s="35">
        <f t="shared" si="26"/>
        <v>0</v>
      </c>
      <c r="AM16" s="35">
        <f t="shared" si="26"/>
        <v>0</v>
      </c>
    </row>
    <row r="17" spans="1:39">
      <c r="B17" s="35"/>
      <c r="C17" s="35"/>
      <c r="D17" s="35"/>
      <c r="E17" s="35"/>
      <c r="F17" s="73"/>
      <c r="G17" s="82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>
      <c r="A18" s="1" t="s">
        <v>34</v>
      </c>
      <c r="B18" s="78"/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>
      <c r="A19" s="1" t="s">
        <v>96</v>
      </c>
      <c r="B19" s="78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35"/>
      <c r="O19" s="35"/>
      <c r="P19" s="35">
        <f>Inputs!N87</f>
        <v>0</v>
      </c>
      <c r="Q19" s="35">
        <f>+P22</f>
        <v>0</v>
      </c>
      <c r="R19" s="35">
        <f t="shared" ref="R19:U19" si="27">+Q22</f>
        <v>0</v>
      </c>
      <c r="S19" s="35">
        <f t="shared" si="27"/>
        <v>0</v>
      </c>
      <c r="T19" s="35">
        <f t="shared" si="27"/>
        <v>0</v>
      </c>
      <c r="U19" s="35">
        <f t="shared" si="27"/>
        <v>0</v>
      </c>
      <c r="V19" s="35">
        <f t="shared" ref="V19" si="28">+U22</f>
        <v>0</v>
      </c>
      <c r="W19" s="35">
        <f t="shared" ref="W19" si="29">+V22</f>
        <v>0</v>
      </c>
      <c r="X19" s="35">
        <f t="shared" ref="X19" si="30">+W22</f>
        <v>0</v>
      </c>
      <c r="Y19" s="35">
        <f t="shared" ref="Y19" si="31">+X22</f>
        <v>0</v>
      </c>
      <c r="Z19" s="35">
        <f t="shared" ref="Z19" si="32">+Y22</f>
        <v>0</v>
      </c>
      <c r="AA19" s="35">
        <f t="shared" ref="AA19" si="33">+Z22</f>
        <v>0</v>
      </c>
      <c r="AB19" s="35">
        <f t="shared" ref="AB19" si="34">+AA22</f>
        <v>0</v>
      </c>
      <c r="AC19" s="35">
        <f t="shared" ref="AC19" si="35">+AB22</f>
        <v>0</v>
      </c>
      <c r="AD19" s="35">
        <f t="shared" ref="AD19" si="36">+AC22</f>
        <v>0</v>
      </c>
      <c r="AE19" s="35">
        <f t="shared" ref="AE19" si="37">+AD22</f>
        <v>0</v>
      </c>
      <c r="AF19" s="35">
        <f t="shared" ref="AF19" si="38">+AE22</f>
        <v>0</v>
      </c>
      <c r="AG19" s="35">
        <f t="shared" ref="AG19" si="39">+AF22</f>
        <v>0</v>
      </c>
      <c r="AH19" s="35">
        <f t="shared" ref="AH19" si="40">+AG22</f>
        <v>0</v>
      </c>
      <c r="AI19" s="35">
        <f t="shared" ref="AI19" si="41">+AH22</f>
        <v>0</v>
      </c>
      <c r="AJ19" s="35">
        <f t="shared" ref="AJ19" si="42">+AI22</f>
        <v>0</v>
      </c>
      <c r="AK19" s="35">
        <f t="shared" ref="AK19" si="43">+AJ22</f>
        <v>0</v>
      </c>
      <c r="AL19" s="35">
        <f t="shared" ref="AL19" si="44">+AK22</f>
        <v>0</v>
      </c>
      <c r="AM19" s="35">
        <f t="shared" ref="AM19" si="45">+AL22</f>
        <v>0</v>
      </c>
    </row>
    <row r="20" spans="1:39">
      <c r="A20" s="1" t="s">
        <v>97</v>
      </c>
      <c r="B20" s="78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35"/>
      <c r="O20" s="35"/>
      <c r="P20" s="35">
        <f>IF((P19*-1)&lt;P16,P19*-1,P16)</f>
        <v>0</v>
      </c>
      <c r="Q20" s="35">
        <f t="shared" ref="Q20:U20" si="46">IF((Q19*-1)&lt;Q16,Q19*-1,Q16)</f>
        <v>0</v>
      </c>
      <c r="R20" s="35">
        <f t="shared" si="46"/>
        <v>0</v>
      </c>
      <c r="S20" s="35">
        <f t="shared" si="46"/>
        <v>0</v>
      </c>
      <c r="T20" s="35">
        <f t="shared" si="46"/>
        <v>0</v>
      </c>
      <c r="U20" s="35">
        <f t="shared" si="46"/>
        <v>0</v>
      </c>
      <c r="V20" s="35">
        <f t="shared" ref="V20:AM20" si="47">IF((V19*-1)&lt;V16,V19*-1,V16)</f>
        <v>0</v>
      </c>
      <c r="W20" s="35">
        <f t="shared" si="47"/>
        <v>0</v>
      </c>
      <c r="X20" s="35">
        <f t="shared" si="47"/>
        <v>0</v>
      </c>
      <c r="Y20" s="35">
        <f t="shared" si="47"/>
        <v>0</v>
      </c>
      <c r="Z20" s="35">
        <f t="shared" si="47"/>
        <v>0</v>
      </c>
      <c r="AA20" s="35">
        <f t="shared" si="47"/>
        <v>0</v>
      </c>
      <c r="AB20" s="35">
        <f t="shared" si="47"/>
        <v>0</v>
      </c>
      <c r="AC20" s="35">
        <f t="shared" si="47"/>
        <v>0</v>
      </c>
      <c r="AD20" s="35">
        <f t="shared" si="47"/>
        <v>0</v>
      </c>
      <c r="AE20" s="35">
        <f t="shared" si="47"/>
        <v>0</v>
      </c>
      <c r="AF20" s="35">
        <f t="shared" si="47"/>
        <v>0</v>
      </c>
      <c r="AG20" s="35">
        <f t="shared" si="47"/>
        <v>0</v>
      </c>
      <c r="AH20" s="35">
        <f t="shared" si="47"/>
        <v>0</v>
      </c>
      <c r="AI20" s="35">
        <f t="shared" si="47"/>
        <v>0</v>
      </c>
      <c r="AJ20" s="35">
        <f t="shared" si="47"/>
        <v>0</v>
      </c>
      <c r="AK20" s="35">
        <f t="shared" si="47"/>
        <v>0</v>
      </c>
      <c r="AL20" s="35">
        <f t="shared" si="47"/>
        <v>0</v>
      </c>
      <c r="AM20" s="35">
        <f t="shared" si="47"/>
        <v>0</v>
      </c>
    </row>
    <row r="21" spans="1:39">
      <c r="A21" s="1" t="s">
        <v>206</v>
      </c>
      <c r="B21" s="78"/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35"/>
      <c r="O21" s="35"/>
      <c r="P21" s="35">
        <f>IF(P12&gt;0,0,P12)</f>
        <v>0</v>
      </c>
      <c r="Q21" s="35">
        <f t="shared" ref="Q21:U21" si="48">IF(Q12&gt;0,0,Q12)</f>
        <v>0</v>
      </c>
      <c r="R21" s="35">
        <f t="shared" si="48"/>
        <v>0</v>
      </c>
      <c r="S21" s="35">
        <f t="shared" si="48"/>
        <v>0</v>
      </c>
      <c r="T21" s="35">
        <f t="shared" si="48"/>
        <v>0</v>
      </c>
      <c r="U21" s="35">
        <f t="shared" si="48"/>
        <v>0</v>
      </c>
      <c r="V21" s="35">
        <f t="shared" ref="V21:AM21" si="49">IF(V12&gt;0,0,V12)</f>
        <v>0</v>
      </c>
      <c r="W21" s="35">
        <f t="shared" si="49"/>
        <v>0</v>
      </c>
      <c r="X21" s="35">
        <f t="shared" si="49"/>
        <v>0</v>
      </c>
      <c r="Y21" s="35">
        <f t="shared" si="49"/>
        <v>0</v>
      </c>
      <c r="Z21" s="35">
        <f t="shared" si="49"/>
        <v>0</v>
      </c>
      <c r="AA21" s="35">
        <f t="shared" si="49"/>
        <v>0</v>
      </c>
      <c r="AB21" s="35">
        <f t="shared" si="49"/>
        <v>0</v>
      </c>
      <c r="AC21" s="35">
        <f t="shared" si="49"/>
        <v>0</v>
      </c>
      <c r="AD21" s="35">
        <f t="shared" si="49"/>
        <v>0</v>
      </c>
      <c r="AE21" s="35">
        <f t="shared" si="49"/>
        <v>0</v>
      </c>
      <c r="AF21" s="35">
        <f t="shared" si="49"/>
        <v>0</v>
      </c>
      <c r="AG21" s="35">
        <f t="shared" si="49"/>
        <v>0</v>
      </c>
      <c r="AH21" s="35">
        <f t="shared" si="49"/>
        <v>0</v>
      </c>
      <c r="AI21" s="35">
        <f t="shared" si="49"/>
        <v>0</v>
      </c>
      <c r="AJ21" s="35">
        <f t="shared" si="49"/>
        <v>0</v>
      </c>
      <c r="AK21" s="35">
        <f t="shared" si="49"/>
        <v>0</v>
      </c>
      <c r="AL21" s="35">
        <f t="shared" si="49"/>
        <v>0</v>
      </c>
      <c r="AM21" s="35">
        <f t="shared" si="49"/>
        <v>0</v>
      </c>
    </row>
    <row r="22" spans="1:39">
      <c r="A22" s="1" t="s">
        <v>98</v>
      </c>
      <c r="B22" s="78"/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35"/>
      <c r="O22" s="35"/>
      <c r="P22" s="35">
        <f>P19+P20+P21</f>
        <v>0</v>
      </c>
      <c r="Q22" s="35">
        <f t="shared" ref="Q22:U22" si="50">Q19+Q20+Q21</f>
        <v>0</v>
      </c>
      <c r="R22" s="35">
        <f t="shared" si="50"/>
        <v>0</v>
      </c>
      <c r="S22" s="35">
        <f t="shared" si="50"/>
        <v>0</v>
      </c>
      <c r="T22" s="35">
        <f t="shared" si="50"/>
        <v>0</v>
      </c>
      <c r="U22" s="35">
        <f t="shared" si="50"/>
        <v>0</v>
      </c>
      <c r="V22" s="35">
        <f t="shared" ref="V22:AM22" si="51">V19+V20+V21</f>
        <v>0</v>
      </c>
      <c r="W22" s="35">
        <f t="shared" si="51"/>
        <v>0</v>
      </c>
      <c r="X22" s="35">
        <f t="shared" si="51"/>
        <v>0</v>
      </c>
      <c r="Y22" s="35">
        <f t="shared" si="51"/>
        <v>0</v>
      </c>
      <c r="Z22" s="35">
        <f t="shared" si="51"/>
        <v>0</v>
      </c>
      <c r="AA22" s="35">
        <f t="shared" si="51"/>
        <v>0</v>
      </c>
      <c r="AB22" s="35">
        <f t="shared" si="51"/>
        <v>0</v>
      </c>
      <c r="AC22" s="35">
        <f t="shared" si="51"/>
        <v>0</v>
      </c>
      <c r="AD22" s="35">
        <f t="shared" si="51"/>
        <v>0</v>
      </c>
      <c r="AE22" s="35">
        <f t="shared" si="51"/>
        <v>0</v>
      </c>
      <c r="AF22" s="35">
        <f t="shared" si="51"/>
        <v>0</v>
      </c>
      <c r="AG22" s="35">
        <f t="shared" si="51"/>
        <v>0</v>
      </c>
      <c r="AH22" s="35">
        <f t="shared" si="51"/>
        <v>0</v>
      </c>
      <c r="AI22" s="35">
        <f t="shared" si="51"/>
        <v>0</v>
      </c>
      <c r="AJ22" s="35">
        <f t="shared" si="51"/>
        <v>0</v>
      </c>
      <c r="AK22" s="35">
        <f t="shared" si="51"/>
        <v>0</v>
      </c>
      <c r="AL22" s="35">
        <f t="shared" si="51"/>
        <v>0</v>
      </c>
      <c r="AM22" s="35">
        <f t="shared" si="51"/>
        <v>0</v>
      </c>
    </row>
    <row r="23" spans="1:39">
      <c r="A23" s="1"/>
      <c r="B23" s="78"/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>
      <c r="A24" s="1" t="s">
        <v>99</v>
      </c>
      <c r="B24" s="78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35"/>
      <c r="O24" s="35"/>
      <c r="P24" s="35">
        <f t="shared" ref="P24:U24" si="52">IF(P12&gt;0,P12,P12+P16+-P14)</f>
        <v>33179.918655960821</v>
      </c>
      <c r="Q24" s="35">
        <f t="shared" si="52"/>
        <v>28029.476030675643</v>
      </c>
      <c r="R24" s="35">
        <f t="shared" si="52"/>
        <v>22046.478735622954</v>
      </c>
      <c r="S24" s="35">
        <f t="shared" si="52"/>
        <v>25017.803706614071</v>
      </c>
      <c r="T24" s="35">
        <f t="shared" si="52"/>
        <v>28178.315867277597</v>
      </c>
      <c r="U24" s="35">
        <f t="shared" si="52"/>
        <v>31149.375843656737</v>
      </c>
      <c r="V24" s="35">
        <f t="shared" ref="V24:AM24" si="53">IF(V12&gt;0,V12,V12+V16+-V14)</f>
        <v>33719.915588228308</v>
      </c>
      <c r="W24" s="35">
        <f t="shared" si="53"/>
        <v>35922.257246245761</v>
      </c>
      <c r="X24" s="35">
        <f t="shared" si="53"/>
        <v>38044.136813656056</v>
      </c>
      <c r="Y24" s="35">
        <f t="shared" si="53"/>
        <v>40141.807471919361</v>
      </c>
      <c r="Z24" s="35">
        <f t="shared" si="53"/>
        <v>42202.662467870956</v>
      </c>
      <c r="AA24" s="35">
        <f t="shared" si="53"/>
        <v>44352.953902788693</v>
      </c>
      <c r="AB24" s="35">
        <f t="shared" si="53"/>
        <v>46575.266705466587</v>
      </c>
      <c r="AC24" s="35">
        <f t="shared" si="53"/>
        <v>48908.47209321033</v>
      </c>
      <c r="AD24" s="35">
        <f t="shared" si="53"/>
        <v>51213.182392462753</v>
      </c>
      <c r="AE24" s="35">
        <f t="shared" si="53"/>
        <v>53427.040879393331</v>
      </c>
      <c r="AF24" s="35">
        <f t="shared" si="53"/>
        <v>55677.6114823362</v>
      </c>
      <c r="AG24" s="35">
        <f t="shared" si="53"/>
        <v>58254.021999903125</v>
      </c>
      <c r="AH24" s="35">
        <f t="shared" si="53"/>
        <v>60668.120315731023</v>
      </c>
      <c r="AI24" s="35">
        <f t="shared" si="53"/>
        <v>63176.59711221679</v>
      </c>
      <c r="AJ24" s="35">
        <f t="shared" si="53"/>
        <v>65879.01810163958</v>
      </c>
      <c r="AK24" s="35">
        <f t="shared" si="53"/>
        <v>68664.086352072351</v>
      </c>
      <c r="AL24" s="35">
        <f t="shared" si="53"/>
        <v>71501.143250244146</v>
      </c>
      <c r="AM24" s="35">
        <f t="shared" si="53"/>
        <v>74571.970665655055</v>
      </c>
    </row>
    <row r="25" spans="1:39">
      <c r="A25" s="1" t="s">
        <v>32</v>
      </c>
      <c r="B25" s="78"/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35"/>
      <c r="O25" s="35"/>
      <c r="P25" s="35">
        <f>P24*Inputs!P89</f>
        <v>6304.184544632556</v>
      </c>
      <c r="Q25" s="35">
        <f>Q24*Inputs!Q89</f>
        <v>5325.6004458283724</v>
      </c>
      <c r="R25" s="35">
        <f>R24*Inputs!R89</f>
        <v>4188.830959768361</v>
      </c>
      <c r="S25" s="35">
        <f>S24*Inputs!S89</f>
        <v>4753.3827042566736</v>
      </c>
      <c r="T25" s="35">
        <f>T24*Inputs!T89</f>
        <v>5353.8800147827433</v>
      </c>
      <c r="U25" s="35">
        <f>U24*Inputs!U89</f>
        <v>5918.3814102947799</v>
      </c>
      <c r="V25" s="35">
        <f>V24*Inputs!V89</f>
        <v>6406.783961763379</v>
      </c>
      <c r="W25" s="35">
        <f>W24*Inputs!W89</f>
        <v>6825.2288767866949</v>
      </c>
      <c r="X25" s="35">
        <f>X24*Inputs!X89</f>
        <v>7228.3859945946506</v>
      </c>
      <c r="Y25" s="35">
        <f>Y24*Inputs!Y89</f>
        <v>7626.9434196646789</v>
      </c>
      <c r="Z25" s="35">
        <f>Z24*Inputs!Z89</f>
        <v>8018.5058688954814</v>
      </c>
      <c r="AA25" s="35">
        <f>AA24*Inputs!AA89</f>
        <v>8427.061241529851</v>
      </c>
      <c r="AB25" s="35">
        <f>AB24*Inputs!AB89</f>
        <v>8849.3006740386518</v>
      </c>
      <c r="AC25" s="35">
        <f>AC24*Inputs!AC89</f>
        <v>9292.6096977099623</v>
      </c>
      <c r="AD25" s="35">
        <f>AD24*Inputs!AD89</f>
        <v>9730.5046545679234</v>
      </c>
      <c r="AE25" s="35">
        <f>AE24*Inputs!AE89</f>
        <v>10151.137767084732</v>
      </c>
      <c r="AF25" s="35">
        <f>AF24*Inputs!AF89</f>
        <v>10578.746181643879</v>
      </c>
      <c r="AG25" s="35">
        <f>AG24*Inputs!AG89</f>
        <v>11068.264179981594</v>
      </c>
      <c r="AH25" s="35">
        <f>AH24*Inputs!AH89</f>
        <v>11526.942859988894</v>
      </c>
      <c r="AI25" s="35">
        <f>AI24*Inputs!AI89</f>
        <v>12003.55345132119</v>
      </c>
      <c r="AJ25" s="35">
        <f>AJ24*Inputs!AJ89</f>
        <v>12517.01343931152</v>
      </c>
      <c r="AK25" s="35">
        <f>AK24*Inputs!AK89</f>
        <v>13046.176406893746</v>
      </c>
      <c r="AL25" s="35">
        <f>AL24*Inputs!AL89</f>
        <v>13585.217217546387</v>
      </c>
      <c r="AM25" s="35">
        <f>AM24*Inputs!AM89</f>
        <v>14168.674426474461</v>
      </c>
    </row>
    <row r="26" spans="1:39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>
      <c r="A27" s="1" t="s">
        <v>75</v>
      </c>
      <c r="B27" s="78"/>
      <c r="C27" s="78"/>
      <c r="D27" s="79"/>
      <c r="E27" s="79"/>
      <c r="F27" s="83"/>
      <c r="G27" s="83"/>
      <c r="H27" s="83"/>
      <c r="I27" s="83"/>
      <c r="J27" s="83"/>
      <c r="K27" s="83"/>
      <c r="L27" s="83"/>
      <c r="M27" s="73"/>
      <c r="N27" s="35">
        <f>+'DAV Pi'!N45*N6</f>
        <v>19451.071269880311</v>
      </c>
      <c r="O27" s="35">
        <f>+'DAV Pi'!O45*O6</f>
        <v>18362.020661916064</v>
      </c>
      <c r="P27" s="35">
        <f>+'DAV Pi'!P45*P6</f>
        <v>22379.932569908735</v>
      </c>
      <c r="Q27" s="35">
        <f>+'DAV Pi'!Q45*Q6</f>
        <v>21643.726917750308</v>
      </c>
      <c r="R27" s="35">
        <f>+'DAV Pi'!R45*R6</f>
        <v>22089.26037420948</v>
      </c>
      <c r="S27" s="35">
        <f>+'DAV Pi'!S45*S6</f>
        <v>21331.343739452561</v>
      </c>
      <c r="T27" s="35">
        <f>+'DAV Pi'!T45*T6</f>
        <v>17236.766513074694</v>
      </c>
      <c r="U27" s="35">
        <f>+'DAV Pi'!U45*U6</f>
        <v>17370.372715985937</v>
      </c>
      <c r="V27" s="35">
        <f>+'DAV Pi'!V45*V6</f>
        <v>15003.380501738809</v>
      </c>
      <c r="W27" s="35">
        <f>+'DAV Pi'!W45*W6</f>
        <v>15080.965676639484</v>
      </c>
      <c r="X27" s="35">
        <f>+'DAV Pi'!X45*X6</f>
        <v>16032.048243193649</v>
      </c>
      <c r="Y27" s="35">
        <f>+'DAV Pi'!Y45*Y6</f>
        <v>16439.929964668809</v>
      </c>
      <c r="Z27" s="35">
        <f>+'DAV Pi'!Z45*Z6</f>
        <v>17133.632021203186</v>
      </c>
      <c r="AA27" s="35">
        <f>+'DAV Pi'!AA45*AA6</f>
        <v>16776.131674263976</v>
      </c>
      <c r="AB27" s="35">
        <f>+'DAV Pi'!AB45*AB6</f>
        <v>16757.072925789471</v>
      </c>
      <c r="AC27" s="35">
        <f>+'DAV Pi'!AC45*AC6</f>
        <v>16380.352801975987</v>
      </c>
      <c r="AD27" s="35">
        <f>+'DAV Pi'!AD45*AD6</f>
        <v>17285.780439075086</v>
      </c>
      <c r="AE27" s="35">
        <f>+'DAV Pi'!AE45*AE6</f>
        <v>18797.504339777817</v>
      </c>
      <c r="AF27" s="35">
        <f>+'DAV Pi'!AF45*AF6</f>
        <v>19203.379622663888</v>
      </c>
      <c r="AG27" s="35">
        <f>+'DAV Pi'!AG45*AG6</f>
        <v>17217.350546014324</v>
      </c>
      <c r="AH27" s="35">
        <f>+'DAV Pi'!AH45*AH6</f>
        <v>19929.360801226892</v>
      </c>
      <c r="AI27" s="35">
        <f>+'DAV Pi'!AI45*AI6</f>
        <v>19941.17081757816</v>
      </c>
      <c r="AJ27" s="35">
        <f>+'DAV Pi'!AJ45*AJ6</f>
        <v>19387.764881903149</v>
      </c>
      <c r="AK27" s="35">
        <f>+'DAV Pi'!AK45*AK6</f>
        <v>20004.943587384463</v>
      </c>
      <c r="AL27" s="35">
        <f>+'DAV Pi'!AL45*AL6</f>
        <v>20846.909512488015</v>
      </c>
      <c r="AM27" s="35">
        <f>+'DAV Pi'!AM45*AM6</f>
        <v>20110.188559618313</v>
      </c>
    </row>
    <row r="28" spans="1:39">
      <c r="A28" s="1"/>
      <c r="B28" s="78"/>
      <c r="C28" s="78"/>
      <c r="D28" s="79"/>
      <c r="E28" s="79"/>
      <c r="F28" s="83"/>
      <c r="G28" s="83"/>
      <c r="H28" s="83"/>
      <c r="I28" s="83"/>
      <c r="J28" s="83"/>
      <c r="K28" s="83"/>
      <c r="L28" s="83"/>
      <c r="M28" s="73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>
      <c r="A29" s="62" t="s">
        <v>76</v>
      </c>
      <c r="B29" s="84"/>
      <c r="C29" s="84"/>
      <c r="D29" s="79"/>
      <c r="E29" s="79"/>
      <c r="F29" s="83"/>
      <c r="G29" s="83"/>
      <c r="H29" s="83"/>
      <c r="I29" s="83"/>
      <c r="J29" s="83"/>
      <c r="K29" s="83"/>
      <c r="L29" s="83"/>
      <c r="M29" s="73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>
      <c r="A30" s="1" t="s">
        <v>77</v>
      </c>
      <c r="B30" s="78"/>
      <c r="C30" s="78"/>
      <c r="D30" s="79"/>
      <c r="E30" s="79"/>
      <c r="F30" s="83"/>
      <c r="G30" s="83"/>
      <c r="H30" s="83"/>
      <c r="I30" s="83"/>
      <c r="J30" s="83"/>
      <c r="K30" s="83"/>
      <c r="L30" s="83"/>
      <c r="M30" s="73"/>
      <c r="N30" s="12">
        <f>Inputs!N73</f>
        <v>0.28838536203211157</v>
      </c>
      <c r="O30" s="12">
        <f>N30</f>
        <v>0.28838536203211157</v>
      </c>
      <c r="P30" s="12">
        <f t="shared" ref="P30:U30" si="54">O30</f>
        <v>0.28838536203211157</v>
      </c>
      <c r="Q30" s="12">
        <f t="shared" si="54"/>
        <v>0.28838536203211157</v>
      </c>
      <c r="R30" s="12">
        <f t="shared" si="54"/>
        <v>0.28838536203211157</v>
      </c>
      <c r="S30" s="12">
        <f t="shared" si="54"/>
        <v>0.28838536203211157</v>
      </c>
      <c r="T30" s="12">
        <f t="shared" si="54"/>
        <v>0.28838536203211157</v>
      </c>
      <c r="U30" s="12">
        <f t="shared" si="54"/>
        <v>0.28838536203211157</v>
      </c>
      <c r="V30" s="12">
        <f t="shared" ref="V30:V31" si="55">U30</f>
        <v>0.28838536203211157</v>
      </c>
      <c r="W30" s="12">
        <f t="shared" ref="W30:W31" si="56">V30</f>
        <v>0.28838536203211157</v>
      </c>
      <c r="X30" s="12">
        <f t="shared" ref="X30:X31" si="57">W30</f>
        <v>0.28838536203211157</v>
      </c>
      <c r="Y30" s="12">
        <f t="shared" ref="Y30:Y31" si="58">X30</f>
        <v>0.28838536203211157</v>
      </c>
      <c r="Z30" s="12">
        <f t="shared" ref="Z30:Z31" si="59">Y30</f>
        <v>0.28838536203211157</v>
      </c>
      <c r="AA30" s="12">
        <f t="shared" ref="AA30:AA31" si="60">Z30</f>
        <v>0.28838536203211157</v>
      </c>
      <c r="AB30" s="12">
        <f t="shared" ref="AB30:AB31" si="61">AA30</f>
        <v>0.28838536203211157</v>
      </c>
      <c r="AC30" s="12">
        <f t="shared" ref="AC30:AC31" si="62">AB30</f>
        <v>0.28838536203211157</v>
      </c>
      <c r="AD30" s="12">
        <f t="shared" ref="AD30:AD31" si="63">AC30</f>
        <v>0.28838536203211157</v>
      </c>
      <c r="AE30" s="12">
        <f t="shared" ref="AE30:AE31" si="64">AD30</f>
        <v>0.28838536203211157</v>
      </c>
      <c r="AF30" s="12">
        <f t="shared" ref="AF30:AF31" si="65">AE30</f>
        <v>0.28838536203211157</v>
      </c>
      <c r="AG30" s="12">
        <f t="shared" ref="AG30:AG31" si="66">AF30</f>
        <v>0.28838536203211157</v>
      </c>
      <c r="AH30" s="12">
        <f t="shared" ref="AH30:AH31" si="67">AG30</f>
        <v>0.28838536203211157</v>
      </c>
      <c r="AI30" s="12">
        <f t="shared" ref="AI30:AI31" si="68">AH30</f>
        <v>0.28838536203211157</v>
      </c>
      <c r="AJ30" s="12">
        <f t="shared" ref="AJ30:AJ31" si="69">AI30</f>
        <v>0.28838536203211157</v>
      </c>
      <c r="AK30" s="12">
        <f t="shared" ref="AK30:AK31" si="70">AJ30</f>
        <v>0.28838536203211157</v>
      </c>
      <c r="AL30" s="12">
        <f t="shared" ref="AL30:AL31" si="71">AK30</f>
        <v>0.28838536203211157</v>
      </c>
      <c r="AM30" s="12">
        <f t="shared" ref="AM30:AM31" si="72">AL30</f>
        <v>0.28838536203211157</v>
      </c>
    </row>
    <row r="31" spans="1:39">
      <c r="A31" s="1" t="s">
        <v>78</v>
      </c>
      <c r="B31" s="78"/>
      <c r="C31" s="78"/>
      <c r="D31" s="79"/>
      <c r="E31" s="79"/>
      <c r="F31" s="83"/>
      <c r="G31" s="83"/>
      <c r="H31" s="83"/>
      <c r="I31" s="83"/>
      <c r="J31" s="83"/>
      <c r="K31" s="83"/>
      <c r="L31" s="83"/>
      <c r="M31" s="73"/>
      <c r="N31" s="12">
        <f>Inputs!N74</f>
        <v>0.71161463796788849</v>
      </c>
      <c r="O31" s="12">
        <f>N31</f>
        <v>0.71161463796788849</v>
      </c>
      <c r="P31" s="12">
        <f t="shared" ref="P31:U31" si="73">O31</f>
        <v>0.71161463796788849</v>
      </c>
      <c r="Q31" s="12">
        <f t="shared" si="73"/>
        <v>0.71161463796788849</v>
      </c>
      <c r="R31" s="12">
        <f t="shared" si="73"/>
        <v>0.71161463796788849</v>
      </c>
      <c r="S31" s="12">
        <f t="shared" si="73"/>
        <v>0.71161463796788849</v>
      </c>
      <c r="T31" s="12">
        <f t="shared" si="73"/>
        <v>0.71161463796788849</v>
      </c>
      <c r="U31" s="12">
        <f t="shared" si="73"/>
        <v>0.71161463796788849</v>
      </c>
      <c r="V31" s="12">
        <f t="shared" si="55"/>
        <v>0.71161463796788849</v>
      </c>
      <c r="W31" s="12">
        <f t="shared" si="56"/>
        <v>0.71161463796788849</v>
      </c>
      <c r="X31" s="12">
        <f t="shared" si="57"/>
        <v>0.71161463796788849</v>
      </c>
      <c r="Y31" s="12">
        <f t="shared" si="58"/>
        <v>0.71161463796788849</v>
      </c>
      <c r="Z31" s="12">
        <f t="shared" si="59"/>
        <v>0.71161463796788849</v>
      </c>
      <c r="AA31" s="12">
        <f t="shared" si="60"/>
        <v>0.71161463796788849</v>
      </c>
      <c r="AB31" s="12">
        <f t="shared" si="61"/>
        <v>0.71161463796788849</v>
      </c>
      <c r="AC31" s="12">
        <f t="shared" si="62"/>
        <v>0.71161463796788849</v>
      </c>
      <c r="AD31" s="12">
        <f t="shared" si="63"/>
        <v>0.71161463796788849</v>
      </c>
      <c r="AE31" s="12">
        <f t="shared" si="64"/>
        <v>0.71161463796788849</v>
      </c>
      <c r="AF31" s="12">
        <f t="shared" si="65"/>
        <v>0.71161463796788849</v>
      </c>
      <c r="AG31" s="12">
        <f t="shared" si="66"/>
        <v>0.71161463796788849</v>
      </c>
      <c r="AH31" s="12">
        <f t="shared" si="67"/>
        <v>0.71161463796788849</v>
      </c>
      <c r="AI31" s="12">
        <f t="shared" si="68"/>
        <v>0.71161463796788849</v>
      </c>
      <c r="AJ31" s="12">
        <f t="shared" si="69"/>
        <v>0.71161463796788849</v>
      </c>
      <c r="AK31" s="12">
        <f t="shared" si="70"/>
        <v>0.71161463796788849</v>
      </c>
      <c r="AL31" s="12">
        <f t="shared" si="71"/>
        <v>0.71161463796788849</v>
      </c>
      <c r="AM31" s="12">
        <f t="shared" si="72"/>
        <v>0.71161463796788849</v>
      </c>
    </row>
    <row r="32" spans="1:39">
      <c r="A32" s="1" t="s">
        <v>79</v>
      </c>
      <c r="B32" s="78"/>
      <c r="C32" s="78"/>
      <c r="D32" s="79"/>
      <c r="E32" s="79"/>
      <c r="F32" s="83"/>
      <c r="G32" s="83"/>
      <c r="H32" s="83"/>
      <c r="I32" s="83"/>
      <c r="J32" s="83"/>
      <c r="K32" s="83"/>
      <c r="L32" s="83"/>
      <c r="M32" s="73"/>
      <c r="N32" s="12"/>
      <c r="O32" s="12"/>
      <c r="P32" s="12"/>
      <c r="Q32" s="12">
        <f t="shared" ref="Q32:U35" si="74">+P32</f>
        <v>0</v>
      </c>
      <c r="R32" s="12">
        <f t="shared" si="74"/>
        <v>0</v>
      </c>
      <c r="S32" s="12">
        <f t="shared" si="74"/>
        <v>0</v>
      </c>
      <c r="T32" s="12">
        <f t="shared" si="74"/>
        <v>0</v>
      </c>
      <c r="U32" s="12">
        <f t="shared" si="74"/>
        <v>0</v>
      </c>
      <c r="V32" s="12">
        <f t="shared" ref="V32:V35" si="75">+U32</f>
        <v>0</v>
      </c>
      <c r="W32" s="12">
        <f t="shared" ref="W32:W35" si="76">+V32</f>
        <v>0</v>
      </c>
      <c r="X32" s="12">
        <f t="shared" ref="X32:X35" si="77">+W32</f>
        <v>0</v>
      </c>
      <c r="Y32" s="12">
        <f t="shared" ref="Y32:Y35" si="78">+X32</f>
        <v>0</v>
      </c>
      <c r="Z32" s="12">
        <f t="shared" ref="Z32:Z35" si="79">+Y32</f>
        <v>0</v>
      </c>
      <c r="AA32" s="12">
        <f t="shared" ref="AA32:AA35" si="80">+Z32</f>
        <v>0</v>
      </c>
      <c r="AB32" s="12">
        <f t="shared" ref="AB32:AB35" si="81">+AA32</f>
        <v>0</v>
      </c>
      <c r="AC32" s="12">
        <f t="shared" ref="AC32:AC35" si="82">+AB32</f>
        <v>0</v>
      </c>
      <c r="AD32" s="12">
        <f t="shared" ref="AD32:AD35" si="83">+AC32</f>
        <v>0</v>
      </c>
      <c r="AE32" s="12">
        <f t="shared" ref="AE32:AE35" si="84">+AD32</f>
        <v>0</v>
      </c>
      <c r="AF32" s="12">
        <f t="shared" ref="AF32:AF35" si="85">+AE32</f>
        <v>0</v>
      </c>
      <c r="AG32" s="12">
        <f t="shared" ref="AG32:AG35" si="86">+AF32</f>
        <v>0</v>
      </c>
      <c r="AH32" s="12">
        <f t="shared" ref="AH32:AH35" si="87">+AG32</f>
        <v>0</v>
      </c>
      <c r="AI32" s="12">
        <f t="shared" ref="AI32:AI35" si="88">+AH32</f>
        <v>0</v>
      </c>
      <c r="AJ32" s="12">
        <f t="shared" ref="AJ32:AJ35" si="89">+AI32</f>
        <v>0</v>
      </c>
      <c r="AK32" s="12">
        <f t="shared" ref="AK32:AK35" si="90">+AJ32</f>
        <v>0</v>
      </c>
      <c r="AL32" s="12">
        <f t="shared" ref="AL32:AL35" si="91">+AK32</f>
        <v>0</v>
      </c>
      <c r="AM32" s="12">
        <f t="shared" ref="AM32:AM35" si="92">+AL32</f>
        <v>0</v>
      </c>
    </row>
    <row r="33" spans="1:39">
      <c r="A33" s="1" t="s">
        <v>80</v>
      </c>
      <c r="B33" s="78"/>
      <c r="C33" s="78"/>
      <c r="D33" s="79"/>
      <c r="E33" s="79"/>
      <c r="F33" s="83"/>
      <c r="G33" s="83"/>
      <c r="H33" s="83"/>
      <c r="I33" s="83"/>
      <c r="J33" s="83"/>
      <c r="K33" s="83"/>
      <c r="L33" s="83"/>
      <c r="M33" s="73"/>
      <c r="N33" s="12"/>
      <c r="O33" s="12"/>
      <c r="P33" s="12"/>
      <c r="Q33" s="12">
        <f t="shared" si="74"/>
        <v>0</v>
      </c>
      <c r="R33" s="12">
        <f t="shared" si="74"/>
        <v>0</v>
      </c>
      <c r="S33" s="12">
        <f t="shared" si="74"/>
        <v>0</v>
      </c>
      <c r="T33" s="12">
        <f t="shared" si="74"/>
        <v>0</v>
      </c>
      <c r="U33" s="12">
        <f t="shared" si="74"/>
        <v>0</v>
      </c>
      <c r="V33" s="12">
        <f t="shared" si="75"/>
        <v>0</v>
      </c>
      <c r="W33" s="12">
        <f t="shared" si="76"/>
        <v>0</v>
      </c>
      <c r="X33" s="12">
        <f t="shared" si="77"/>
        <v>0</v>
      </c>
      <c r="Y33" s="12">
        <f t="shared" si="78"/>
        <v>0</v>
      </c>
      <c r="Z33" s="12">
        <f t="shared" si="79"/>
        <v>0</v>
      </c>
      <c r="AA33" s="12">
        <f t="shared" si="80"/>
        <v>0</v>
      </c>
      <c r="AB33" s="12">
        <f t="shared" si="81"/>
        <v>0</v>
      </c>
      <c r="AC33" s="12">
        <f t="shared" si="82"/>
        <v>0</v>
      </c>
      <c r="AD33" s="12">
        <f t="shared" si="83"/>
        <v>0</v>
      </c>
      <c r="AE33" s="12">
        <f t="shared" si="84"/>
        <v>0</v>
      </c>
      <c r="AF33" s="12">
        <f t="shared" si="85"/>
        <v>0</v>
      </c>
      <c r="AG33" s="12">
        <f t="shared" si="86"/>
        <v>0</v>
      </c>
      <c r="AH33" s="12">
        <f t="shared" si="87"/>
        <v>0</v>
      </c>
      <c r="AI33" s="12">
        <f t="shared" si="88"/>
        <v>0</v>
      </c>
      <c r="AJ33" s="12">
        <f t="shared" si="89"/>
        <v>0</v>
      </c>
      <c r="AK33" s="12">
        <f t="shared" si="90"/>
        <v>0</v>
      </c>
      <c r="AL33" s="12">
        <f t="shared" si="91"/>
        <v>0</v>
      </c>
      <c r="AM33" s="12">
        <f t="shared" si="92"/>
        <v>0</v>
      </c>
    </row>
    <row r="34" spans="1:39">
      <c r="A34" s="1" t="s">
        <v>81</v>
      </c>
      <c r="B34" s="78"/>
      <c r="C34" s="78"/>
      <c r="D34" s="79"/>
      <c r="E34" s="79"/>
      <c r="F34" s="83"/>
      <c r="G34" s="83"/>
      <c r="H34" s="83"/>
      <c r="I34" s="83"/>
      <c r="J34" s="83"/>
      <c r="K34" s="83"/>
      <c r="L34" s="83"/>
      <c r="M34" s="73"/>
      <c r="N34" s="12"/>
      <c r="O34" s="12"/>
      <c r="P34" s="12"/>
      <c r="Q34" s="12">
        <f t="shared" si="74"/>
        <v>0</v>
      </c>
      <c r="R34" s="12">
        <f t="shared" si="74"/>
        <v>0</v>
      </c>
      <c r="S34" s="12">
        <f t="shared" si="74"/>
        <v>0</v>
      </c>
      <c r="T34" s="12">
        <f t="shared" si="74"/>
        <v>0</v>
      </c>
      <c r="U34" s="12">
        <f t="shared" si="74"/>
        <v>0</v>
      </c>
      <c r="V34" s="12">
        <f t="shared" si="75"/>
        <v>0</v>
      </c>
      <c r="W34" s="12">
        <f t="shared" si="76"/>
        <v>0</v>
      </c>
      <c r="X34" s="12">
        <f t="shared" si="77"/>
        <v>0</v>
      </c>
      <c r="Y34" s="12">
        <f t="shared" si="78"/>
        <v>0</v>
      </c>
      <c r="Z34" s="12">
        <f t="shared" si="79"/>
        <v>0</v>
      </c>
      <c r="AA34" s="12">
        <f t="shared" si="80"/>
        <v>0</v>
      </c>
      <c r="AB34" s="12">
        <f t="shared" si="81"/>
        <v>0</v>
      </c>
      <c r="AC34" s="12">
        <f t="shared" si="82"/>
        <v>0</v>
      </c>
      <c r="AD34" s="12">
        <f t="shared" si="83"/>
        <v>0</v>
      </c>
      <c r="AE34" s="12">
        <f t="shared" si="84"/>
        <v>0</v>
      </c>
      <c r="AF34" s="12">
        <f t="shared" si="85"/>
        <v>0</v>
      </c>
      <c r="AG34" s="12">
        <f t="shared" si="86"/>
        <v>0</v>
      </c>
      <c r="AH34" s="12">
        <f t="shared" si="87"/>
        <v>0</v>
      </c>
      <c r="AI34" s="12">
        <f t="shared" si="88"/>
        <v>0</v>
      </c>
      <c r="AJ34" s="12">
        <f t="shared" si="89"/>
        <v>0</v>
      </c>
      <c r="AK34" s="12">
        <f t="shared" si="90"/>
        <v>0</v>
      </c>
      <c r="AL34" s="12">
        <f t="shared" si="91"/>
        <v>0</v>
      </c>
      <c r="AM34" s="12">
        <f t="shared" si="92"/>
        <v>0</v>
      </c>
    </row>
    <row r="35" spans="1:39">
      <c r="A35" s="1" t="s">
        <v>82</v>
      </c>
      <c r="B35" s="78"/>
      <c r="C35" s="78"/>
      <c r="D35" s="79"/>
      <c r="E35" s="79"/>
      <c r="F35" s="83"/>
      <c r="G35" s="83"/>
      <c r="H35" s="83"/>
      <c r="I35" s="83"/>
      <c r="J35" s="83"/>
      <c r="K35" s="83"/>
      <c r="L35" s="83"/>
      <c r="M35" s="73"/>
      <c r="N35" s="12"/>
      <c r="O35" s="12"/>
      <c r="P35" s="12"/>
      <c r="Q35" s="12">
        <f t="shared" si="74"/>
        <v>0</v>
      </c>
      <c r="R35" s="12">
        <f t="shared" si="74"/>
        <v>0</v>
      </c>
      <c r="S35" s="12">
        <f t="shared" si="74"/>
        <v>0</v>
      </c>
      <c r="T35" s="12">
        <f t="shared" si="74"/>
        <v>0</v>
      </c>
      <c r="U35" s="12">
        <f t="shared" si="74"/>
        <v>0</v>
      </c>
      <c r="V35" s="12">
        <f t="shared" si="75"/>
        <v>0</v>
      </c>
      <c r="W35" s="12">
        <f t="shared" si="76"/>
        <v>0</v>
      </c>
      <c r="X35" s="12">
        <f t="shared" si="77"/>
        <v>0</v>
      </c>
      <c r="Y35" s="12">
        <f t="shared" si="78"/>
        <v>0</v>
      </c>
      <c r="Z35" s="12">
        <f t="shared" si="79"/>
        <v>0</v>
      </c>
      <c r="AA35" s="12">
        <f t="shared" si="80"/>
        <v>0</v>
      </c>
      <c r="AB35" s="12">
        <f t="shared" si="81"/>
        <v>0</v>
      </c>
      <c r="AC35" s="12">
        <f t="shared" si="82"/>
        <v>0</v>
      </c>
      <c r="AD35" s="12">
        <f t="shared" si="83"/>
        <v>0</v>
      </c>
      <c r="AE35" s="12">
        <f t="shared" si="84"/>
        <v>0</v>
      </c>
      <c r="AF35" s="12">
        <f t="shared" si="85"/>
        <v>0</v>
      </c>
      <c r="AG35" s="12">
        <f t="shared" si="86"/>
        <v>0</v>
      </c>
      <c r="AH35" s="12">
        <f t="shared" si="87"/>
        <v>0</v>
      </c>
      <c r="AI35" s="12">
        <f t="shared" si="88"/>
        <v>0</v>
      </c>
      <c r="AJ35" s="12">
        <f t="shared" si="89"/>
        <v>0</v>
      </c>
      <c r="AK35" s="12">
        <f t="shared" si="90"/>
        <v>0</v>
      </c>
      <c r="AL35" s="12">
        <f t="shared" si="91"/>
        <v>0</v>
      </c>
      <c r="AM35" s="12">
        <f t="shared" si="92"/>
        <v>0</v>
      </c>
    </row>
    <row r="36" spans="1:39" ht="15" customHeight="1">
      <c r="A36" s="1"/>
      <c r="B36" s="78"/>
      <c r="C36" s="78"/>
      <c r="D36" s="79"/>
      <c r="E36" s="79"/>
      <c r="F36" s="83"/>
      <c r="G36" s="83"/>
      <c r="H36" s="83"/>
      <c r="I36" s="83"/>
      <c r="J36" s="83"/>
      <c r="K36" s="83"/>
      <c r="L36" s="83"/>
      <c r="M36" s="73"/>
      <c r="N36" s="121">
        <f t="shared" ref="N36:O36" si="93">SUM(N30:N35)</f>
        <v>1</v>
      </c>
      <c r="O36" s="121">
        <f t="shared" si="93"/>
        <v>1</v>
      </c>
      <c r="P36" s="121">
        <f t="shared" ref="P36:U36" si="94">SUM(P30:P35)</f>
        <v>1</v>
      </c>
      <c r="Q36" s="121">
        <f t="shared" si="94"/>
        <v>1</v>
      </c>
      <c r="R36" s="121">
        <f t="shared" si="94"/>
        <v>1</v>
      </c>
      <c r="S36" s="121">
        <f t="shared" si="94"/>
        <v>1</v>
      </c>
      <c r="T36" s="121">
        <f t="shared" si="94"/>
        <v>1</v>
      </c>
      <c r="U36" s="121">
        <f t="shared" si="94"/>
        <v>1</v>
      </c>
      <c r="V36" s="121">
        <f t="shared" ref="V36:AM36" si="95">SUM(V30:V35)</f>
        <v>1</v>
      </c>
      <c r="W36" s="121">
        <f t="shared" si="95"/>
        <v>1</v>
      </c>
      <c r="X36" s="121">
        <f t="shared" si="95"/>
        <v>1</v>
      </c>
      <c r="Y36" s="121">
        <f t="shared" si="95"/>
        <v>1</v>
      </c>
      <c r="Z36" s="121">
        <f t="shared" si="95"/>
        <v>1</v>
      </c>
      <c r="AA36" s="121">
        <f t="shared" si="95"/>
        <v>1</v>
      </c>
      <c r="AB36" s="121">
        <f t="shared" si="95"/>
        <v>1</v>
      </c>
      <c r="AC36" s="121">
        <f t="shared" si="95"/>
        <v>1</v>
      </c>
      <c r="AD36" s="121">
        <f t="shared" si="95"/>
        <v>1</v>
      </c>
      <c r="AE36" s="121">
        <f t="shared" si="95"/>
        <v>1</v>
      </c>
      <c r="AF36" s="121">
        <f t="shared" si="95"/>
        <v>1</v>
      </c>
      <c r="AG36" s="121">
        <f t="shared" si="95"/>
        <v>1</v>
      </c>
      <c r="AH36" s="121">
        <f t="shared" si="95"/>
        <v>1</v>
      </c>
      <c r="AI36" s="121">
        <f t="shared" si="95"/>
        <v>1</v>
      </c>
      <c r="AJ36" s="121">
        <f t="shared" si="95"/>
        <v>1</v>
      </c>
      <c r="AK36" s="121">
        <f t="shared" si="95"/>
        <v>1</v>
      </c>
      <c r="AL36" s="121">
        <f t="shared" si="95"/>
        <v>1</v>
      </c>
      <c r="AM36" s="121">
        <f t="shared" si="95"/>
        <v>1</v>
      </c>
    </row>
    <row r="37" spans="1:39" ht="15" customHeight="1">
      <c r="A37" s="1" t="s">
        <v>192</v>
      </c>
      <c r="B37" s="78"/>
      <c r="C37" s="78"/>
      <c r="D37" s="79"/>
      <c r="E37" s="79"/>
      <c r="F37" s="83"/>
      <c r="G37" s="83"/>
      <c r="H37" s="83"/>
      <c r="I37" s="83"/>
      <c r="J37" s="83"/>
      <c r="K37" s="83"/>
      <c r="L37" s="83"/>
      <c r="M37" s="73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ht="15" customHeight="1">
      <c r="A38" s="1" t="s">
        <v>193</v>
      </c>
      <c r="B38" s="78"/>
      <c r="C38" s="78"/>
      <c r="D38" s="79"/>
      <c r="E38" s="79"/>
      <c r="F38" s="83"/>
      <c r="G38" s="83"/>
      <c r="H38" s="83"/>
      <c r="I38" s="83"/>
      <c r="J38" s="83"/>
      <c r="K38" s="83"/>
      <c r="L38" s="83"/>
      <c r="M38" s="73"/>
      <c r="N38" s="35">
        <f>N27*N30</f>
        <v>5609.4042300768378</v>
      </c>
      <c r="O38" s="35">
        <f>O27*O30</f>
        <v>5295.3379762277773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>
      <c r="A39" s="1" t="s">
        <v>194</v>
      </c>
      <c r="B39" s="78"/>
      <c r="C39" s="78"/>
      <c r="D39" s="79"/>
      <c r="E39" s="79"/>
      <c r="F39" s="83"/>
      <c r="G39" s="83"/>
      <c r="H39" s="83"/>
      <c r="I39" s="83"/>
      <c r="J39" s="83"/>
      <c r="K39" s="83"/>
      <c r="L39" s="83"/>
      <c r="M39" s="73"/>
      <c r="N39" s="35">
        <f>N38*Inputs!$N$79</f>
        <v>0</v>
      </c>
      <c r="O39" s="35">
        <f>O38*Inputs!$N$79</f>
        <v>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>
      <c r="A40" s="32" t="s">
        <v>195</v>
      </c>
      <c r="B40" s="78"/>
      <c r="C40" s="78"/>
      <c r="D40" s="79"/>
      <c r="E40" s="79"/>
      <c r="F40" s="83"/>
      <c r="G40" s="83"/>
      <c r="H40" s="83"/>
      <c r="I40" s="83"/>
      <c r="J40" s="83"/>
      <c r="K40" s="83"/>
      <c r="L40" s="83"/>
      <c r="M40" s="73"/>
      <c r="N40" s="35">
        <f>N38-N39</f>
        <v>5609.4042300768378</v>
      </c>
      <c r="O40" s="35">
        <f>O38-O39</f>
        <v>5295.3379762277773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>
      <c r="A41" s="1" t="s">
        <v>83</v>
      </c>
      <c r="B41" s="78"/>
      <c r="C41" s="78"/>
      <c r="D41" s="79"/>
      <c r="E41" s="79"/>
      <c r="F41" s="83"/>
      <c r="G41" s="83"/>
      <c r="H41" s="83"/>
      <c r="I41" s="83"/>
      <c r="J41" s="83"/>
      <c r="K41" s="83"/>
      <c r="L41" s="83"/>
      <c r="M41" s="7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</row>
    <row r="42" spans="1:39">
      <c r="A42" s="1" t="s">
        <v>84</v>
      </c>
      <c r="B42" s="78"/>
      <c r="C42" s="78"/>
      <c r="D42" s="79"/>
      <c r="E42" s="79"/>
      <c r="F42" s="83"/>
      <c r="G42" s="83"/>
      <c r="H42" s="83"/>
      <c r="I42" s="83"/>
      <c r="J42" s="83"/>
      <c r="K42" s="83"/>
      <c r="L42" s="83"/>
      <c r="M42" s="73"/>
      <c r="N42" s="35">
        <f>Inputs!N72</f>
        <v>27354.977999999999</v>
      </c>
      <c r="O42" s="35">
        <f>N47</f>
        <v>27030.793428663004</v>
      </c>
      <c r="P42" s="35">
        <f t="shared" ref="P42" si="96">O47</f>
        <v>26507.427752010441</v>
      </c>
      <c r="Q42" s="35">
        <f t="shared" ref="Q42" si="97">P47</f>
        <v>27028.40762091901</v>
      </c>
      <c r="R42" s="35">
        <f t="shared" ref="R42" si="98">Q47</f>
        <v>27281.516147931245</v>
      </c>
      <c r="S42" s="35">
        <f t="shared" ref="S42" si="99">R47</f>
        <v>27594.423108334762</v>
      </c>
      <c r="T42" s="35">
        <f t="shared" ref="T42" si="100">S47</f>
        <v>27671.777724119929</v>
      </c>
      <c r="U42" s="35">
        <f t="shared" ref="U42" si="101">T47</f>
        <v>26766.93927770988</v>
      </c>
      <c r="V42" s="35">
        <f t="shared" ref="V42" si="102">U47</f>
        <v>26056.566411674605</v>
      </c>
      <c r="W42" s="35">
        <f t="shared" ref="W42" si="103">V47</f>
        <v>24914.323818086741</v>
      </c>
      <c r="X42" s="35">
        <f t="shared" ref="X42" si="104">W47</f>
        <v>23996.031922921378</v>
      </c>
      <c r="Y42" s="35">
        <f t="shared" ref="Y42" si="105">X47</f>
        <v>23467.940766913867</v>
      </c>
      <c r="Z42" s="35">
        <f t="shared" ref="Z42" si="106">Y47</f>
        <v>23131.3602556771</v>
      </c>
      <c r="AA42" s="35">
        <f t="shared" ref="AA42" si="107">Z47</f>
        <v>23019.408121810142</v>
      </c>
      <c r="AB42" s="35">
        <f t="shared" ref="AB42" si="108">AA47</f>
        <v>22843.067121116728</v>
      </c>
      <c r="AC42" s="35">
        <f t="shared" ref="AC42" si="109">AB47</f>
        <v>22693.960564003595</v>
      </c>
      <c r="AD42" s="35">
        <f t="shared" ref="AD42" si="110">AC47</f>
        <v>22482.607920352428</v>
      </c>
      <c r="AE42" s="35">
        <f t="shared" ref="AE42" si="111">AD47</f>
        <v>22523.410655631807</v>
      </c>
      <c r="AF42" s="35">
        <f t="shared" ref="AF42" si="112">AE47</f>
        <v>22914.355314966237</v>
      </c>
      <c r="AG42" s="35">
        <f t="shared" ref="AG42" si="113">AF47</f>
        <v>23330.909697744355</v>
      </c>
      <c r="AH42" s="35">
        <f t="shared" ref="AH42" si="114">AG47</f>
        <v>23202.836085916184</v>
      </c>
      <c r="AI42" s="35">
        <f t="shared" ref="AI42" si="115">AH47</f>
        <v>23739.141052830193</v>
      </c>
      <c r="AJ42" s="35">
        <f t="shared" ref="AJ42" si="116">AI47</f>
        <v>24181.703911089353</v>
      </c>
      <c r="AK42" s="35">
        <f t="shared" ref="AK42" si="117">AJ47</f>
        <v>24413.738234551369</v>
      </c>
      <c r="AL42" s="35">
        <f t="shared" ref="AL42" si="118">AK47</f>
        <v>24749.954329413587</v>
      </c>
      <c r="AM42" s="35">
        <f t="shared" ref="AM42" si="119">AL47</f>
        <v>25224.756258666952</v>
      </c>
    </row>
    <row r="43" spans="1:39">
      <c r="A43" s="1" t="s">
        <v>184</v>
      </c>
      <c r="B43" s="78"/>
      <c r="C43" s="78"/>
      <c r="D43" s="79"/>
      <c r="E43" s="79"/>
      <c r="F43" s="83"/>
      <c r="G43" s="83"/>
      <c r="H43" s="83"/>
      <c r="I43" s="83"/>
      <c r="J43" s="83"/>
      <c r="K43" s="83"/>
      <c r="L43" s="83"/>
      <c r="M43" s="73"/>
      <c r="N43" s="35">
        <f>N40</f>
        <v>5609.4042300768378</v>
      </c>
      <c r="O43" s="35">
        <f t="shared" ref="O43:U43" si="120">O27*O30</f>
        <v>5295.3379762277773</v>
      </c>
      <c r="P43" s="35">
        <f t="shared" si="120"/>
        <v>6454.0449564273758</v>
      </c>
      <c r="Q43" s="35">
        <f t="shared" si="120"/>
        <v>6241.7340228995809</v>
      </c>
      <c r="R43" s="35">
        <f t="shared" si="120"/>
        <v>6370.2193500379772</v>
      </c>
      <c r="S43" s="35">
        <f t="shared" si="120"/>
        <v>6151.647286933443</v>
      </c>
      <c r="T43" s="35">
        <f t="shared" si="120"/>
        <v>4970.8311511360225</v>
      </c>
      <c r="U43" s="35">
        <f t="shared" si="120"/>
        <v>5009.3612243323178</v>
      </c>
      <c r="V43" s="35">
        <f t="shared" ref="V43:AM43" si="121">V27*V30</f>
        <v>4326.7553176994707</v>
      </c>
      <c r="W43" s="35">
        <f t="shared" si="121"/>
        <v>4349.1297464515255</v>
      </c>
      <c r="X43" s="35">
        <f t="shared" si="121"/>
        <v>4623.4080367296783</v>
      </c>
      <c r="Y43" s="35">
        <f t="shared" si="121"/>
        <v>4741.0351546435732</v>
      </c>
      <c r="Z43" s="35">
        <f t="shared" si="121"/>
        <v>4941.0886733596599</v>
      </c>
      <c r="AA43" s="35">
        <f t="shared" si="121"/>
        <v>4837.9908063809908</v>
      </c>
      <c r="AB43" s="35">
        <f t="shared" si="121"/>
        <v>4832.4945423022918</v>
      </c>
      <c r="AC43" s="35">
        <f t="shared" si="121"/>
        <v>4723.8539730115581</v>
      </c>
      <c r="AD43" s="35">
        <f t="shared" si="121"/>
        <v>4984.9660499302609</v>
      </c>
      <c r="AE43" s="35">
        <f t="shared" si="121"/>
        <v>5420.9250943270144</v>
      </c>
      <c r="AF43" s="35">
        <f t="shared" si="121"/>
        <v>5537.973584721999</v>
      </c>
      <c r="AG43" s="35">
        <f t="shared" si="121"/>
        <v>4965.231870446115</v>
      </c>
      <c r="AH43" s="35">
        <f t="shared" si="121"/>
        <v>5747.3359297303905</v>
      </c>
      <c r="AI43" s="35">
        <f t="shared" si="121"/>
        <v>5750.7417655714562</v>
      </c>
      <c r="AJ43" s="35">
        <f t="shared" si="121"/>
        <v>5591.1475944610984</v>
      </c>
      <c r="AK43" s="35">
        <f t="shared" si="121"/>
        <v>5769.1328988798368</v>
      </c>
      <c r="AL43" s="35">
        <f t="shared" si="121"/>
        <v>6011.9435470095268</v>
      </c>
      <c r="AM43" s="35">
        <f t="shared" si="121"/>
        <v>5799.4840082995552</v>
      </c>
    </row>
    <row r="44" spans="1:39">
      <c r="A44" s="1" t="s">
        <v>183</v>
      </c>
      <c r="B44" s="78"/>
      <c r="C44" s="78"/>
      <c r="D44" s="79"/>
      <c r="E44" s="79"/>
      <c r="F44" s="83"/>
      <c r="G44" s="83"/>
      <c r="H44" s="83"/>
      <c r="I44" s="83"/>
      <c r="J44" s="83"/>
      <c r="K44" s="83"/>
      <c r="L44" s="83"/>
      <c r="M44" s="73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1:39">
      <c r="A45" s="1" t="s">
        <v>85</v>
      </c>
      <c r="B45" s="78"/>
      <c r="C45" s="78"/>
      <c r="D45" s="79"/>
      <c r="E45" s="79"/>
      <c r="F45" s="83"/>
      <c r="G45" s="83"/>
      <c r="H45" s="83"/>
      <c r="I45" s="83"/>
      <c r="J45" s="83"/>
      <c r="K45" s="83"/>
      <c r="L45" s="83"/>
      <c r="M45" s="73"/>
      <c r="N45" s="35">
        <f t="shared" ref="N45:U45" si="122">SUM(N42:N43)</f>
        <v>32964.382230076837</v>
      </c>
      <c r="O45" s="35">
        <f t="shared" si="122"/>
        <v>32326.131404890781</v>
      </c>
      <c r="P45" s="35">
        <f t="shared" si="122"/>
        <v>32961.472708437817</v>
      </c>
      <c r="Q45" s="35">
        <f t="shared" si="122"/>
        <v>33270.141643818592</v>
      </c>
      <c r="R45" s="35">
        <f t="shared" si="122"/>
        <v>33651.735497969225</v>
      </c>
      <c r="S45" s="35">
        <f t="shared" si="122"/>
        <v>33746.070395268209</v>
      </c>
      <c r="T45" s="35">
        <f t="shared" si="122"/>
        <v>32642.608875255952</v>
      </c>
      <c r="U45" s="35">
        <f t="shared" si="122"/>
        <v>31776.300502042199</v>
      </c>
      <c r="V45" s="35">
        <f t="shared" ref="V45:AM45" si="123">SUM(V42:V43)</f>
        <v>30383.321729374074</v>
      </c>
      <c r="W45" s="35">
        <f t="shared" si="123"/>
        <v>29263.453564538268</v>
      </c>
      <c r="X45" s="35">
        <f t="shared" si="123"/>
        <v>28619.439959651056</v>
      </c>
      <c r="Y45" s="35">
        <f t="shared" si="123"/>
        <v>28208.975921557441</v>
      </c>
      <c r="Z45" s="35">
        <f t="shared" si="123"/>
        <v>28072.44892903676</v>
      </c>
      <c r="AA45" s="35">
        <f t="shared" si="123"/>
        <v>27857.398928191134</v>
      </c>
      <c r="AB45" s="35">
        <f t="shared" si="123"/>
        <v>27675.561663419019</v>
      </c>
      <c r="AC45" s="35">
        <f t="shared" si="123"/>
        <v>27417.814537015154</v>
      </c>
      <c r="AD45" s="35">
        <f t="shared" si="123"/>
        <v>27467.57397028269</v>
      </c>
      <c r="AE45" s="35">
        <f t="shared" si="123"/>
        <v>27944.335749958824</v>
      </c>
      <c r="AF45" s="35">
        <f t="shared" si="123"/>
        <v>28452.328899688237</v>
      </c>
      <c r="AG45" s="35">
        <f t="shared" si="123"/>
        <v>28296.141568190469</v>
      </c>
      <c r="AH45" s="35">
        <f t="shared" si="123"/>
        <v>28950.172015646574</v>
      </c>
      <c r="AI45" s="35">
        <f t="shared" si="123"/>
        <v>29489.882818401649</v>
      </c>
      <c r="AJ45" s="35">
        <f t="shared" si="123"/>
        <v>29772.85150555045</v>
      </c>
      <c r="AK45" s="35">
        <f t="shared" si="123"/>
        <v>30182.871133431207</v>
      </c>
      <c r="AL45" s="35">
        <f t="shared" si="123"/>
        <v>30761.897876423114</v>
      </c>
      <c r="AM45" s="35">
        <f t="shared" si="123"/>
        <v>31024.240266966506</v>
      </c>
    </row>
    <row r="46" spans="1:39">
      <c r="A46" s="1" t="s">
        <v>86</v>
      </c>
      <c r="B46" s="78"/>
      <c r="C46" s="78"/>
      <c r="D46" s="79"/>
      <c r="E46" s="79"/>
      <c r="F46" s="83"/>
      <c r="G46" s="83"/>
      <c r="H46" s="83"/>
      <c r="I46" s="83"/>
      <c r="J46" s="83"/>
      <c r="K46" s="83"/>
      <c r="L46" s="83"/>
      <c r="M46" s="73"/>
      <c r="N46" s="35">
        <f>+N45*Inputs!$N$77</f>
        <v>5933.5888014138309</v>
      </c>
      <c r="O46" s="35">
        <f>+O45*Inputs!$N$77</f>
        <v>5818.7036528803401</v>
      </c>
      <c r="P46" s="35">
        <f>+P45*Inputs!$N$77</f>
        <v>5933.0650875188066</v>
      </c>
      <c r="Q46" s="35">
        <f>+Q45*Inputs!$N$77</f>
        <v>5988.625495887346</v>
      </c>
      <c r="R46" s="35">
        <f>+R45*Inputs!$N$77</f>
        <v>6057.3123896344605</v>
      </c>
      <c r="S46" s="35">
        <f>+S45*Inputs!$N$77</f>
        <v>6074.2926711482778</v>
      </c>
      <c r="T46" s="35">
        <f>+T45*Inputs!$N$77</f>
        <v>5875.6695975460707</v>
      </c>
      <c r="U46" s="35">
        <f>+U45*Inputs!$N$77</f>
        <v>5719.7340903675959</v>
      </c>
      <c r="V46" s="35">
        <f>+V45*Inputs!$N$77</f>
        <v>5468.9979112873334</v>
      </c>
      <c r="W46" s="35">
        <f>+W45*Inputs!$N$77</f>
        <v>5267.4216416168883</v>
      </c>
      <c r="X46" s="35">
        <f>+X45*Inputs!$N$77</f>
        <v>5151.4991927371902</v>
      </c>
      <c r="Y46" s="35">
        <f>+Y45*Inputs!$N$77</f>
        <v>5077.6156658803393</v>
      </c>
      <c r="Z46" s="35">
        <f>+Z45*Inputs!$N$77</f>
        <v>5053.0408072266164</v>
      </c>
      <c r="AA46" s="35">
        <f>+AA45*Inputs!$N$77</f>
        <v>5014.3318070744044</v>
      </c>
      <c r="AB46" s="35">
        <f>+AB45*Inputs!$N$77</f>
        <v>4981.6010994154231</v>
      </c>
      <c r="AC46" s="35">
        <f>+AC45*Inputs!$N$77</f>
        <v>4935.2066166627274</v>
      </c>
      <c r="AD46" s="35">
        <f>+AD45*Inputs!$N$77</f>
        <v>4944.1633146508839</v>
      </c>
      <c r="AE46" s="35">
        <f>+AE45*Inputs!$N$77</f>
        <v>5029.980434992588</v>
      </c>
      <c r="AF46" s="35">
        <f>+AF45*Inputs!$N$77</f>
        <v>5121.4192019438824</v>
      </c>
      <c r="AG46" s="35">
        <f>+AG45*Inputs!$N$77</f>
        <v>5093.3054822742843</v>
      </c>
      <c r="AH46" s="35">
        <f>+AH45*Inputs!$N$77</f>
        <v>5211.0309628163832</v>
      </c>
      <c r="AI46" s="35">
        <f>+AI45*Inputs!$N$77</f>
        <v>5308.1789073122964</v>
      </c>
      <c r="AJ46" s="35">
        <f>+AJ45*Inputs!$N$77</f>
        <v>5359.1132709990807</v>
      </c>
      <c r="AK46" s="35">
        <f>+AK45*Inputs!$N$77</f>
        <v>5432.9168040176173</v>
      </c>
      <c r="AL46" s="35">
        <f>+AL45*Inputs!$N$77</f>
        <v>5537.1416177561605</v>
      </c>
      <c r="AM46" s="35">
        <f>+AM45*Inputs!$N$77</f>
        <v>5584.3632480539709</v>
      </c>
    </row>
    <row r="47" spans="1:39">
      <c r="A47" s="1" t="s">
        <v>87</v>
      </c>
      <c r="B47" s="78"/>
      <c r="C47" s="78"/>
      <c r="D47" s="79"/>
      <c r="E47" s="79"/>
      <c r="F47" s="83"/>
      <c r="G47" s="83"/>
      <c r="H47" s="83"/>
      <c r="I47" s="83"/>
      <c r="J47" s="83"/>
      <c r="K47" s="83"/>
      <c r="L47" s="83"/>
      <c r="M47" s="73"/>
      <c r="N47" s="52">
        <f>N45-N46</f>
        <v>27030.793428663004</v>
      </c>
      <c r="O47" s="52">
        <f>O45-O46</f>
        <v>26507.427752010441</v>
      </c>
      <c r="P47" s="52">
        <f>P45-P46</f>
        <v>27028.40762091901</v>
      </c>
      <c r="Q47" s="52">
        <f t="shared" ref="Q47:U47" si="124">Q45-Q46</f>
        <v>27281.516147931245</v>
      </c>
      <c r="R47" s="52">
        <f t="shared" si="124"/>
        <v>27594.423108334762</v>
      </c>
      <c r="S47" s="52">
        <f t="shared" si="124"/>
        <v>27671.777724119929</v>
      </c>
      <c r="T47" s="52">
        <f t="shared" si="124"/>
        <v>26766.93927770988</v>
      </c>
      <c r="U47" s="52">
        <f t="shared" si="124"/>
        <v>26056.566411674605</v>
      </c>
      <c r="V47" s="52">
        <f t="shared" ref="V47:AM47" si="125">V45-V46</f>
        <v>24914.323818086741</v>
      </c>
      <c r="W47" s="52">
        <f t="shared" si="125"/>
        <v>23996.031922921378</v>
      </c>
      <c r="X47" s="52">
        <f t="shared" si="125"/>
        <v>23467.940766913867</v>
      </c>
      <c r="Y47" s="52">
        <f t="shared" si="125"/>
        <v>23131.3602556771</v>
      </c>
      <c r="Z47" s="52">
        <f t="shared" si="125"/>
        <v>23019.408121810142</v>
      </c>
      <c r="AA47" s="52">
        <f t="shared" si="125"/>
        <v>22843.067121116728</v>
      </c>
      <c r="AB47" s="52">
        <f t="shared" si="125"/>
        <v>22693.960564003595</v>
      </c>
      <c r="AC47" s="52">
        <f t="shared" si="125"/>
        <v>22482.607920352428</v>
      </c>
      <c r="AD47" s="52">
        <f t="shared" si="125"/>
        <v>22523.410655631807</v>
      </c>
      <c r="AE47" s="52">
        <f t="shared" si="125"/>
        <v>22914.355314966237</v>
      </c>
      <c r="AF47" s="52">
        <f t="shared" si="125"/>
        <v>23330.909697744355</v>
      </c>
      <c r="AG47" s="52">
        <f t="shared" si="125"/>
        <v>23202.836085916184</v>
      </c>
      <c r="AH47" s="52">
        <f t="shared" si="125"/>
        <v>23739.141052830193</v>
      </c>
      <c r="AI47" s="52">
        <f t="shared" si="125"/>
        <v>24181.703911089353</v>
      </c>
      <c r="AJ47" s="52">
        <f t="shared" si="125"/>
        <v>24413.738234551369</v>
      </c>
      <c r="AK47" s="52">
        <f t="shared" si="125"/>
        <v>24749.954329413587</v>
      </c>
      <c r="AL47" s="52">
        <f t="shared" si="125"/>
        <v>25224.756258666952</v>
      </c>
      <c r="AM47" s="52">
        <f t="shared" si="125"/>
        <v>25439.877018912535</v>
      </c>
    </row>
    <row r="48" spans="1:39">
      <c r="A48" s="1"/>
      <c r="B48" s="78"/>
      <c r="C48" s="78"/>
      <c r="D48" s="79"/>
      <c r="E48" s="79"/>
      <c r="F48" s="83"/>
      <c r="G48" s="83"/>
      <c r="H48" s="83"/>
      <c r="I48" s="83"/>
      <c r="J48" s="83"/>
      <c r="K48" s="83"/>
      <c r="L48" s="83"/>
      <c r="M48" s="73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>
      <c r="A49" s="1" t="s">
        <v>88</v>
      </c>
      <c r="B49" s="78"/>
      <c r="C49" s="78"/>
      <c r="D49" s="79"/>
      <c r="E49" s="79"/>
      <c r="F49" s="83"/>
      <c r="G49" s="83"/>
      <c r="H49" s="83"/>
      <c r="I49" s="83"/>
      <c r="J49" s="83"/>
      <c r="K49" s="83"/>
      <c r="L49" s="83"/>
      <c r="M49" s="73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>
      <c r="A50" s="1" t="s">
        <v>89</v>
      </c>
      <c r="B50" s="78"/>
      <c r="C50" s="78"/>
      <c r="D50" s="79"/>
      <c r="E50" s="79"/>
      <c r="F50" s="83"/>
      <c r="G50" s="83"/>
      <c r="H50" s="83"/>
      <c r="I50" s="83"/>
      <c r="J50" s="83"/>
      <c r="K50" s="83"/>
      <c r="L50" s="83"/>
      <c r="M50" s="73"/>
      <c r="N50" s="35">
        <f>N39</f>
        <v>0</v>
      </c>
      <c r="O50" s="35">
        <f>O39</f>
        <v>0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1:39">
      <c r="A51" s="1" t="s">
        <v>90</v>
      </c>
      <c r="B51" s="78"/>
      <c r="C51" s="78"/>
      <c r="D51" s="79"/>
      <c r="E51" s="79"/>
      <c r="F51" s="83"/>
      <c r="G51" s="83"/>
      <c r="H51" s="83"/>
      <c r="I51" s="83"/>
      <c r="J51" s="83"/>
      <c r="K51" s="83"/>
      <c r="L51" s="83"/>
      <c r="M51" s="73"/>
      <c r="N51" s="35">
        <f>N50*Inputs!N78</f>
        <v>0</v>
      </c>
      <c r="O51" s="35">
        <f>O50*Inputs!N78</f>
        <v>0</v>
      </c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1:39">
      <c r="A52" s="1"/>
      <c r="B52" s="78"/>
      <c r="C52" s="78"/>
      <c r="D52" s="79"/>
      <c r="E52" s="79"/>
      <c r="F52" s="83"/>
      <c r="G52" s="83"/>
      <c r="H52" s="83"/>
      <c r="I52" s="83"/>
      <c r="J52" s="83"/>
      <c r="K52" s="83"/>
      <c r="L52" s="83"/>
      <c r="M52" s="73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>
      <c r="A53" s="1" t="s">
        <v>198</v>
      </c>
      <c r="B53" s="78"/>
      <c r="C53" s="78"/>
      <c r="D53" s="79"/>
      <c r="E53" s="79"/>
      <c r="F53" s="83"/>
      <c r="G53" s="83"/>
      <c r="H53" s="83"/>
      <c r="I53" s="83"/>
      <c r="J53" s="83"/>
      <c r="K53" s="83"/>
      <c r="L53" s="83"/>
      <c r="M53" s="73"/>
      <c r="N53" s="12"/>
      <c r="O53" s="12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 spans="1:39">
      <c r="A54" s="1" t="s">
        <v>193</v>
      </c>
      <c r="B54" s="78"/>
      <c r="C54" s="78"/>
      <c r="D54" s="79"/>
      <c r="E54" s="79"/>
      <c r="F54" s="83"/>
      <c r="G54" s="83"/>
      <c r="H54" s="83"/>
      <c r="I54" s="83"/>
      <c r="J54" s="83"/>
      <c r="K54" s="83"/>
      <c r="L54" s="83"/>
      <c r="M54" s="73"/>
      <c r="N54" s="35">
        <f>N27*N31</f>
        <v>13841.667039803475</v>
      </c>
      <c r="O54" s="35">
        <f>O27*O31</f>
        <v>13066.682685688287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 spans="1:39">
      <c r="A55" s="1" t="s">
        <v>199</v>
      </c>
      <c r="B55" s="78"/>
      <c r="C55" s="78"/>
      <c r="D55" s="79"/>
      <c r="E55" s="79"/>
      <c r="F55" s="83"/>
      <c r="G55" s="83"/>
      <c r="H55" s="83"/>
      <c r="I55" s="83"/>
      <c r="J55" s="83"/>
      <c r="K55" s="83"/>
      <c r="L55" s="83"/>
      <c r="M55" s="73"/>
      <c r="N55" s="35">
        <f>N54*Inputs!$N$80</f>
        <v>0</v>
      </c>
      <c r="O55" s="35">
        <f>O54*Inputs!$N$80</f>
        <v>0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>
      <c r="A56" s="32" t="s">
        <v>200</v>
      </c>
      <c r="B56" s="78"/>
      <c r="C56" s="78"/>
      <c r="D56" s="79"/>
      <c r="E56" s="79"/>
      <c r="F56" s="83"/>
      <c r="G56" s="83"/>
      <c r="H56" s="83"/>
      <c r="I56" s="83"/>
      <c r="J56" s="83"/>
      <c r="K56" s="83"/>
      <c r="L56" s="83"/>
      <c r="M56" s="73"/>
      <c r="N56" s="35">
        <f>N54-N55</f>
        <v>13841.667039803475</v>
      </c>
      <c r="O56" s="35">
        <f>O54-O55</f>
        <v>13066.682685688287</v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 spans="1:39">
      <c r="A57" s="1"/>
      <c r="B57" s="78"/>
      <c r="C57" s="78"/>
      <c r="D57" s="79"/>
      <c r="E57" s="79"/>
      <c r="F57" s="83"/>
      <c r="G57" s="83"/>
      <c r="H57" s="83"/>
      <c r="I57" s="83"/>
      <c r="J57" s="83"/>
      <c r="K57" s="83"/>
      <c r="L57" s="83"/>
      <c r="M57" s="73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 spans="1:39">
      <c r="A58" s="1" t="s">
        <v>91</v>
      </c>
      <c r="B58" s="78"/>
      <c r="C58" s="78"/>
      <c r="D58" s="79"/>
      <c r="E58" s="79"/>
      <c r="F58" s="83"/>
      <c r="G58" s="83"/>
      <c r="H58" s="83"/>
      <c r="I58" s="83"/>
      <c r="J58" s="83"/>
      <c r="K58" s="83"/>
      <c r="L58" s="83"/>
      <c r="M58" s="73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 spans="1:39">
      <c r="A59" s="1" t="s">
        <v>92</v>
      </c>
      <c r="B59" s="78"/>
      <c r="C59" s="78"/>
      <c r="D59" s="79"/>
      <c r="E59" s="79"/>
      <c r="F59" s="83"/>
      <c r="G59" s="83"/>
      <c r="H59" s="83"/>
      <c r="I59" s="83"/>
      <c r="J59" s="83"/>
      <c r="K59" s="83"/>
      <c r="L59" s="83"/>
      <c r="M59" s="73"/>
      <c r="N59" s="35">
        <f>Inputs!N81</f>
        <v>130652.281</v>
      </c>
      <c r="O59" s="35">
        <f>N67</f>
        <v>134884.31115741527</v>
      </c>
      <c r="P59" s="35">
        <f>+O67</f>
        <v>138133.93421251734</v>
      </c>
      <c r="Q59" s="35">
        <f t="shared" ref="Q59:U59" si="126">+P67</f>
        <v>144440.23251643876</v>
      </c>
      <c r="R59" s="35">
        <f t="shared" si="126"/>
        <v>150063.69188661213</v>
      </c>
      <c r="S59" s="35">
        <f t="shared" si="126"/>
        <v>155647.76893613662</v>
      </c>
      <c r="T59" s="35">
        <f t="shared" si="126"/>
        <v>160389.81746533641</v>
      </c>
      <c r="U59" s="35">
        <f t="shared" si="126"/>
        <v>162108.40765763857</v>
      </c>
      <c r="V59" s="35">
        <f t="shared" ref="V59" si="127">+U67</f>
        <v>163813.25400033465</v>
      </c>
      <c r="W59" s="35">
        <f t="shared" ref="W59" si="128">+V67</f>
        <v>163832.48643331157</v>
      </c>
      <c r="X59" s="35">
        <f t="shared" ref="X59" si="129">+W67</f>
        <v>163902.46302168956</v>
      </c>
      <c r="Y59" s="35">
        <f t="shared" ref="Y59" si="130">+X67</f>
        <v>164604.43703446432</v>
      </c>
      <c r="Z59" s="35">
        <f t="shared" ref="Z59" si="131">+Y67</f>
        <v>165537.13193382017</v>
      </c>
      <c r="AA59" s="35">
        <f t="shared" ref="AA59" si="132">+Z67</f>
        <v>166877.89476476386</v>
      </c>
      <c r="AB59" s="35">
        <f t="shared" ref="AB59" si="133">+AA67</f>
        <v>167899.07349468803</v>
      </c>
      <c r="AC59" s="35">
        <f t="shared" ref="AC59" si="134">+AB67</f>
        <v>168846.23276548469</v>
      </c>
      <c r="AD59" s="35">
        <f t="shared" ref="AD59" si="135">+AC67</f>
        <v>169484.56769878216</v>
      </c>
      <c r="AE59" s="35">
        <f t="shared" ref="AE59" si="136">+AD67</f>
        <v>170690.25916265137</v>
      </c>
      <c r="AF59" s="35">
        <f t="shared" ref="AF59" si="137">+AE67</f>
        <v>172834.82810361605</v>
      </c>
      <c r="AG59" s="35">
        <f t="shared" ref="AG59" si="138">+AF67</f>
        <v>175122.22009306448</v>
      </c>
      <c r="AH59" s="35">
        <f t="shared" ref="AH59" si="139">+AG67</f>
        <v>175943.87844251472</v>
      </c>
      <c r="AI59" s="35">
        <f t="shared" ref="AI59" si="140">+AH67</f>
        <v>178530.34911517057</v>
      </c>
      <c r="AJ59" s="35">
        <f t="shared" ref="AJ59" si="141">+AI67</f>
        <v>180969.53147714664</v>
      </c>
      <c r="AK59" s="35">
        <f t="shared" ref="AK59" si="142">+AJ67</f>
        <v>182892.17983871337</v>
      </c>
      <c r="AL59" s="35">
        <f t="shared" ref="AL59" si="143">+AK67</f>
        <v>185112.31109558491</v>
      </c>
      <c r="AM59" s="35">
        <f t="shared" ref="AM59" si="144">+AL67</f>
        <v>187762.44043739958</v>
      </c>
    </row>
    <row r="60" spans="1:39">
      <c r="A60" s="1" t="s">
        <v>184</v>
      </c>
      <c r="B60" s="78"/>
      <c r="C60" s="78"/>
      <c r="D60" s="79"/>
      <c r="E60" s="79"/>
      <c r="F60" s="83"/>
      <c r="G60" s="83"/>
      <c r="H60" s="83"/>
      <c r="I60" s="83"/>
      <c r="J60" s="83"/>
      <c r="K60" s="83"/>
      <c r="L60" s="83"/>
      <c r="M60" s="73"/>
      <c r="N60" s="35">
        <f>N56</f>
        <v>13841.667039803475</v>
      </c>
      <c r="O60" s="35">
        <f>O56</f>
        <v>13066.682685688287</v>
      </c>
      <c r="P60" s="35">
        <f t="shared" ref="P60:U60" si="145">P27*P31</f>
        <v>15925.88761348136</v>
      </c>
      <c r="Q60" s="35">
        <f t="shared" si="145"/>
        <v>15401.992894850728</v>
      </c>
      <c r="R60" s="35">
        <f t="shared" si="145"/>
        <v>15719.041024171504</v>
      </c>
      <c r="S60" s="35">
        <f t="shared" si="145"/>
        <v>15179.696452519118</v>
      </c>
      <c r="T60" s="35">
        <f t="shared" si="145"/>
        <v>12265.935361938671</v>
      </c>
      <c r="U60" s="35">
        <f t="shared" si="145"/>
        <v>12361.01149165362</v>
      </c>
      <c r="V60" s="35">
        <f t="shared" ref="V60:AM60" si="146">V27*V31</f>
        <v>10676.62518403934</v>
      </c>
      <c r="W60" s="35">
        <f t="shared" si="146"/>
        <v>10731.835930187959</v>
      </c>
      <c r="X60" s="35">
        <f t="shared" si="146"/>
        <v>11408.640206463971</v>
      </c>
      <c r="Y60" s="35">
        <f t="shared" si="146"/>
        <v>11698.894810025236</v>
      </c>
      <c r="Z60" s="35">
        <f t="shared" si="146"/>
        <v>12192.543347843526</v>
      </c>
      <c r="AA60" s="35">
        <f t="shared" si="146"/>
        <v>11938.140867882987</v>
      </c>
      <c r="AB60" s="35">
        <f t="shared" si="146"/>
        <v>11924.57838348718</v>
      </c>
      <c r="AC60" s="35">
        <f t="shared" si="146"/>
        <v>11656.49882896443</v>
      </c>
      <c r="AD60" s="35">
        <f t="shared" si="146"/>
        <v>12300.814389144825</v>
      </c>
      <c r="AE60" s="35">
        <f t="shared" si="146"/>
        <v>13376.579245450805</v>
      </c>
      <c r="AF60" s="35">
        <f t="shared" si="146"/>
        <v>13665.40603794189</v>
      </c>
      <c r="AG60" s="35">
        <f t="shared" si="146"/>
        <v>12252.11867556821</v>
      </c>
      <c r="AH60" s="35">
        <f t="shared" si="146"/>
        <v>14182.024871496504</v>
      </c>
      <c r="AI60" s="35">
        <f t="shared" si="146"/>
        <v>14190.429052006706</v>
      </c>
      <c r="AJ60" s="35">
        <f t="shared" si="146"/>
        <v>13796.617287442052</v>
      </c>
      <c r="AK60" s="35">
        <f t="shared" si="146"/>
        <v>14235.810688504627</v>
      </c>
      <c r="AL60" s="35">
        <f t="shared" si="146"/>
        <v>14834.96596547849</v>
      </c>
      <c r="AM60" s="35">
        <f t="shared" si="146"/>
        <v>14310.704551318759</v>
      </c>
    </row>
    <row r="61" spans="1:39">
      <c r="A61" s="1" t="s">
        <v>122</v>
      </c>
      <c r="B61" s="78"/>
      <c r="C61" s="78"/>
      <c r="D61" s="79"/>
      <c r="E61" s="79"/>
      <c r="F61" s="83"/>
      <c r="G61" s="83"/>
      <c r="H61" s="83"/>
      <c r="I61" s="83"/>
      <c r="J61" s="83"/>
      <c r="K61" s="83"/>
      <c r="L61" s="83"/>
      <c r="M61" s="73"/>
      <c r="N61" s="35">
        <f>Inputs!N82</f>
        <v>-1000</v>
      </c>
      <c r="O61" s="35">
        <f>Inputs!O82</f>
        <v>-1000</v>
      </c>
      <c r="P61" s="35">
        <f>Inputs!P82</f>
        <v>-400</v>
      </c>
      <c r="Q61" s="35">
        <f>Inputs!Q82</f>
        <v>-200</v>
      </c>
      <c r="R61" s="35">
        <f>Inputs!R82</f>
        <v>-200</v>
      </c>
      <c r="S61" s="35">
        <f>Inputs!S82</f>
        <v>-200</v>
      </c>
      <c r="T61" s="35">
        <f>Inputs!T82</f>
        <v>-200</v>
      </c>
      <c r="U61" s="35">
        <f>Inputs!U82</f>
        <v>-200</v>
      </c>
      <c r="V61" s="35">
        <f>Inputs!V82</f>
        <v>-200</v>
      </c>
      <c r="W61" s="35">
        <f>Inputs!W82</f>
        <v>-200</v>
      </c>
      <c r="X61" s="35">
        <f>Inputs!X82</f>
        <v>-200</v>
      </c>
      <c r="Y61" s="35">
        <f>Inputs!Y82</f>
        <v>-200</v>
      </c>
      <c r="Z61" s="35">
        <f>Inputs!Z82</f>
        <v>-200</v>
      </c>
      <c r="AA61" s="35">
        <f>Inputs!AA82</f>
        <v>-200</v>
      </c>
      <c r="AB61" s="35">
        <f>Inputs!AB82</f>
        <v>-200</v>
      </c>
      <c r="AC61" s="35">
        <f>Inputs!AC82</f>
        <v>-200</v>
      </c>
      <c r="AD61" s="35">
        <f>Inputs!AD82</f>
        <v>-200</v>
      </c>
      <c r="AE61" s="35">
        <f>Inputs!AE82</f>
        <v>-200</v>
      </c>
      <c r="AF61" s="35">
        <f>Inputs!AF82</f>
        <v>-200</v>
      </c>
      <c r="AG61" s="35">
        <f>Inputs!AG82</f>
        <v>-200</v>
      </c>
      <c r="AH61" s="35">
        <f>Inputs!AH82</f>
        <v>-200</v>
      </c>
      <c r="AI61" s="35">
        <f>Inputs!AI82</f>
        <v>-200</v>
      </c>
      <c r="AJ61" s="35">
        <f>Inputs!AJ82</f>
        <v>-200</v>
      </c>
      <c r="AK61" s="35">
        <f>Inputs!AK82</f>
        <v>-200</v>
      </c>
      <c r="AL61" s="35">
        <f>Inputs!AL82</f>
        <v>-200</v>
      </c>
      <c r="AM61" s="35">
        <f>Inputs!AM82</f>
        <v>-200</v>
      </c>
    </row>
    <row r="62" spans="1:39">
      <c r="A62" s="1" t="s">
        <v>126</v>
      </c>
      <c r="B62" s="78"/>
      <c r="C62" s="78"/>
      <c r="D62" s="79"/>
      <c r="E62" s="79"/>
      <c r="F62" s="83"/>
      <c r="G62" s="83"/>
      <c r="H62" s="83"/>
      <c r="I62" s="83"/>
      <c r="J62" s="83"/>
      <c r="K62" s="83"/>
      <c r="L62" s="83"/>
      <c r="M62" s="73"/>
      <c r="N62" s="35">
        <f>SUM(N60:N61)</f>
        <v>12841.667039803475</v>
      </c>
      <c r="O62" s="35">
        <f>SUM(O60:O61)</f>
        <v>12066.682685688287</v>
      </c>
      <c r="P62" s="35">
        <f>SUM(P60:P61)</f>
        <v>15525.88761348136</v>
      </c>
      <c r="Q62" s="35">
        <f t="shared" ref="Q62:U62" si="147">SUM(Q60:Q61)</f>
        <v>15201.992894850728</v>
      </c>
      <c r="R62" s="35">
        <f t="shared" si="147"/>
        <v>15519.041024171504</v>
      </c>
      <c r="S62" s="35">
        <f t="shared" si="147"/>
        <v>14979.696452519118</v>
      </c>
      <c r="T62" s="35">
        <f t="shared" si="147"/>
        <v>12065.935361938671</v>
      </c>
      <c r="U62" s="35">
        <f t="shared" si="147"/>
        <v>12161.01149165362</v>
      </c>
      <c r="V62" s="35">
        <f t="shared" ref="V62:AM62" si="148">SUM(V60:V61)</f>
        <v>10476.62518403934</v>
      </c>
      <c r="W62" s="35">
        <f t="shared" si="148"/>
        <v>10531.835930187959</v>
      </c>
      <c r="X62" s="35">
        <f t="shared" si="148"/>
        <v>11208.640206463971</v>
      </c>
      <c r="Y62" s="35">
        <f t="shared" si="148"/>
        <v>11498.894810025236</v>
      </c>
      <c r="Z62" s="35">
        <f t="shared" si="148"/>
        <v>11992.543347843526</v>
      </c>
      <c r="AA62" s="35">
        <f t="shared" si="148"/>
        <v>11738.140867882987</v>
      </c>
      <c r="AB62" s="35">
        <f t="shared" si="148"/>
        <v>11724.57838348718</v>
      </c>
      <c r="AC62" s="35">
        <f t="shared" si="148"/>
        <v>11456.49882896443</v>
      </c>
      <c r="AD62" s="35">
        <f t="shared" si="148"/>
        <v>12100.814389144825</v>
      </c>
      <c r="AE62" s="35">
        <f t="shared" si="148"/>
        <v>13176.579245450805</v>
      </c>
      <c r="AF62" s="35">
        <f t="shared" si="148"/>
        <v>13465.40603794189</v>
      </c>
      <c r="AG62" s="35">
        <f t="shared" si="148"/>
        <v>12052.11867556821</v>
      </c>
      <c r="AH62" s="35">
        <f t="shared" si="148"/>
        <v>13982.024871496504</v>
      </c>
      <c r="AI62" s="35">
        <f t="shared" si="148"/>
        <v>13990.429052006706</v>
      </c>
      <c r="AJ62" s="35">
        <f t="shared" si="148"/>
        <v>13596.617287442052</v>
      </c>
      <c r="AK62" s="35">
        <f t="shared" si="148"/>
        <v>14035.810688504627</v>
      </c>
      <c r="AL62" s="35">
        <f t="shared" si="148"/>
        <v>14634.96596547849</v>
      </c>
      <c r="AM62" s="35">
        <f t="shared" si="148"/>
        <v>14110.704551318759</v>
      </c>
    </row>
    <row r="63" spans="1:39">
      <c r="A63" s="1" t="s">
        <v>125</v>
      </c>
      <c r="B63" s="78"/>
      <c r="C63" s="78"/>
      <c r="D63" s="79"/>
      <c r="E63" s="79"/>
      <c r="F63" s="83"/>
      <c r="G63" s="83"/>
      <c r="H63" s="83"/>
      <c r="I63" s="83"/>
      <c r="J63" s="83"/>
      <c r="K63" s="83"/>
      <c r="L63" s="83"/>
      <c r="M63" s="73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 spans="1:39">
      <c r="A64" s="1" t="s">
        <v>85</v>
      </c>
      <c r="B64" s="78"/>
      <c r="C64" s="78"/>
      <c r="D64" s="79"/>
      <c r="E64" s="79"/>
      <c r="F64" s="83"/>
      <c r="G64" s="83"/>
      <c r="H64" s="83"/>
      <c r="I64" s="83"/>
      <c r="J64" s="83"/>
      <c r="K64" s="83"/>
      <c r="L64" s="35"/>
      <c r="M64" s="35"/>
      <c r="N64" s="35">
        <f>N59+N62</f>
        <v>143493.94803980348</v>
      </c>
      <c r="O64" s="35">
        <f>O59+O62</f>
        <v>146950.99384310356</v>
      </c>
      <c r="P64" s="35">
        <f>P59+P62</f>
        <v>153659.82182599869</v>
      </c>
      <c r="Q64" s="35">
        <f t="shared" ref="Q64:U64" si="149">Q59+Q62</f>
        <v>159642.22541128949</v>
      </c>
      <c r="R64" s="35">
        <f t="shared" si="149"/>
        <v>165582.73291078364</v>
      </c>
      <c r="S64" s="35">
        <f t="shared" si="149"/>
        <v>170627.46538865575</v>
      </c>
      <c r="T64" s="35">
        <f t="shared" si="149"/>
        <v>172455.75282727508</v>
      </c>
      <c r="U64" s="35">
        <f t="shared" si="149"/>
        <v>174269.4191492922</v>
      </c>
      <c r="V64" s="35">
        <f t="shared" ref="V64:AM64" si="150">V59+V62</f>
        <v>174289.879184374</v>
      </c>
      <c r="W64" s="35">
        <f t="shared" si="150"/>
        <v>174364.32236349952</v>
      </c>
      <c r="X64" s="35">
        <f t="shared" si="150"/>
        <v>175111.10322815354</v>
      </c>
      <c r="Y64" s="35">
        <f t="shared" si="150"/>
        <v>176103.33184448956</v>
      </c>
      <c r="Z64" s="35">
        <f t="shared" si="150"/>
        <v>177529.67528166369</v>
      </c>
      <c r="AA64" s="35">
        <f t="shared" si="150"/>
        <v>178616.03563264685</v>
      </c>
      <c r="AB64" s="35">
        <f t="shared" si="150"/>
        <v>179623.65187817521</v>
      </c>
      <c r="AC64" s="35">
        <f t="shared" si="150"/>
        <v>180302.73159444911</v>
      </c>
      <c r="AD64" s="35">
        <f t="shared" si="150"/>
        <v>181585.38208792699</v>
      </c>
      <c r="AE64" s="35">
        <f t="shared" si="150"/>
        <v>183866.83840810216</v>
      </c>
      <c r="AF64" s="35">
        <f t="shared" si="150"/>
        <v>186300.23414155794</v>
      </c>
      <c r="AG64" s="35">
        <f t="shared" si="150"/>
        <v>187174.33876863268</v>
      </c>
      <c r="AH64" s="35">
        <f t="shared" si="150"/>
        <v>189925.90331401123</v>
      </c>
      <c r="AI64" s="35">
        <f t="shared" si="150"/>
        <v>192520.77816717728</v>
      </c>
      <c r="AJ64" s="35">
        <f t="shared" si="150"/>
        <v>194566.1487645887</v>
      </c>
      <c r="AK64" s="35">
        <f t="shared" si="150"/>
        <v>196927.990527218</v>
      </c>
      <c r="AL64" s="35">
        <f t="shared" si="150"/>
        <v>199747.27706106339</v>
      </c>
      <c r="AM64" s="35">
        <f t="shared" si="150"/>
        <v>201873.14498871833</v>
      </c>
    </row>
    <row r="65" spans="1:39">
      <c r="A65" s="1" t="s">
        <v>93</v>
      </c>
      <c r="B65" s="78"/>
      <c r="C65" s="78"/>
      <c r="D65" s="79"/>
      <c r="E65" s="79"/>
      <c r="F65" s="83"/>
      <c r="G65" s="83"/>
      <c r="H65" s="83"/>
      <c r="I65" s="83"/>
      <c r="J65" s="83"/>
      <c r="K65" s="83"/>
      <c r="L65" s="83"/>
      <c r="M65" s="73"/>
      <c r="N65" s="35">
        <f>N64*Inputs!$N$83</f>
        <v>8609.6368823882076</v>
      </c>
      <c r="O65" s="35">
        <f>O64*Inputs!$N$83</f>
        <v>8817.0596305862127</v>
      </c>
      <c r="P65" s="35">
        <f>P64*Inputs!$N$83</f>
        <v>9219.5893095599204</v>
      </c>
      <c r="Q65" s="35">
        <f>Q64*Inputs!$N$83</f>
        <v>9578.5335246773684</v>
      </c>
      <c r="R65" s="35">
        <f>R64*Inputs!$N$83</f>
        <v>9934.9639746470184</v>
      </c>
      <c r="S65" s="35">
        <f>S64*Inputs!$N$83</f>
        <v>10237.647923319344</v>
      </c>
      <c r="T65" s="35">
        <f>T64*Inputs!$N$83</f>
        <v>10347.345169636505</v>
      </c>
      <c r="U65" s="35">
        <f>U64*Inputs!$N$83</f>
        <v>10456.165148957531</v>
      </c>
      <c r="V65" s="35">
        <f>V64*Inputs!$N$83</f>
        <v>10457.39275106244</v>
      </c>
      <c r="W65" s="35">
        <f>W64*Inputs!$N$83</f>
        <v>10461.859341809972</v>
      </c>
      <c r="X65" s="35">
        <f>X64*Inputs!$N$83</f>
        <v>10506.666193689212</v>
      </c>
      <c r="Y65" s="35">
        <f>Y64*Inputs!$N$83</f>
        <v>10566.199910669373</v>
      </c>
      <c r="Z65" s="35">
        <f>Z64*Inputs!$N$83</f>
        <v>10651.78051689982</v>
      </c>
      <c r="AA65" s="35">
        <f>AA64*Inputs!$N$83</f>
        <v>10716.96213795881</v>
      </c>
      <c r="AB65" s="35">
        <f>AB64*Inputs!$N$83</f>
        <v>10777.419112690512</v>
      </c>
      <c r="AC65" s="35">
        <f>AC64*Inputs!$N$83</f>
        <v>10818.163895666947</v>
      </c>
      <c r="AD65" s="35">
        <f>AD64*Inputs!$N$83</f>
        <v>10895.122925275618</v>
      </c>
      <c r="AE65" s="35">
        <f>AE64*Inputs!$N$83</f>
        <v>11032.01030448613</v>
      </c>
      <c r="AF65" s="35">
        <f>AF64*Inputs!$N$83</f>
        <v>11178.014048493476</v>
      </c>
      <c r="AG65" s="35">
        <f>AG64*Inputs!$N$83</f>
        <v>11230.46032611796</v>
      </c>
      <c r="AH65" s="35">
        <f>AH64*Inputs!$N$83</f>
        <v>11395.554198840673</v>
      </c>
      <c r="AI65" s="35">
        <f>AI64*Inputs!$N$83</f>
        <v>11551.246690030637</v>
      </c>
      <c r="AJ65" s="35">
        <f>AJ64*Inputs!$N$83</f>
        <v>11673.968925875321</v>
      </c>
      <c r="AK65" s="35">
        <f>AK64*Inputs!$N$83</f>
        <v>11815.67943163308</v>
      </c>
      <c r="AL65" s="35">
        <f>AL64*Inputs!$N$83</f>
        <v>11984.836623663803</v>
      </c>
      <c r="AM65" s="35">
        <f>AM64*Inputs!$N$83</f>
        <v>12112.388699323099</v>
      </c>
    </row>
    <row r="66" spans="1:39">
      <c r="A66" s="1" t="s">
        <v>128</v>
      </c>
      <c r="B66" s="78"/>
      <c r="C66" s="78"/>
      <c r="D66" s="79"/>
      <c r="E66" s="79"/>
      <c r="F66" s="83"/>
      <c r="G66" s="83"/>
      <c r="H66" s="83"/>
      <c r="I66" s="83"/>
      <c r="J66" s="83"/>
      <c r="K66" s="83"/>
      <c r="L66" s="83"/>
      <c r="M66" s="73"/>
      <c r="N66" s="35">
        <f>N71</f>
        <v>0</v>
      </c>
      <c r="O66" s="35">
        <f>O71</f>
        <v>0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</row>
    <row r="67" spans="1:39">
      <c r="A67" s="1" t="s">
        <v>94</v>
      </c>
      <c r="B67" s="78"/>
      <c r="C67" s="78"/>
      <c r="D67" s="79"/>
      <c r="E67" s="79"/>
      <c r="F67" s="83"/>
      <c r="G67" s="83"/>
      <c r="H67" s="83"/>
      <c r="I67" s="83"/>
      <c r="J67" s="83"/>
      <c r="K67" s="83"/>
      <c r="L67" s="83"/>
      <c r="M67" s="73"/>
      <c r="N67" s="52">
        <f>(N64-N65)+N66</f>
        <v>134884.31115741527</v>
      </c>
      <c r="O67" s="52">
        <f>(O64-O65)+O66</f>
        <v>138133.93421251734</v>
      </c>
      <c r="P67" s="52">
        <f>(P64-P65)+P66</f>
        <v>144440.23251643876</v>
      </c>
      <c r="Q67" s="52">
        <f t="shared" ref="Q67:U67" si="151">(Q64-Q65)+Q66</f>
        <v>150063.69188661213</v>
      </c>
      <c r="R67" s="52">
        <f t="shared" si="151"/>
        <v>155647.76893613662</v>
      </c>
      <c r="S67" s="52">
        <f t="shared" si="151"/>
        <v>160389.81746533641</v>
      </c>
      <c r="T67" s="52">
        <f t="shared" si="151"/>
        <v>162108.40765763857</v>
      </c>
      <c r="U67" s="52">
        <f t="shared" si="151"/>
        <v>163813.25400033465</v>
      </c>
      <c r="V67" s="52">
        <f t="shared" ref="V67:AM67" si="152">(V64-V65)+V66</f>
        <v>163832.48643331157</v>
      </c>
      <c r="W67" s="52">
        <f t="shared" si="152"/>
        <v>163902.46302168956</v>
      </c>
      <c r="X67" s="52">
        <f t="shared" si="152"/>
        <v>164604.43703446432</v>
      </c>
      <c r="Y67" s="52">
        <f t="shared" si="152"/>
        <v>165537.13193382017</v>
      </c>
      <c r="Z67" s="52">
        <f t="shared" si="152"/>
        <v>166877.89476476386</v>
      </c>
      <c r="AA67" s="52">
        <f t="shared" si="152"/>
        <v>167899.07349468803</v>
      </c>
      <c r="AB67" s="52">
        <f t="shared" si="152"/>
        <v>168846.23276548469</v>
      </c>
      <c r="AC67" s="52">
        <f t="shared" si="152"/>
        <v>169484.56769878216</v>
      </c>
      <c r="AD67" s="52">
        <f t="shared" si="152"/>
        <v>170690.25916265137</v>
      </c>
      <c r="AE67" s="52">
        <f t="shared" si="152"/>
        <v>172834.82810361605</v>
      </c>
      <c r="AF67" s="52">
        <f t="shared" si="152"/>
        <v>175122.22009306448</v>
      </c>
      <c r="AG67" s="52">
        <f t="shared" si="152"/>
        <v>175943.87844251472</v>
      </c>
      <c r="AH67" s="52">
        <f t="shared" si="152"/>
        <v>178530.34911517057</v>
      </c>
      <c r="AI67" s="52">
        <f t="shared" si="152"/>
        <v>180969.53147714664</v>
      </c>
      <c r="AJ67" s="52">
        <f t="shared" si="152"/>
        <v>182892.17983871337</v>
      </c>
      <c r="AK67" s="52">
        <f t="shared" si="152"/>
        <v>185112.31109558491</v>
      </c>
      <c r="AL67" s="52">
        <f t="shared" si="152"/>
        <v>187762.44043739958</v>
      </c>
      <c r="AM67" s="52">
        <f t="shared" si="152"/>
        <v>189760.75628939521</v>
      </c>
    </row>
    <row r="68" spans="1:39">
      <c r="A68" s="1"/>
      <c r="B68" s="78"/>
      <c r="C68" s="78"/>
      <c r="D68" s="79"/>
      <c r="E68" s="79"/>
      <c r="F68" s="83"/>
      <c r="G68" s="83"/>
      <c r="H68" s="83"/>
      <c r="I68" s="83"/>
      <c r="J68" s="83"/>
      <c r="K68" s="83"/>
      <c r="L68" s="83"/>
      <c r="M68" s="73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</row>
    <row r="69" spans="1:39">
      <c r="A69" s="1" t="s">
        <v>124</v>
      </c>
      <c r="B69" s="78"/>
      <c r="C69" s="78"/>
      <c r="D69" s="79"/>
      <c r="E69" s="79"/>
      <c r="F69" s="83"/>
      <c r="G69" s="83"/>
      <c r="H69" s="83"/>
      <c r="I69" s="83"/>
      <c r="J69" s="83"/>
      <c r="K69" s="83"/>
      <c r="L69" s="83"/>
      <c r="M69" s="73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39">
      <c r="A70" s="1" t="s">
        <v>89</v>
      </c>
      <c r="B70" s="78"/>
      <c r="C70" s="78"/>
      <c r="D70" s="79"/>
      <c r="E70" s="79"/>
      <c r="F70" s="83"/>
      <c r="G70" s="83"/>
      <c r="H70" s="83"/>
      <c r="I70" s="83"/>
      <c r="J70" s="83"/>
      <c r="K70" s="83"/>
      <c r="L70" s="83"/>
      <c r="M70" s="73"/>
      <c r="N70" s="35">
        <f>N55</f>
        <v>0</v>
      </c>
      <c r="O70" s="35">
        <f>O55</f>
        <v>0</v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</row>
    <row r="71" spans="1:39">
      <c r="A71" s="1" t="s">
        <v>127</v>
      </c>
      <c r="B71" s="78"/>
      <c r="C71" s="78"/>
      <c r="D71" s="79"/>
      <c r="E71" s="79"/>
      <c r="F71" s="83"/>
      <c r="G71" s="83"/>
      <c r="H71" s="83"/>
      <c r="I71" s="83"/>
      <c r="J71" s="83"/>
      <c r="K71" s="83"/>
      <c r="L71" s="83"/>
      <c r="M71" s="73"/>
      <c r="N71" s="35">
        <f>N70*Inputs!$N$84</f>
        <v>0</v>
      </c>
      <c r="O71" s="35">
        <f>O70*Inputs!$N$84</f>
        <v>0</v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39">
      <c r="A72" s="1"/>
      <c r="B72" s="78"/>
      <c r="C72" s="78"/>
      <c r="D72" s="79"/>
      <c r="E72" s="79"/>
      <c r="F72" s="83"/>
      <c r="G72" s="83"/>
      <c r="H72" s="83"/>
      <c r="I72" s="83"/>
      <c r="J72" s="83"/>
      <c r="K72" s="83"/>
      <c r="L72" s="83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</row>
    <row r="73" spans="1:39">
      <c r="A73" s="1" t="s">
        <v>131</v>
      </c>
      <c r="B73" s="78"/>
      <c r="C73" s="78"/>
      <c r="D73" s="79"/>
      <c r="E73" s="79"/>
      <c r="F73" s="83"/>
      <c r="G73" s="83"/>
      <c r="H73" s="83"/>
      <c r="I73" s="83"/>
      <c r="J73" s="83"/>
      <c r="K73" s="83"/>
      <c r="L73" s="83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</row>
    <row r="74" spans="1:39">
      <c r="A74" s="1" t="s">
        <v>112</v>
      </c>
      <c r="B74" s="78"/>
      <c r="C74" s="78"/>
      <c r="D74" s="79"/>
      <c r="E74" s="79"/>
      <c r="F74" s="83"/>
      <c r="G74" s="83"/>
      <c r="H74" s="83"/>
      <c r="I74" s="83"/>
      <c r="J74" s="83"/>
      <c r="K74" s="83"/>
      <c r="L74" s="83"/>
      <c r="M74" s="35"/>
      <c r="N74" s="35">
        <f>N46</f>
        <v>5933.5888014138309</v>
      </c>
      <c r="O74" s="35">
        <f t="shared" ref="O74:U74" si="153">O46</f>
        <v>5818.7036528803401</v>
      </c>
      <c r="P74" s="35">
        <f t="shared" si="153"/>
        <v>5933.0650875188066</v>
      </c>
      <c r="Q74" s="35">
        <f t="shared" si="153"/>
        <v>5988.625495887346</v>
      </c>
      <c r="R74" s="35">
        <f t="shared" si="153"/>
        <v>6057.3123896344605</v>
      </c>
      <c r="S74" s="35">
        <f t="shared" si="153"/>
        <v>6074.2926711482778</v>
      </c>
      <c r="T74" s="35">
        <f t="shared" si="153"/>
        <v>5875.6695975460707</v>
      </c>
      <c r="U74" s="35">
        <f t="shared" si="153"/>
        <v>5719.7340903675959</v>
      </c>
      <c r="V74" s="35">
        <f t="shared" ref="V74:AM74" si="154">V46</f>
        <v>5468.9979112873334</v>
      </c>
      <c r="W74" s="35">
        <f t="shared" si="154"/>
        <v>5267.4216416168883</v>
      </c>
      <c r="X74" s="35">
        <f t="shared" si="154"/>
        <v>5151.4991927371902</v>
      </c>
      <c r="Y74" s="35">
        <f t="shared" si="154"/>
        <v>5077.6156658803393</v>
      </c>
      <c r="Z74" s="35">
        <f t="shared" si="154"/>
        <v>5053.0408072266164</v>
      </c>
      <c r="AA74" s="35">
        <f t="shared" si="154"/>
        <v>5014.3318070744044</v>
      </c>
      <c r="AB74" s="35">
        <f t="shared" si="154"/>
        <v>4981.6010994154231</v>
      </c>
      <c r="AC74" s="35">
        <f t="shared" si="154"/>
        <v>4935.2066166627274</v>
      </c>
      <c r="AD74" s="35">
        <f t="shared" si="154"/>
        <v>4944.1633146508839</v>
      </c>
      <c r="AE74" s="35">
        <f t="shared" si="154"/>
        <v>5029.980434992588</v>
      </c>
      <c r="AF74" s="35">
        <f t="shared" si="154"/>
        <v>5121.4192019438824</v>
      </c>
      <c r="AG74" s="35">
        <f t="shared" si="154"/>
        <v>5093.3054822742843</v>
      </c>
      <c r="AH74" s="35">
        <f t="shared" si="154"/>
        <v>5211.0309628163832</v>
      </c>
      <c r="AI74" s="35">
        <f t="shared" si="154"/>
        <v>5308.1789073122964</v>
      </c>
      <c r="AJ74" s="35">
        <f t="shared" si="154"/>
        <v>5359.1132709990807</v>
      </c>
      <c r="AK74" s="35">
        <f t="shared" si="154"/>
        <v>5432.9168040176173</v>
      </c>
      <c r="AL74" s="35">
        <f t="shared" si="154"/>
        <v>5537.1416177561605</v>
      </c>
      <c r="AM74" s="35">
        <f t="shared" si="154"/>
        <v>5584.3632480539709</v>
      </c>
    </row>
    <row r="75" spans="1:39">
      <c r="A75" s="1" t="s">
        <v>129</v>
      </c>
      <c r="B75" s="78"/>
      <c r="C75" s="78"/>
      <c r="D75" s="79"/>
      <c r="E75" s="79"/>
      <c r="F75" s="83"/>
      <c r="G75" s="83"/>
      <c r="H75" s="83"/>
      <c r="I75" s="83"/>
      <c r="J75" s="83"/>
      <c r="K75" s="83"/>
      <c r="L75" s="83"/>
      <c r="M75" s="35"/>
      <c r="N75" s="35">
        <f>N51</f>
        <v>0</v>
      </c>
      <c r="O75" s="35">
        <f t="shared" ref="O75:U75" si="155">O51</f>
        <v>0</v>
      </c>
      <c r="P75" s="35">
        <f t="shared" si="155"/>
        <v>0</v>
      </c>
      <c r="Q75" s="35">
        <f t="shared" si="155"/>
        <v>0</v>
      </c>
      <c r="R75" s="35">
        <f t="shared" si="155"/>
        <v>0</v>
      </c>
      <c r="S75" s="35">
        <f t="shared" si="155"/>
        <v>0</v>
      </c>
      <c r="T75" s="35">
        <f t="shared" si="155"/>
        <v>0</v>
      </c>
      <c r="U75" s="35">
        <f t="shared" si="155"/>
        <v>0</v>
      </c>
      <c r="V75" s="35">
        <f t="shared" ref="V75:AM75" si="156">V51</f>
        <v>0</v>
      </c>
      <c r="W75" s="35">
        <f t="shared" si="156"/>
        <v>0</v>
      </c>
      <c r="X75" s="35">
        <f t="shared" si="156"/>
        <v>0</v>
      </c>
      <c r="Y75" s="35">
        <f t="shared" si="156"/>
        <v>0</v>
      </c>
      <c r="Z75" s="35">
        <f t="shared" si="156"/>
        <v>0</v>
      </c>
      <c r="AA75" s="35">
        <f t="shared" si="156"/>
        <v>0</v>
      </c>
      <c r="AB75" s="35">
        <f t="shared" si="156"/>
        <v>0</v>
      </c>
      <c r="AC75" s="35">
        <f t="shared" si="156"/>
        <v>0</v>
      </c>
      <c r="AD75" s="35">
        <f t="shared" si="156"/>
        <v>0</v>
      </c>
      <c r="AE75" s="35">
        <f t="shared" si="156"/>
        <v>0</v>
      </c>
      <c r="AF75" s="35">
        <f t="shared" si="156"/>
        <v>0</v>
      </c>
      <c r="AG75" s="35">
        <f t="shared" si="156"/>
        <v>0</v>
      </c>
      <c r="AH75" s="35">
        <f t="shared" si="156"/>
        <v>0</v>
      </c>
      <c r="AI75" s="35">
        <f t="shared" si="156"/>
        <v>0</v>
      </c>
      <c r="AJ75" s="35">
        <f t="shared" si="156"/>
        <v>0</v>
      </c>
      <c r="AK75" s="35">
        <f t="shared" si="156"/>
        <v>0</v>
      </c>
      <c r="AL75" s="35">
        <f t="shared" si="156"/>
        <v>0</v>
      </c>
      <c r="AM75" s="35">
        <f t="shared" si="156"/>
        <v>0</v>
      </c>
    </row>
    <row r="76" spans="1:39">
      <c r="A76" s="1" t="s">
        <v>113</v>
      </c>
      <c r="B76" s="78"/>
      <c r="C76" s="78"/>
      <c r="D76" s="79"/>
      <c r="E76" s="79"/>
      <c r="F76" s="83"/>
      <c r="G76" s="83"/>
      <c r="H76" s="83"/>
      <c r="I76" s="83"/>
      <c r="J76" s="83"/>
      <c r="K76" s="83"/>
      <c r="L76" s="83"/>
      <c r="M76" s="35"/>
      <c r="N76" s="35">
        <f>N65</f>
        <v>8609.6368823882076</v>
      </c>
      <c r="O76" s="35">
        <f t="shared" ref="O76:U76" si="157">O65</f>
        <v>8817.0596305862127</v>
      </c>
      <c r="P76" s="35">
        <f t="shared" si="157"/>
        <v>9219.5893095599204</v>
      </c>
      <c r="Q76" s="35">
        <f t="shared" si="157"/>
        <v>9578.5335246773684</v>
      </c>
      <c r="R76" s="35">
        <f t="shared" si="157"/>
        <v>9934.9639746470184</v>
      </c>
      <c r="S76" s="35">
        <f t="shared" si="157"/>
        <v>10237.647923319344</v>
      </c>
      <c r="T76" s="35">
        <f t="shared" si="157"/>
        <v>10347.345169636505</v>
      </c>
      <c r="U76" s="35">
        <f t="shared" si="157"/>
        <v>10456.165148957531</v>
      </c>
      <c r="V76" s="35">
        <f t="shared" ref="V76:AM76" si="158">V65</f>
        <v>10457.39275106244</v>
      </c>
      <c r="W76" s="35">
        <f t="shared" si="158"/>
        <v>10461.859341809972</v>
      </c>
      <c r="X76" s="35">
        <f t="shared" si="158"/>
        <v>10506.666193689212</v>
      </c>
      <c r="Y76" s="35">
        <f t="shared" si="158"/>
        <v>10566.199910669373</v>
      </c>
      <c r="Z76" s="35">
        <f t="shared" si="158"/>
        <v>10651.78051689982</v>
      </c>
      <c r="AA76" s="35">
        <f t="shared" si="158"/>
        <v>10716.96213795881</v>
      </c>
      <c r="AB76" s="35">
        <f t="shared" si="158"/>
        <v>10777.419112690512</v>
      </c>
      <c r="AC76" s="35">
        <f t="shared" si="158"/>
        <v>10818.163895666947</v>
      </c>
      <c r="AD76" s="35">
        <f t="shared" si="158"/>
        <v>10895.122925275618</v>
      </c>
      <c r="AE76" s="35">
        <f t="shared" si="158"/>
        <v>11032.01030448613</v>
      </c>
      <c r="AF76" s="35">
        <f t="shared" si="158"/>
        <v>11178.014048493476</v>
      </c>
      <c r="AG76" s="35">
        <f t="shared" si="158"/>
        <v>11230.46032611796</v>
      </c>
      <c r="AH76" s="35">
        <f t="shared" si="158"/>
        <v>11395.554198840673</v>
      </c>
      <c r="AI76" s="35">
        <f t="shared" si="158"/>
        <v>11551.246690030637</v>
      </c>
      <c r="AJ76" s="35">
        <f t="shared" si="158"/>
        <v>11673.968925875321</v>
      </c>
      <c r="AK76" s="35">
        <f t="shared" si="158"/>
        <v>11815.67943163308</v>
      </c>
      <c r="AL76" s="35">
        <f t="shared" si="158"/>
        <v>11984.836623663803</v>
      </c>
      <c r="AM76" s="35">
        <f t="shared" si="158"/>
        <v>12112.388699323099</v>
      </c>
    </row>
    <row r="77" spans="1:39">
      <c r="A77" s="1" t="s">
        <v>130</v>
      </c>
      <c r="B77" s="78"/>
      <c r="C77" s="78"/>
      <c r="D77" s="79"/>
      <c r="E77" s="79"/>
      <c r="F77" s="83"/>
      <c r="G77" s="83"/>
      <c r="H77" s="83"/>
      <c r="I77" s="83"/>
      <c r="J77" s="83"/>
      <c r="K77" s="83"/>
      <c r="L77" s="83"/>
      <c r="M77" s="35"/>
      <c r="N77" s="35">
        <f>N71</f>
        <v>0</v>
      </c>
      <c r="O77" s="35">
        <f t="shared" ref="O77:U77" si="159">O71</f>
        <v>0</v>
      </c>
      <c r="P77" s="35">
        <f t="shared" si="159"/>
        <v>0</v>
      </c>
      <c r="Q77" s="35">
        <f t="shared" si="159"/>
        <v>0</v>
      </c>
      <c r="R77" s="35">
        <f t="shared" si="159"/>
        <v>0</v>
      </c>
      <c r="S77" s="35">
        <f t="shared" si="159"/>
        <v>0</v>
      </c>
      <c r="T77" s="35">
        <f t="shared" si="159"/>
        <v>0</v>
      </c>
      <c r="U77" s="35">
        <f t="shared" si="159"/>
        <v>0</v>
      </c>
      <c r="V77" s="35">
        <f t="shared" ref="V77:AM77" si="160">V71</f>
        <v>0</v>
      </c>
      <c r="W77" s="35">
        <f t="shared" si="160"/>
        <v>0</v>
      </c>
      <c r="X77" s="35">
        <f t="shared" si="160"/>
        <v>0</v>
      </c>
      <c r="Y77" s="35">
        <f t="shared" si="160"/>
        <v>0</v>
      </c>
      <c r="Z77" s="35">
        <f t="shared" si="160"/>
        <v>0</v>
      </c>
      <c r="AA77" s="35">
        <f t="shared" si="160"/>
        <v>0</v>
      </c>
      <c r="AB77" s="35">
        <f t="shared" si="160"/>
        <v>0</v>
      </c>
      <c r="AC77" s="35">
        <f t="shared" si="160"/>
        <v>0</v>
      </c>
      <c r="AD77" s="35">
        <f t="shared" si="160"/>
        <v>0</v>
      </c>
      <c r="AE77" s="35">
        <f t="shared" si="160"/>
        <v>0</v>
      </c>
      <c r="AF77" s="35">
        <f t="shared" si="160"/>
        <v>0</v>
      </c>
      <c r="AG77" s="35">
        <f t="shared" si="160"/>
        <v>0</v>
      </c>
      <c r="AH77" s="35">
        <f t="shared" si="160"/>
        <v>0</v>
      </c>
      <c r="AI77" s="35">
        <f t="shared" si="160"/>
        <v>0</v>
      </c>
      <c r="AJ77" s="35">
        <f t="shared" si="160"/>
        <v>0</v>
      </c>
      <c r="AK77" s="35">
        <f t="shared" si="160"/>
        <v>0</v>
      </c>
      <c r="AL77" s="35">
        <f t="shared" si="160"/>
        <v>0</v>
      </c>
      <c r="AM77" s="35">
        <f t="shared" si="160"/>
        <v>0</v>
      </c>
    </row>
    <row r="78" spans="1:39">
      <c r="A78" s="1" t="s">
        <v>123</v>
      </c>
      <c r="B78" s="78"/>
      <c r="C78" s="78"/>
      <c r="D78" s="79"/>
      <c r="E78" s="79"/>
      <c r="F78" s="83"/>
      <c r="G78" s="83"/>
      <c r="H78" s="83"/>
      <c r="I78" s="83"/>
      <c r="J78" s="83"/>
      <c r="K78" s="83"/>
      <c r="L78" s="83"/>
      <c r="M78" s="35"/>
      <c r="N78" s="35">
        <f>-N61</f>
        <v>1000</v>
      </c>
      <c r="O78" s="35">
        <f t="shared" ref="O78:U78" si="161">-O61</f>
        <v>1000</v>
      </c>
      <c r="P78" s="35">
        <f t="shared" si="161"/>
        <v>400</v>
      </c>
      <c r="Q78" s="35">
        <f t="shared" si="161"/>
        <v>200</v>
      </c>
      <c r="R78" s="35">
        <f t="shared" si="161"/>
        <v>200</v>
      </c>
      <c r="S78" s="35">
        <f t="shared" si="161"/>
        <v>200</v>
      </c>
      <c r="T78" s="35">
        <f t="shared" si="161"/>
        <v>200</v>
      </c>
      <c r="U78" s="35">
        <f t="shared" si="161"/>
        <v>200</v>
      </c>
      <c r="V78" s="35">
        <f t="shared" ref="V78:AM78" si="162">-V61</f>
        <v>200</v>
      </c>
      <c r="W78" s="35">
        <f t="shared" si="162"/>
        <v>200</v>
      </c>
      <c r="X78" s="35">
        <f t="shared" si="162"/>
        <v>200</v>
      </c>
      <c r="Y78" s="35">
        <f t="shared" si="162"/>
        <v>200</v>
      </c>
      <c r="Z78" s="35">
        <f t="shared" si="162"/>
        <v>200</v>
      </c>
      <c r="AA78" s="35">
        <f t="shared" si="162"/>
        <v>200</v>
      </c>
      <c r="AB78" s="35">
        <f t="shared" si="162"/>
        <v>200</v>
      </c>
      <c r="AC78" s="35">
        <f t="shared" si="162"/>
        <v>200</v>
      </c>
      <c r="AD78" s="35">
        <f t="shared" si="162"/>
        <v>200</v>
      </c>
      <c r="AE78" s="35">
        <f t="shared" si="162"/>
        <v>200</v>
      </c>
      <c r="AF78" s="35">
        <f t="shared" si="162"/>
        <v>200</v>
      </c>
      <c r="AG78" s="35">
        <f t="shared" si="162"/>
        <v>200</v>
      </c>
      <c r="AH78" s="35">
        <f t="shared" si="162"/>
        <v>200</v>
      </c>
      <c r="AI78" s="35">
        <f t="shared" si="162"/>
        <v>200</v>
      </c>
      <c r="AJ78" s="35">
        <f t="shared" si="162"/>
        <v>200</v>
      </c>
      <c r="AK78" s="35">
        <f t="shared" si="162"/>
        <v>200</v>
      </c>
      <c r="AL78" s="35">
        <f t="shared" si="162"/>
        <v>200</v>
      </c>
      <c r="AM78" s="35">
        <f t="shared" si="162"/>
        <v>200</v>
      </c>
    </row>
    <row r="79" spans="1:39">
      <c r="A79" s="1" t="s">
        <v>95</v>
      </c>
      <c r="B79" s="78"/>
      <c r="C79" s="78"/>
      <c r="D79" s="79"/>
      <c r="E79" s="79"/>
      <c r="F79" s="83"/>
      <c r="G79" s="83"/>
      <c r="H79" s="83"/>
      <c r="I79" s="83"/>
      <c r="J79" s="83"/>
      <c r="K79" s="83"/>
      <c r="L79" s="83"/>
      <c r="M79" s="35"/>
      <c r="N79" s="52">
        <f>SUM(N74:N78)</f>
        <v>15543.225683802038</v>
      </c>
      <c r="O79" s="52">
        <f t="shared" ref="O79:U79" si="163">SUM(O74:O78)</f>
        <v>15635.763283466553</v>
      </c>
      <c r="P79" s="52">
        <f t="shared" si="163"/>
        <v>15552.654397078728</v>
      </c>
      <c r="Q79" s="52">
        <f t="shared" si="163"/>
        <v>15767.159020564715</v>
      </c>
      <c r="R79" s="52">
        <f t="shared" si="163"/>
        <v>16192.276364281479</v>
      </c>
      <c r="S79" s="52">
        <f t="shared" si="163"/>
        <v>16511.940594467622</v>
      </c>
      <c r="T79" s="52">
        <f t="shared" si="163"/>
        <v>16423.014767182576</v>
      </c>
      <c r="U79" s="52">
        <f t="shared" si="163"/>
        <v>16375.899239325126</v>
      </c>
      <c r="V79" s="52">
        <f t="shared" ref="V79:AM79" si="164">SUM(V74:V78)</f>
        <v>16126.390662349773</v>
      </c>
      <c r="W79" s="52">
        <f t="shared" si="164"/>
        <v>15929.280983426859</v>
      </c>
      <c r="X79" s="52">
        <f t="shared" si="164"/>
        <v>15858.165386426403</v>
      </c>
      <c r="Y79" s="52">
        <f t="shared" si="164"/>
        <v>15843.815576549712</v>
      </c>
      <c r="Z79" s="52">
        <f t="shared" si="164"/>
        <v>15904.821324126437</v>
      </c>
      <c r="AA79" s="52">
        <f t="shared" si="164"/>
        <v>15931.293945033214</v>
      </c>
      <c r="AB79" s="52">
        <f t="shared" si="164"/>
        <v>15959.020212105934</v>
      </c>
      <c r="AC79" s="52">
        <f t="shared" si="164"/>
        <v>15953.370512329675</v>
      </c>
      <c r="AD79" s="52">
        <f t="shared" si="164"/>
        <v>16039.286239926503</v>
      </c>
      <c r="AE79" s="52">
        <f t="shared" si="164"/>
        <v>16261.990739478719</v>
      </c>
      <c r="AF79" s="52">
        <f t="shared" si="164"/>
        <v>16499.43325043736</v>
      </c>
      <c r="AG79" s="52">
        <f t="shared" si="164"/>
        <v>16523.765808392243</v>
      </c>
      <c r="AH79" s="52">
        <f t="shared" si="164"/>
        <v>16806.585161657058</v>
      </c>
      <c r="AI79" s="52">
        <f t="shared" si="164"/>
        <v>17059.425597342932</v>
      </c>
      <c r="AJ79" s="52">
        <f t="shared" si="164"/>
        <v>17233.082196874402</v>
      </c>
      <c r="AK79" s="52">
        <f t="shared" si="164"/>
        <v>17448.596235650697</v>
      </c>
      <c r="AL79" s="52">
        <f t="shared" si="164"/>
        <v>17721.978241419965</v>
      </c>
      <c r="AM79" s="52">
        <f t="shared" si="164"/>
        <v>17896.75194737707</v>
      </c>
    </row>
    <row r="80" spans="1:39">
      <c r="A80" s="1"/>
      <c r="B80" s="3"/>
      <c r="C80" s="2"/>
      <c r="D80" s="1"/>
      <c r="E80" s="1"/>
      <c r="F80" s="4"/>
      <c r="G80" s="4"/>
      <c r="H80" s="4"/>
      <c r="I80" s="4"/>
      <c r="J80" s="4"/>
      <c r="K80" s="4"/>
      <c r="L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M80"/>
  <sheetViews>
    <sheetView zoomScaleNormal="100" workbookViewId="0">
      <pane xSplit="14" ySplit="1" topLeftCell="O42" activePane="bottomRight" state="frozen"/>
      <selection pane="topRight" activeCell="O1" sqref="O1"/>
      <selection pane="bottomLeft" activeCell="A2" sqref="A2"/>
      <selection pane="bottomRight" activeCell="S85" sqref="S85"/>
    </sheetView>
  </sheetViews>
  <sheetFormatPr defaultColWidth="9.36328125" defaultRowHeight="13"/>
  <cols>
    <col min="1" max="1" width="25.7265625" style="98" bestFit="1" customWidth="1"/>
    <col min="2" max="4" width="0" style="76" hidden="1" customWidth="1"/>
    <col min="5" max="5" width="0" style="100" hidden="1" customWidth="1"/>
    <col min="6" max="6" width="0" style="76" hidden="1" customWidth="1"/>
    <col min="7" max="14" width="0" style="60" hidden="1" customWidth="1"/>
    <col min="15" max="15" width="15.7265625" style="60" bestFit="1" customWidth="1"/>
    <col min="16" max="16" width="6.6328125" style="60" customWidth="1"/>
    <col min="17" max="21" width="6.6328125" style="60" bestFit="1" customWidth="1"/>
    <col min="22" max="39" width="6.6328125" style="28" bestFit="1" customWidth="1"/>
    <col min="40" max="16384" width="9.36328125" style="28"/>
  </cols>
  <sheetData>
    <row r="1" spans="1:39" s="98" customFormat="1">
      <c r="A1" s="98" t="s">
        <v>60</v>
      </c>
      <c r="B1" s="75"/>
      <c r="C1" s="75"/>
      <c r="D1" s="75"/>
      <c r="E1" s="75"/>
      <c r="F1" s="75"/>
      <c r="G1" s="99"/>
      <c r="H1" s="99"/>
      <c r="I1" s="99"/>
      <c r="J1" s="99"/>
      <c r="K1" s="99"/>
      <c r="L1" s="99"/>
      <c r="M1" s="99"/>
      <c r="N1" s="99"/>
      <c r="O1" s="99">
        <f>+Inputs!O1</f>
        <v>2022</v>
      </c>
      <c r="P1" s="99">
        <f>+Inputs!P1</f>
        <v>2023</v>
      </c>
      <c r="Q1" s="99">
        <f>+Inputs!Q1</f>
        <v>2024</v>
      </c>
      <c r="R1" s="99">
        <f>+Inputs!R1</f>
        <v>2025</v>
      </c>
      <c r="S1" s="99">
        <f>+Inputs!S1</f>
        <v>2026</v>
      </c>
      <c r="T1" s="99">
        <f>+Inputs!T1</f>
        <v>2027</v>
      </c>
      <c r="U1" s="99">
        <f>+Inputs!U1</f>
        <v>2028</v>
      </c>
      <c r="V1" s="99">
        <f>+Inputs!V1</f>
        <v>2029</v>
      </c>
      <c r="W1" s="99">
        <f>+Inputs!W1</f>
        <v>2030</v>
      </c>
      <c r="X1" s="99">
        <f>+Inputs!X1</f>
        <v>2031</v>
      </c>
      <c r="Y1" s="99">
        <f>+Inputs!Y1</f>
        <v>2032</v>
      </c>
      <c r="Z1" s="99">
        <f>+Inputs!Z1</f>
        <v>2033</v>
      </c>
      <c r="AA1" s="99">
        <f>+Inputs!AA1</f>
        <v>2034</v>
      </c>
      <c r="AB1" s="99">
        <f>+Inputs!AB1</f>
        <v>2035</v>
      </c>
      <c r="AC1" s="99">
        <f>+Inputs!AC1</f>
        <v>2036</v>
      </c>
      <c r="AD1" s="99">
        <f>+Inputs!AD1</f>
        <v>2037</v>
      </c>
      <c r="AE1" s="99">
        <f>+Inputs!AE1</f>
        <v>2038</v>
      </c>
      <c r="AF1" s="99">
        <f>+Inputs!AF1</f>
        <v>2039</v>
      </c>
      <c r="AG1" s="99">
        <f>+Inputs!AG1</f>
        <v>2040</v>
      </c>
      <c r="AH1" s="99">
        <f>+Inputs!AH1</f>
        <v>2041</v>
      </c>
      <c r="AI1" s="99">
        <f>+Inputs!AI1</f>
        <v>2042</v>
      </c>
      <c r="AJ1" s="99">
        <f>+Inputs!AJ1</f>
        <v>2043</v>
      </c>
      <c r="AK1" s="99">
        <f>+Inputs!AK1</f>
        <v>2044</v>
      </c>
      <c r="AL1" s="99">
        <f>+Inputs!AL1</f>
        <v>2045</v>
      </c>
      <c r="AM1" s="99">
        <f>+Inputs!AM1</f>
        <v>2046</v>
      </c>
    </row>
    <row r="2" spans="1:39" s="98" customFormat="1">
      <c r="B2" s="75"/>
      <c r="C2" s="75"/>
      <c r="D2" s="75"/>
      <c r="E2" s="75"/>
      <c r="F2" s="75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</row>
    <row r="3" spans="1:39" s="98" customFormat="1">
      <c r="A3" s="98" t="s">
        <v>252</v>
      </c>
      <c r="B3" s="76"/>
      <c r="C3" s="76"/>
      <c r="D3" s="76"/>
      <c r="E3" s="76"/>
      <c r="F3" s="76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39" s="98" customFormat="1">
      <c r="A4" s="28" t="s">
        <v>0</v>
      </c>
      <c r="B4" s="76"/>
      <c r="C4" s="76"/>
      <c r="D4" s="76"/>
      <c r="E4" s="76"/>
      <c r="F4" s="76"/>
      <c r="G4" s="60"/>
      <c r="H4" s="60"/>
      <c r="I4" s="60"/>
      <c r="J4" s="60"/>
      <c r="K4" s="60"/>
      <c r="L4" s="60"/>
      <c r="M4" s="60"/>
      <c r="N4" s="60"/>
      <c r="O4" s="60">
        <f>+'Pi''s Calc'!O56</f>
        <v>661985.44824175956</v>
      </c>
      <c r="P4" s="60">
        <f>+'Pi''s Calc'!P56</f>
        <v>638714.64964766055</v>
      </c>
      <c r="Q4" s="60">
        <f>+'Pi''s Calc'!Q56</f>
        <v>630994.41654861101</v>
      </c>
      <c r="R4" s="60">
        <f>+'Pi''s Calc'!R56</f>
        <v>631991.23870698083</v>
      </c>
      <c r="S4" s="60">
        <f>+'Pi''s Calc'!S56</f>
        <v>627475.48955796589</v>
      </c>
      <c r="T4" s="60">
        <f>+'Pi''s Calc'!T56</f>
        <v>618865.02118378831</v>
      </c>
      <c r="U4" s="60">
        <f>+'Pi''s Calc'!U56</f>
        <v>606262.90398425853</v>
      </c>
      <c r="V4" s="60">
        <f>+'Pi''s Calc'!V56</f>
        <v>590677.39137273864</v>
      </c>
      <c r="W4" s="60">
        <f>+'Pi''s Calc'!W56</f>
        <v>573627.92482891679</v>
      </c>
      <c r="X4" s="60">
        <f>+'Pi''s Calc'!X56</f>
        <v>555962.71224721556</v>
      </c>
      <c r="Y4" s="60">
        <f>+'Pi''s Calc'!Y56</f>
        <v>537464.45678040001</v>
      </c>
      <c r="Z4" s="60">
        <f>+'Pi''s Calc'!Z56</f>
        <v>518226.34033140924</v>
      </c>
      <c r="AA4" s="60">
        <f>+'Pi''s Calc'!AA56</f>
        <v>497681.07555690745</v>
      </c>
      <c r="AB4" s="60">
        <f>+'Pi''s Calc'!AB56</f>
        <v>475879.91598525515</v>
      </c>
      <c r="AC4" s="60">
        <f>+'Pi''s Calc'!AC56</f>
        <v>452650.07871599833</v>
      </c>
      <c r="AD4" s="60">
        <f>+'Pi''s Calc'!AD56</f>
        <v>428613.92724455858</v>
      </c>
      <c r="AE4" s="60">
        <f>+'Pi''s Calc'!AE56</f>
        <v>404204.03787933267</v>
      </c>
      <c r="AF4" s="60">
        <f>+'Pi''s Calc'!AF56</f>
        <v>378906.90047322563</v>
      </c>
      <c r="AG4" s="60">
        <f>+'Pi''s Calc'!AG56</f>
        <v>351397.77399471821</v>
      </c>
      <c r="AH4" s="60">
        <f>+'Pi''s Calc'!AH56</f>
        <v>323686.86182886478</v>
      </c>
      <c r="AI4" s="60">
        <f>+'Pi''s Calc'!AI56</f>
        <v>294923.55323374993</v>
      </c>
      <c r="AJ4" s="60">
        <f>+'Pi''s Calc'!AJ56</f>
        <v>264554.52354778931</v>
      </c>
      <c r="AK4" s="60">
        <f>+'Pi''s Calc'!AK56</f>
        <v>233022.51375759719</v>
      </c>
      <c r="AL4" s="60">
        <f>+'Pi''s Calc'!AL56</f>
        <v>200497.65119023621</v>
      </c>
      <c r="AM4" s="60">
        <f>+'Pi''s Calc'!AM56</f>
        <v>166268.20491166369</v>
      </c>
    </row>
    <row r="5" spans="1:39" s="98" customFormat="1">
      <c r="A5" s="28" t="s">
        <v>100</v>
      </c>
      <c r="B5" s="76"/>
      <c r="C5" s="76"/>
      <c r="D5" s="76"/>
      <c r="E5" s="76"/>
      <c r="F5" s="76"/>
      <c r="G5" s="60"/>
      <c r="H5" s="60"/>
      <c r="I5" s="60"/>
      <c r="J5" s="60"/>
      <c r="K5" s="60"/>
      <c r="L5" s="60"/>
      <c r="M5" s="60"/>
      <c r="N5" s="60"/>
      <c r="O5" s="60"/>
      <c r="P5" s="60">
        <f>+'Pi''s Calc'!P21</f>
        <v>67044.70991114447</v>
      </c>
      <c r="Q5" s="60">
        <f>+'Pi''s Calc'!Q21</f>
        <v>70097.006664968838</v>
      </c>
      <c r="R5" s="60">
        <f>+'Pi''s Calc'!R21</f>
        <v>73398.085256368504</v>
      </c>
      <c r="S5" s="60">
        <f>+'Pi''s Calc'!S21</f>
        <v>75376.413924226159</v>
      </c>
      <c r="T5" s="60">
        <f>+'Pi''s Calc'!T21</f>
        <v>76626.243086874121</v>
      </c>
      <c r="U5" s="60">
        <f>+'Pi''s Calc'!U21</f>
        <v>77853.414388403078</v>
      </c>
      <c r="V5" s="60">
        <f>+'Pi''s Calc'!V21</f>
        <v>78175.227865961773</v>
      </c>
      <c r="W5" s="60">
        <f>+'Pi''s Calc'!W21</f>
        <v>78439.734437115752</v>
      </c>
      <c r="X5" s="60">
        <f>+'Pi''s Calc'!X21</f>
        <v>78649.050725149777</v>
      </c>
      <c r="Y5" s="60">
        <f>+'Pi''s Calc'!Y21</f>
        <v>78805.483766047444</v>
      </c>
      <c r="Z5" s="60">
        <f>+'Pi''s Calc'!Z21</f>
        <v>78911.222347605144</v>
      </c>
      <c r="AA5" s="60">
        <f>+'Pi''s Calc'!AA21</f>
        <v>78968.342980021131</v>
      </c>
      <c r="AB5" s="60">
        <f>+'Pi''s Calc'!AB21</f>
        <v>78978.815568584032</v>
      </c>
      <c r="AC5" s="60">
        <f>+'Pi''s Calc'!AC21</f>
        <v>78937.827641273674</v>
      </c>
      <c r="AD5" s="60">
        <f>+'Pi''s Calc'!AD21</f>
        <v>78847.396225657489</v>
      </c>
      <c r="AE5" s="60">
        <f>+'Pi''s Calc'!AE21</f>
        <v>78715.96532542877</v>
      </c>
      <c r="AF5" s="60">
        <f>+'Pi''s Calc'!AF21</f>
        <v>78545.129695425916</v>
      </c>
      <c r="AG5" s="60">
        <f>+'Pi''s Calc'!AG21</f>
        <v>78336.401871204696</v>
      </c>
      <c r="AH5" s="60">
        <f>+'Pi''s Calc'!AH21</f>
        <v>78091.216339395163</v>
      </c>
      <c r="AI5" s="60">
        <f>+'Pi''s Calc'!AI21</f>
        <v>77810.933499220453</v>
      </c>
      <c r="AJ5" s="60">
        <f>+'Pi''s Calc'!AJ21</f>
        <v>77496.843425527943</v>
      </c>
      <c r="AK5" s="60">
        <f>+'Pi''s Calc'!AK21</f>
        <v>77150.169443174673</v>
      </c>
      <c r="AL5" s="60">
        <f>+'Pi''s Calc'!AL21</f>
        <v>76772.071522124941</v>
      </c>
      <c r="AM5" s="60">
        <f>+'Pi''s Calc'!AM21</f>
        <v>76363.649502157758</v>
      </c>
    </row>
    <row r="6" spans="1:39" s="98" customFormat="1">
      <c r="A6" s="28" t="s">
        <v>254</v>
      </c>
      <c r="B6" s="76"/>
      <c r="C6" s="76"/>
      <c r="D6" s="76"/>
      <c r="E6" s="76"/>
      <c r="F6" s="76"/>
      <c r="G6" s="60"/>
      <c r="H6" s="60"/>
      <c r="I6" s="60"/>
      <c r="J6" s="60"/>
      <c r="K6" s="60"/>
      <c r="L6" s="60"/>
      <c r="M6" s="60"/>
      <c r="N6" s="60"/>
      <c r="O6" s="60"/>
      <c r="P6" s="60">
        <f>+'Pi''s Calc'!P23</f>
        <v>-18253.842427303724</v>
      </c>
      <c r="Q6" s="60">
        <f>+'Pi''s Calc'!Q23</f>
        <v>-18234.059105632725</v>
      </c>
      <c r="R6" s="60">
        <f>+'Pi''s Calc'!R23</f>
        <v>-18322.343341779688</v>
      </c>
      <c r="S6" s="60">
        <f>+'Pi''s Calc'!S23</f>
        <v>-18497.222701526909</v>
      </c>
      <c r="T6" s="60">
        <f>+'Pi''s Calc'!T23</f>
        <v>-18273.855550493023</v>
      </c>
      <c r="U6" s="60">
        <f>+'Pi''s Calc'!U23</f>
        <v>-18377.695143525998</v>
      </c>
      <c r="V6" s="60">
        <f>+'Pi''s Calc'!V23</f>
        <v>-18236.499986357583</v>
      </c>
      <c r="W6" s="60">
        <f>+'Pi''s Calc'!W23</f>
        <v>-18409.458375746126</v>
      </c>
      <c r="X6" s="60">
        <f>+'Pi''s Calc'!X23</f>
        <v>-18578.165899121712</v>
      </c>
      <c r="Y6" s="60">
        <f>+'Pi''s Calc'!Y23</f>
        <v>-18742.858431178596</v>
      </c>
      <c r="Z6" s="60">
        <f>+'Pi''s Calc'!Z23</f>
        <v>-18903.757418742356</v>
      </c>
      <c r="AA6" s="60">
        <f>+'Pi''s Calc'!AA23</f>
        <v>-19061.07088467076</v>
      </c>
      <c r="AB6" s="60">
        <f>+'Pi''s Calc'!AB23</f>
        <v>-19214.994351647409</v>
      </c>
      <c r="AC6" s="60">
        <f>+'Pi''s Calc'!AC23</f>
        <v>-19361.774213184843</v>
      </c>
      <c r="AD6" s="60">
        <f>+'Pi''s Calc'!AD23</f>
        <v>-19505.533682758007</v>
      </c>
      <c r="AE6" s="60">
        <f>+'Pi''s Calc'!AE23</f>
        <v>-19646.434671587689</v>
      </c>
      <c r="AF6" s="60">
        <f>+'Pi''s Calc'!AF23</f>
        <v>-19784.629682898758</v>
      </c>
      <c r="AG6" s="60">
        <f>+'Pi''s Calc'!AG23</f>
        <v>-19920.262425571731</v>
      </c>
      <c r="AH6" s="60">
        <f>+'Pi''s Calc'!AH23</f>
        <v>-20053.468381908089</v>
      </c>
      <c r="AI6" s="60">
        <f>+'Pi''s Calc'!AI23</f>
        <v>-20184.375333419535</v>
      </c>
      <c r="AJ6" s="60">
        <f>+'Pi''s Calc'!AJ23</f>
        <v>-20313.103848182669</v>
      </c>
      <c r="AK6" s="60">
        <f>+'Pi''s Calc'!AK23</f>
        <v>-20439.76773296823</v>
      </c>
      <c r="AL6" s="60">
        <f>+'Pi''s Calc'!AL23</f>
        <v>-20564.474453055409</v>
      </c>
      <c r="AM6" s="60">
        <f>+'Pi''s Calc'!AM23</f>
        <v>-20687.325522373216</v>
      </c>
    </row>
    <row r="7" spans="1:39" s="98" customFormat="1">
      <c r="A7" s="28" t="s">
        <v>255</v>
      </c>
      <c r="B7" s="76"/>
      <c r="C7" s="76"/>
      <c r="D7" s="76"/>
      <c r="E7" s="76"/>
      <c r="F7" s="76"/>
      <c r="G7" s="60"/>
      <c r="H7" s="60"/>
      <c r="I7" s="60"/>
      <c r="J7" s="60"/>
      <c r="K7" s="60"/>
      <c r="L7" s="60"/>
      <c r="M7" s="60"/>
      <c r="N7" s="60"/>
      <c r="O7" s="60"/>
      <c r="P7" s="60">
        <f>+'DAV Pi'!P61</f>
        <v>21795.142054238866</v>
      </c>
      <c r="Q7" s="60">
        <f>+'DAV Pi'!Q61</f>
        <v>22467.889421120795</v>
      </c>
      <c r="R7" s="60">
        <f>+'DAV Pi'!R61</f>
        <v>23154.850186393647</v>
      </c>
      <c r="S7" s="60">
        <f>+'DAV Pi'!S61</f>
        <v>23812.94092542935</v>
      </c>
      <c r="T7" s="60">
        <f>+'DAV Pi'!T61</f>
        <v>24184.015523998529</v>
      </c>
      <c r="U7" s="60">
        <f>+'DAV Pi'!U61</f>
        <v>24495.205837843616</v>
      </c>
      <c r="V7" s="60">
        <f>+'DAV Pi'!V61</f>
        <v>24709.681012619294</v>
      </c>
      <c r="W7" s="60">
        <f>+'DAV Pi'!W61</f>
        <v>24940.205285132739</v>
      </c>
      <c r="X7" s="60">
        <f>+'DAV Pi'!X61</f>
        <v>25254.220195909198</v>
      </c>
      <c r="Y7" s="60">
        <f>+'DAV Pi'!Y61</f>
        <v>25562.20544919623</v>
      </c>
      <c r="Z7" s="60">
        <f>+'DAV Pi'!Z61</f>
        <v>25794.257517561971</v>
      </c>
      <c r="AA7" s="60">
        <f>+'DAV Pi'!AA61</f>
        <v>25977.145175040965</v>
      </c>
      <c r="AB7" s="60">
        <f>+'DAV Pi'!AB61</f>
        <v>26162.994125802321</v>
      </c>
      <c r="AC7" s="60">
        <f>+'DAV Pi'!AC61</f>
        <v>26186.728682444351</v>
      </c>
      <c r="AD7" s="60">
        <f>+'DAV Pi'!AD61</f>
        <v>26266.119765827807</v>
      </c>
      <c r="AE7" s="60">
        <f>+'DAV Pi'!AE61</f>
        <v>26446.289288470063</v>
      </c>
      <c r="AF7" s="60">
        <f>+'DAV Pi'!AF61</f>
        <v>26650.407116590141</v>
      </c>
      <c r="AG7" s="60">
        <f>+'DAV Pi'!AG61</f>
        <v>26710.123127787156</v>
      </c>
      <c r="AH7" s="60">
        <f>+'DAV Pi'!AH61</f>
        <v>26919.804238449702</v>
      </c>
      <c r="AI7" s="60">
        <f>+'DAV Pi'!AI61</f>
        <v>27142.823466033817</v>
      </c>
      <c r="AJ7" s="60">
        <f>+'DAV Pi'!AJ61</f>
        <v>27334.020765187535</v>
      </c>
      <c r="AK7" s="60">
        <f>+'DAV Pi'!AK61</f>
        <v>27573.438723105854</v>
      </c>
      <c r="AL7" s="60">
        <f>+'DAV Pi'!AL61</f>
        <v>27831.932108579076</v>
      </c>
      <c r="AM7" s="60">
        <f>+'DAV Pi'!AM61</f>
        <v>13469.922567476578</v>
      </c>
    </row>
    <row r="8" spans="1:39" s="98" customFormat="1">
      <c r="A8" s="28" t="s">
        <v>256</v>
      </c>
      <c r="B8" s="76"/>
      <c r="C8" s="76"/>
      <c r="D8" s="76"/>
      <c r="E8" s="76"/>
      <c r="F8" s="76"/>
      <c r="G8" s="60"/>
      <c r="H8" s="60"/>
      <c r="I8" s="60"/>
      <c r="J8" s="60"/>
      <c r="K8" s="60"/>
      <c r="L8" s="60"/>
      <c r="M8" s="60"/>
      <c r="N8" s="60"/>
      <c r="O8" s="60">
        <f>+'Pi''s Calc'!O54</f>
        <v>199663.8389231606</v>
      </c>
      <c r="P8" s="60">
        <f>+'Pi''s Calc'!P54</f>
        <v>179660.73770274289</v>
      </c>
      <c r="Q8" s="60">
        <f>+'Pi''s Calc'!Q54</f>
        <v>175961.59060413143</v>
      </c>
      <c r="R8" s="60">
        <f>+'Pi''s Calc'!R54</f>
        <v>181670.87665259244</v>
      </c>
      <c r="S8" s="60">
        <f>+'Pi''s Calc'!S54</f>
        <v>182692.81725254262</v>
      </c>
      <c r="T8" s="60">
        <f>+'Pi''s Calc'!T54</f>
        <v>182369.06674969307</v>
      </c>
      <c r="U8" s="60">
        <f>+'Pi''s Calc'!U54</f>
        <v>180768.74548723179</v>
      </c>
      <c r="V8" s="60">
        <f>+'Pi''s Calc'!V54</f>
        <v>178240.16080893291</v>
      </c>
      <c r="W8" s="60">
        <f>+'Pi''s Calc'!W54</f>
        <v>175009.90460383051</v>
      </c>
      <c r="X8" s="60">
        <f>+'Pi''s Calc'!X54</f>
        <v>171133.44453343085</v>
      </c>
      <c r="Y8" s="60">
        <f>+'Pi''s Calc'!Y54</f>
        <v>166620.40723488657</v>
      </c>
      <c r="Z8" s="60">
        <f>+'Pi''s Calc'!Z54</f>
        <v>161396.82797204726</v>
      </c>
      <c r="AA8" s="60">
        <f>+'Pi''s Calc'!AA54</f>
        <v>155418.66831844783</v>
      </c>
      <c r="AB8" s="60">
        <f>+'Pi''s Calc'!AB54</f>
        <v>148661.64296138051</v>
      </c>
      <c r="AC8" s="60">
        <f>+'Pi''s Calc'!AC54</f>
        <v>140940.21426671234</v>
      </c>
      <c r="AD8" s="60">
        <f>+'Pi''s Calc'!AD54</f>
        <v>132279.40218469538</v>
      </c>
      <c r="AE8" s="60">
        <f>+'Pi''s Calc'!AE54</f>
        <v>122774.63537763053</v>
      </c>
      <c r="AF8" s="60">
        <f>+'Pi''s Calc'!AF54</f>
        <v>112466.40231894102</v>
      </c>
      <c r="AG8" s="60">
        <f>+'Pi''s Calc'!AG54</f>
        <v>101197.77494659892</v>
      </c>
      <c r="AH8" s="60">
        <f>+'Pi''s Calc'!AH54</f>
        <v>89033.439548616167</v>
      </c>
      <c r="AI8" s="60">
        <f>+'Pi''s Calc'!AI54</f>
        <v>76008.648677752659</v>
      </c>
      <c r="AJ8" s="60">
        <f>+'Pi''s Calc'!AJ54</f>
        <v>62066.445297750957</v>
      </c>
      <c r="AK8" s="60">
        <f>+'Pi''s Calc'!AK54</f>
        <v>47198.960349414134</v>
      </c>
      <c r="AL8" s="60">
        <f>+'Pi''s Calc'!AL54</f>
        <v>31392.007494127411</v>
      </c>
      <c r="AM8" s="60">
        <f>+'Pi''s Calc'!AM54</f>
        <v>1.1332303984090686E-9</v>
      </c>
    </row>
    <row r="9" spans="1:39"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</row>
    <row r="10" spans="1:39">
      <c r="A10" s="28" t="s">
        <v>241</v>
      </c>
      <c r="O10" s="114">
        <f>+Inputs!O35</f>
        <v>1.1253380952380954</v>
      </c>
      <c r="P10" s="114">
        <f>+Inputs!P35</f>
        <v>1.1877943595238096</v>
      </c>
      <c r="Q10" s="114">
        <f>+Inputs!Q35</f>
        <v>1.2148760709209525</v>
      </c>
      <c r="R10" s="114">
        <f>+Inputs!R35</f>
        <v>1.2281182200939909</v>
      </c>
      <c r="S10" s="114">
        <f>+Inputs!S35</f>
        <v>1.2537858908939552</v>
      </c>
      <c r="T10" s="114">
        <f>+Inputs!T35</f>
        <v>1.2799900160136388</v>
      </c>
      <c r="U10" s="114">
        <f>+Inputs!U35</f>
        <v>1.3067418073483239</v>
      </c>
      <c r="V10" s="114">
        <f>+Inputs!V35</f>
        <v>1.3340527111219038</v>
      </c>
      <c r="W10" s="114">
        <f>+Inputs!W35</f>
        <v>1.3619344127843516</v>
      </c>
      <c r="X10" s="114">
        <f>+Inputs!X35</f>
        <v>1.3903988420115445</v>
      </c>
      <c r="Y10" s="114">
        <f>+Inputs!Y35</f>
        <v>1.4194581778095858</v>
      </c>
      <c r="Z10" s="114">
        <f>+Inputs!Z35</f>
        <v>1.4491248537258061</v>
      </c>
      <c r="AA10" s="114">
        <f>+Inputs!AA35</f>
        <v>1.4794115631686755</v>
      </c>
      <c r="AB10" s="114">
        <f>+Inputs!AB35</f>
        <v>1.5103312648389009</v>
      </c>
      <c r="AC10" s="114">
        <f>+Inputs!AC35</f>
        <v>1.541897188274034</v>
      </c>
      <c r="AD10" s="114">
        <f>+Inputs!AD35</f>
        <v>1.5741228395089613</v>
      </c>
      <c r="AE10" s="114">
        <f>+Inputs!AE35</f>
        <v>1.6070220068546985</v>
      </c>
      <c r="AF10" s="114">
        <f>+Inputs!AF35</f>
        <v>1.6406087667979616</v>
      </c>
      <c r="AG10" s="114">
        <f>+Inputs!AG35</f>
        <v>1.674897490024039</v>
      </c>
      <c r="AH10" s="114">
        <f>+Inputs!AH35</f>
        <v>1.7099028475655413</v>
      </c>
      <c r="AI10" s="114">
        <f>+Inputs!AI35</f>
        <v>1.7456398170796612</v>
      </c>
      <c r="AJ10" s="114">
        <f>+Inputs!AJ35</f>
        <v>1.7821236892566261</v>
      </c>
      <c r="AK10" s="114">
        <f>+Inputs!AK35</f>
        <v>1.8193700743620895</v>
      </c>
      <c r="AL10" s="114">
        <f>+Inputs!AL35</f>
        <v>1.8573949089162571</v>
      </c>
      <c r="AM10" s="114">
        <f>+Inputs!AM35</f>
        <v>1.8962144625126069</v>
      </c>
    </row>
    <row r="11" spans="1:39">
      <c r="A11" s="28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</row>
    <row r="12" spans="1:39">
      <c r="A12" s="98" t="s">
        <v>253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</row>
    <row r="13" spans="1:39">
      <c r="A13" s="28" t="s">
        <v>0</v>
      </c>
      <c r="O13" s="60">
        <f t="shared" ref="O13:T13" si="0">+O4*O10</f>
        <v>744957.4433997185</v>
      </c>
      <c r="P13" s="60">
        <f t="shared" si="0"/>
        <v>758661.65819671738</v>
      </c>
      <c r="Q13" s="60">
        <f t="shared" si="0"/>
        <v>766580.01754963538</v>
      </c>
      <c r="R13" s="60">
        <f t="shared" si="0"/>
        <v>776159.95519581379</v>
      </c>
      <c r="S13" s="60">
        <f t="shared" si="0"/>
        <v>786719.915689555</v>
      </c>
      <c r="T13" s="60">
        <f t="shared" si="0"/>
        <v>792141.04837531818</v>
      </c>
      <c r="U13" s="60">
        <f>+U4*U$10</f>
        <v>792229.0828806333</v>
      </c>
      <c r="V13" s="60">
        <f t="shared" ref="V13:AM13" si="1">+V4*V$10</f>
        <v>787994.7753592158</v>
      </c>
      <c r="W13" s="60">
        <f t="shared" si="1"/>
        <v>781243.6109585769</v>
      </c>
      <c r="X13" s="60">
        <f t="shared" si="1"/>
        <v>773009.91131012607</v>
      </c>
      <c r="Y13" s="60">
        <f t="shared" si="1"/>
        <v>762908.31845892547</v>
      </c>
      <c r="Z13" s="60">
        <f t="shared" si="1"/>
        <v>750974.66962961329</v>
      </c>
      <c r="AA13" s="60">
        <f t="shared" si="1"/>
        <v>736275.1379491121</v>
      </c>
      <c r="AB13" s="60">
        <f t="shared" si="1"/>
        <v>718736.31542144029</v>
      </c>
      <c r="AC13" s="60">
        <f t="shared" si="1"/>
        <v>697939.88364421797</v>
      </c>
      <c r="AD13" s="60">
        <f t="shared" si="1"/>
        <v>674690.97220729187</v>
      </c>
      <c r="AE13" s="60">
        <f t="shared" si="1"/>
        <v>649564.78413161775</v>
      </c>
      <c r="AF13" s="60">
        <f t="shared" si="1"/>
        <v>621637.98271661671</v>
      </c>
      <c r="AG13" s="60">
        <f t="shared" si="1"/>
        <v>588555.24966378801</v>
      </c>
      <c r="AH13" s="60">
        <f t="shared" si="1"/>
        <v>553473.08676072978</v>
      </c>
      <c r="AI13" s="60">
        <f t="shared" si="1"/>
        <v>514830.29751944693</v>
      </c>
      <c r="AJ13" s="60">
        <f t="shared" si="1"/>
        <v>471468.88351451524</v>
      </c>
      <c r="AK13" s="60">
        <f t="shared" si="1"/>
        <v>423954.1881832006</v>
      </c>
      <c r="AL13" s="60">
        <f t="shared" si="1"/>
        <v>372403.31657041231</v>
      </c>
      <c r="AM13" s="60">
        <f t="shared" si="1"/>
        <v>315280.17480950634</v>
      </c>
    </row>
    <row r="14" spans="1:39">
      <c r="A14" s="28" t="s">
        <v>100</v>
      </c>
      <c r="P14" s="60">
        <f t="shared" ref="P14:T16" si="2">+P5*P$10</f>
        <v>79635.328268367462</v>
      </c>
      <c r="Q14" s="60">
        <f t="shared" si="2"/>
        <v>85159.176040457169</v>
      </c>
      <c r="R14" s="60">
        <f t="shared" si="2"/>
        <v>90141.525823358286</v>
      </c>
      <c r="S14" s="60">
        <f t="shared" si="2"/>
        <v>94505.884284377418</v>
      </c>
      <c r="T14" s="60">
        <f t="shared" si="2"/>
        <v>98080.826115832984</v>
      </c>
      <c r="U14" s="60">
        <f>+U5*U$10</f>
        <v>101734.31142613984</v>
      </c>
      <c r="V14" s="60">
        <f t="shared" ref="V14:AM14" si="3">+V5*V$10</f>
        <v>104289.87467715891</v>
      </c>
      <c r="W14" s="60">
        <f t="shared" si="3"/>
        <v>106829.77365957372</v>
      </c>
      <c r="X14" s="60">
        <f t="shared" si="3"/>
        <v>109353.54905355547</v>
      </c>
      <c r="Y14" s="60">
        <f t="shared" si="3"/>
        <v>111861.0883879566</v>
      </c>
      <c r="Z14" s="60">
        <f t="shared" si="3"/>
        <v>114352.21354179787</v>
      </c>
      <c r="AA14" s="60">
        <f t="shared" si="3"/>
        <v>116826.67972891316</v>
      </c>
      <c r="AB14" s="60">
        <f t="shared" si="3"/>
        <v>119284.1744131778</v>
      </c>
      <c r="AC14" s="60">
        <f t="shared" si="3"/>
        <v>121714.0144885402</v>
      </c>
      <c r="AD14" s="60">
        <f t="shared" si="3"/>
        <v>124115.48723462012</v>
      </c>
      <c r="AE14" s="60">
        <f t="shared" si="3"/>
        <v>126498.2885687754</v>
      </c>
      <c r="AF14" s="60">
        <f t="shared" si="3"/>
        <v>128861.82836759867</v>
      </c>
      <c r="AG14" s="60">
        <f t="shared" si="3"/>
        <v>131205.44287159518</v>
      </c>
      <c r="AH14" s="60">
        <f t="shared" si="3"/>
        <v>133528.39318858852</v>
      </c>
      <c r="AI14" s="60">
        <f t="shared" si="3"/>
        <v>135829.86372037689</v>
      </c>
      <c r="AJ14" s="60">
        <f t="shared" si="3"/>
        <v>138108.96051124498</v>
      </c>
      <c r="AK14" s="60">
        <f t="shared" si="3"/>
        <v>140364.70951687652</v>
      </c>
      <c r="AL14" s="60">
        <f t="shared" si="3"/>
        <v>142596.05479214963</v>
      </c>
      <c r="AM14" s="60">
        <f t="shared" si="3"/>
        <v>144801.85659623519</v>
      </c>
    </row>
    <row r="15" spans="1:39">
      <c r="A15" s="28" t="s">
        <v>254</v>
      </c>
      <c r="P15" s="60">
        <f t="shared" si="2"/>
        <v>-21681.811074787769</v>
      </c>
      <c r="Q15" s="60">
        <f t="shared" si="2"/>
        <v>-22152.122083191502</v>
      </c>
      <c r="R15" s="60">
        <f t="shared" si="2"/>
        <v>-22502.003692857455</v>
      </c>
      <c r="S15" s="60">
        <f t="shared" si="2"/>
        <v>-23191.556843897808</v>
      </c>
      <c r="T15" s="60">
        <f t="shared" si="2"/>
        <v>-23390.352658706488</v>
      </c>
      <c r="U15" s="60">
        <f>+U6*U$10</f>
        <v>-24014.902566747678</v>
      </c>
      <c r="V15" s="60">
        <f t="shared" ref="V15:AM15" si="4">+V6*V$10</f>
        <v>-24328.452248174897</v>
      </c>
      <c r="W15" s="60">
        <f t="shared" si="4"/>
        <v>-25072.474882649763</v>
      </c>
      <c r="X15" s="60">
        <f t="shared" si="4"/>
        <v>-25831.060352837194</v>
      </c>
      <c r="Y15" s="60">
        <f t="shared" si="4"/>
        <v>-26604.703675663804</v>
      </c>
      <c r="Z15" s="60">
        <f t="shared" si="4"/>
        <v>-27393.904704303139</v>
      </c>
      <c r="AA15" s="60">
        <f t="shared" si="4"/>
        <v>-28199.168673159696</v>
      </c>
      <c r="AB15" s="60">
        <f t="shared" si="4"/>
        <v>-29021.006722995968</v>
      </c>
      <c r="AC15" s="60">
        <f t="shared" si="4"/>
        <v>-29853.865219306404</v>
      </c>
      <c r="AD15" s="60">
        <f t="shared" si="4"/>
        <v>-30704.106066840719</v>
      </c>
      <c r="AE15" s="60">
        <f t="shared" si="4"/>
        <v>-31572.252873474579</v>
      </c>
      <c r="AF15" s="60">
        <f t="shared" si="4"/>
        <v>-32458.836905614877</v>
      </c>
      <c r="AG15" s="60">
        <f t="shared" si="4"/>
        <v>-33364.397537210265</v>
      </c>
      <c r="AH15" s="60">
        <f t="shared" si="4"/>
        <v>-34289.482689790188</v>
      </c>
      <c r="AI15" s="60">
        <f t="shared" si="4"/>
        <v>-35234.6492648977</v>
      </c>
      <c r="AJ15" s="60">
        <f t="shared" si="4"/>
        <v>-36200.463570176267</v>
      </c>
      <c r="AK15" s="60">
        <f t="shared" si="4"/>
        <v>-37187.501740274245</v>
      </c>
      <c r="AL15" s="60">
        <f t="shared" si="4"/>
        <v>-38196.350153643551</v>
      </c>
      <c r="AM15" s="60">
        <f t="shared" si="4"/>
        <v>-39227.605846230261</v>
      </c>
    </row>
    <row r="16" spans="1:39">
      <c r="A16" s="28" t="s">
        <v>255</v>
      </c>
      <c r="P16" s="60">
        <f t="shared" si="2"/>
        <v>25888.146797045101</v>
      </c>
      <c r="Q16" s="60">
        <f t="shared" si="2"/>
        <v>27295.701221817664</v>
      </c>
      <c r="R16" s="60">
        <f t="shared" si="2"/>
        <v>28436.893397456777</v>
      </c>
      <c r="S16" s="60">
        <f t="shared" si="2"/>
        <v>29856.329352994562</v>
      </c>
      <c r="T16" s="60">
        <f t="shared" si="2"/>
        <v>30955.298417836966</v>
      </c>
      <c r="U16" s="60">
        <f>+U7*U$10</f>
        <v>32008.909547912983</v>
      </c>
      <c r="V16" s="60">
        <f t="shared" ref="V16:AM16" si="5">+V7*V$10</f>
        <v>32964.016945842202</v>
      </c>
      <c r="W16" s="60">
        <f t="shared" si="5"/>
        <v>33966.923839728435</v>
      </c>
      <c r="X16" s="60">
        <f t="shared" si="5"/>
        <v>35113.438516296708</v>
      </c>
      <c r="Y16" s="60">
        <f t="shared" si="5"/>
        <v>36284.481567710347</v>
      </c>
      <c r="Z16" s="60">
        <f t="shared" si="5"/>
        <v>37379.09965210277</v>
      </c>
      <c r="AA16" s="60">
        <f t="shared" si="5"/>
        <v>38430.888950066968</v>
      </c>
      <c r="AB16" s="60">
        <f t="shared" si="5"/>
        <v>39514.788009995755</v>
      </c>
      <c r="AC16" s="60">
        <f t="shared" si="5"/>
        <v>40377.243325555944</v>
      </c>
      <c r="AD16" s="60">
        <f t="shared" si="5"/>
        <v>41346.099028667319</v>
      </c>
      <c r="AE16" s="60">
        <f t="shared" si="5"/>
        <v>42499.768886217076</v>
      </c>
      <c r="AF16" s="60">
        <f t="shared" si="5"/>
        <v>43722.891554212569</v>
      </c>
      <c r="AG16" s="60">
        <f t="shared" si="5"/>
        <v>44736.718184963742</v>
      </c>
      <c r="AH16" s="60">
        <f t="shared" si="5"/>
        <v>46030.249923232077</v>
      </c>
      <c r="AI16" s="60">
        <f t="shared" si="5"/>
        <v>47381.593390272807</v>
      </c>
      <c r="AJ16" s="60">
        <f t="shared" si="5"/>
        <v>48712.605928273239</v>
      </c>
      <c r="AK16" s="60">
        <f t="shared" si="5"/>
        <v>50166.289260075617</v>
      </c>
      <c r="AL16" s="60">
        <f t="shared" si="5"/>
        <v>51694.889003777687</v>
      </c>
      <c r="AM16" s="60">
        <f t="shared" si="5"/>
        <v>25541.861981374033</v>
      </c>
    </row>
    <row r="17" spans="1:39">
      <c r="A17" s="28" t="s">
        <v>299</v>
      </c>
      <c r="P17" s="60">
        <f>(+P8-O8)*P10</f>
        <v>-23759.570802595987</v>
      </c>
      <c r="Q17" s="60">
        <f t="shared" ref="Q17:U17" si="6">(+Q8-P8)*Q10</f>
        <v>-4494.00529291973</v>
      </c>
      <c r="R17" s="60">
        <f t="shared" si="6"/>
        <v>7011.6782198433948</v>
      </c>
      <c r="S17" s="60">
        <f t="shared" si="6"/>
        <v>1281.2947055492345</v>
      </c>
      <c r="T17" s="60">
        <f t="shared" si="6"/>
        <v>-414.39741132682002</v>
      </c>
      <c r="U17" s="60">
        <f t="shared" si="6"/>
        <v>-2091.2066988466031</v>
      </c>
      <c r="V17" s="60">
        <f t="shared" ref="V17" si="7">(+V8-U8)*V10</f>
        <v>-3373.2652453859291</v>
      </c>
      <c r="W17" s="60">
        <f t="shared" ref="W17" si="8">(+W8-V8)*W10</f>
        <v>-4399.3970878391447</v>
      </c>
      <c r="X17" s="60">
        <f t="shared" ref="X17" si="9">(+X8-W8)*X10</f>
        <v>-5389.8255929876705</v>
      </c>
      <c r="Y17" s="60">
        <f t="shared" ref="Y17" si="10">(+Y8-X8)*Y10</f>
        <v>-6406.0677001783606</v>
      </c>
      <c r="Z17" s="60">
        <f t="shared" ref="Z17" si="11">(+Z8-Y8)*Z10</f>
        <v>-7569.6185351871691</v>
      </c>
      <c r="AA17" s="60">
        <f t="shared" ref="AA17" si="12">(+AA8-Z8)*AA10</f>
        <v>-8844.1585180034435</v>
      </c>
      <c r="AB17" s="60">
        <f t="shared" ref="AB17" si="13">(+AB8-AA8)*AB10</f>
        <v>-10205.346654088016</v>
      </c>
      <c r="AC17" s="60">
        <f t="shared" ref="AC17" si="14">(+AC8-AB8)*AC10</f>
        <v>-11905.649193767293</v>
      </c>
      <c r="AD17" s="60">
        <f t="shared" ref="AD17" si="15">(+AD8-AC8)*AD10</f>
        <v>-13633.182106998051</v>
      </c>
      <c r="AE17" s="60">
        <f t="shared" ref="AE17" si="16">(+AE8-AD8)*AE10</f>
        <v>-15274.369428975282</v>
      </c>
      <c r="AF17" s="60">
        <f t="shared" ref="AF17" si="17">(+AF8-AE8)*AF10</f>
        <v>-16911.777526282578</v>
      </c>
      <c r="AG17" s="60">
        <f t="shared" ref="AG17" si="18">(+AG8-AF8)*AG10</f>
        <v>-18873.795701951971</v>
      </c>
      <c r="AH17" s="60">
        <f t="shared" ref="AH17" si="19">(+AH8-AG8)*AH10</f>
        <v>-20799.831735753021</v>
      </c>
      <c r="AI17" s="60">
        <f t="shared" ref="AI17" si="20">(+AI8-AH8)*AI10</f>
        <v>-22736.593553315015</v>
      </c>
      <c r="AJ17" s="60">
        <f t="shared" ref="AJ17" si="21">(+AJ8-AI8)*AJ10</f>
        <v>-24846.730923934836</v>
      </c>
      <c r="AK17" s="60">
        <f t="shared" ref="AK17" si="22">(+AK8-AJ8)*AK10</f>
        <v>-27049.457196032814</v>
      </c>
      <c r="AL17" s="60">
        <f t="shared" ref="AL17" si="23">(+AL8-AK8)*AL10</f>
        <v>-29359.753758888855</v>
      </c>
      <c r="AM17" s="60">
        <f t="shared" ref="AM17" si="24">(+AM8-AL8)*AM10</f>
        <v>-59525.978617666391</v>
      </c>
    </row>
    <row r="18" spans="1:39">
      <c r="E18" s="76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</row>
    <row r="19" spans="1:39">
      <c r="A19" s="28" t="s">
        <v>0</v>
      </c>
      <c r="E19" s="76"/>
      <c r="O19" s="60">
        <f t="shared" ref="O19:T19" si="25">+O13</f>
        <v>744957.4433997185</v>
      </c>
      <c r="P19" s="60">
        <f t="shared" si="25"/>
        <v>758661.65819671738</v>
      </c>
      <c r="Q19" s="60">
        <f t="shared" si="25"/>
        <v>766580.01754963538</v>
      </c>
      <c r="R19" s="60">
        <f t="shared" si="25"/>
        <v>776159.95519581379</v>
      </c>
      <c r="S19" s="60">
        <f t="shared" si="25"/>
        <v>786719.915689555</v>
      </c>
      <c r="T19" s="60">
        <f t="shared" si="25"/>
        <v>792141.04837531818</v>
      </c>
      <c r="U19" s="60">
        <f>+U13</f>
        <v>792229.0828806333</v>
      </c>
      <c r="V19" s="60">
        <f t="shared" ref="V19:AM19" si="26">+V13</f>
        <v>787994.7753592158</v>
      </c>
      <c r="W19" s="60">
        <f t="shared" si="26"/>
        <v>781243.6109585769</v>
      </c>
      <c r="X19" s="60">
        <f t="shared" si="26"/>
        <v>773009.91131012607</v>
      </c>
      <c r="Y19" s="60">
        <f t="shared" si="26"/>
        <v>762908.31845892547</v>
      </c>
      <c r="Z19" s="60">
        <f t="shared" si="26"/>
        <v>750974.66962961329</v>
      </c>
      <c r="AA19" s="60">
        <f t="shared" si="26"/>
        <v>736275.1379491121</v>
      </c>
      <c r="AB19" s="60">
        <f t="shared" si="26"/>
        <v>718736.31542144029</v>
      </c>
      <c r="AC19" s="60">
        <f t="shared" si="26"/>
        <v>697939.88364421797</v>
      </c>
      <c r="AD19" s="60">
        <f t="shared" si="26"/>
        <v>674690.97220729187</v>
      </c>
      <c r="AE19" s="60">
        <f t="shared" si="26"/>
        <v>649564.78413161775</v>
      </c>
      <c r="AF19" s="60">
        <f t="shared" si="26"/>
        <v>621637.98271661671</v>
      </c>
      <c r="AG19" s="60">
        <f t="shared" si="26"/>
        <v>588555.24966378801</v>
      </c>
      <c r="AH19" s="60">
        <f t="shared" si="26"/>
        <v>553473.08676072978</v>
      </c>
      <c r="AI19" s="60">
        <f t="shared" si="26"/>
        <v>514830.29751944693</v>
      </c>
      <c r="AJ19" s="60">
        <f t="shared" si="26"/>
        <v>471468.88351451524</v>
      </c>
      <c r="AK19" s="60">
        <f t="shared" si="26"/>
        <v>423954.1881832006</v>
      </c>
      <c r="AL19" s="60">
        <f t="shared" si="26"/>
        <v>372403.31657041231</v>
      </c>
      <c r="AM19" s="60">
        <f t="shared" si="26"/>
        <v>315280.17480950634</v>
      </c>
    </row>
    <row r="20" spans="1:39">
      <c r="A20" s="28" t="s">
        <v>37</v>
      </c>
      <c r="E20" s="76"/>
      <c r="O20" s="28"/>
      <c r="P20" s="60">
        <f>(O19+P19)/2</f>
        <v>751809.550798218</v>
      </c>
      <c r="Q20" s="60">
        <f t="shared" ref="Q20:U20" si="27">(P19+Q19)/2</f>
        <v>762620.83787317644</v>
      </c>
      <c r="R20" s="60">
        <f t="shared" si="27"/>
        <v>771369.98637272464</v>
      </c>
      <c r="S20" s="60">
        <f t="shared" si="27"/>
        <v>781439.93544268445</v>
      </c>
      <c r="T20" s="60">
        <f t="shared" si="27"/>
        <v>789430.48203243664</v>
      </c>
      <c r="U20" s="60">
        <f t="shared" si="27"/>
        <v>792185.06562797574</v>
      </c>
      <c r="V20" s="60">
        <f t="shared" ref="V20" si="28">(U19+V19)/2</f>
        <v>790111.92911992455</v>
      </c>
      <c r="W20" s="60">
        <f t="shared" ref="W20" si="29">(V19+W19)/2</f>
        <v>784619.19315889641</v>
      </c>
      <c r="X20" s="60">
        <f t="shared" ref="X20" si="30">(W19+X19)/2</f>
        <v>777126.76113435149</v>
      </c>
      <c r="Y20" s="60">
        <f t="shared" ref="Y20" si="31">(X19+Y19)/2</f>
        <v>767959.11488452577</v>
      </c>
      <c r="Z20" s="60">
        <f t="shared" ref="Z20" si="32">(Y19+Z19)/2</f>
        <v>756941.49404426944</v>
      </c>
      <c r="AA20" s="60">
        <f t="shared" ref="AA20" si="33">(Z19+AA19)/2</f>
        <v>743624.90378936264</v>
      </c>
      <c r="AB20" s="60">
        <f t="shared" ref="AB20" si="34">(AA19+AB19)/2</f>
        <v>727505.72668527626</v>
      </c>
      <c r="AC20" s="60">
        <f t="shared" ref="AC20" si="35">(AB19+AC19)/2</f>
        <v>708338.09953282913</v>
      </c>
      <c r="AD20" s="60">
        <f t="shared" ref="AD20" si="36">(AC19+AD19)/2</f>
        <v>686315.42792575492</v>
      </c>
      <c r="AE20" s="60">
        <f t="shared" ref="AE20" si="37">(AD19+AE19)/2</f>
        <v>662127.87816945487</v>
      </c>
      <c r="AF20" s="60">
        <f t="shared" ref="AF20" si="38">(AE19+AF19)/2</f>
        <v>635601.38342411723</v>
      </c>
      <c r="AG20" s="60">
        <f t="shared" ref="AG20" si="39">(AF19+AG19)/2</f>
        <v>605096.6161902023</v>
      </c>
      <c r="AH20" s="60">
        <f t="shared" ref="AH20" si="40">(AG19+AH19)/2</f>
        <v>571014.16821225896</v>
      </c>
      <c r="AI20" s="60">
        <f t="shared" ref="AI20" si="41">(AH19+AI19)/2</f>
        <v>534151.69214008842</v>
      </c>
      <c r="AJ20" s="60">
        <f t="shared" ref="AJ20" si="42">(AI19+AJ19)/2</f>
        <v>493149.59051698109</v>
      </c>
      <c r="AK20" s="60">
        <f t="shared" ref="AK20" si="43">(AJ19+AK19)/2</f>
        <v>447711.53584885795</v>
      </c>
      <c r="AL20" s="60">
        <f t="shared" ref="AL20" si="44">(AK19+AL19)/2</f>
        <v>398178.75237680646</v>
      </c>
      <c r="AM20" s="60">
        <f t="shared" ref="AM20" si="45">(AL19+AM19)/2</f>
        <v>343841.74568995932</v>
      </c>
    </row>
    <row r="21" spans="1:39">
      <c r="A21" s="28" t="s">
        <v>181</v>
      </c>
      <c r="E21" s="76"/>
      <c r="M21" s="77"/>
      <c r="N21" s="77"/>
      <c r="O21" s="77"/>
      <c r="P21" s="122">
        <f>+Inputs!P6</f>
        <v>0.55000000000000004</v>
      </c>
      <c r="Q21" s="122">
        <f>+P21</f>
        <v>0.55000000000000004</v>
      </c>
      <c r="R21" s="122">
        <f t="shared" ref="R21:U21" si="46">+Q21</f>
        <v>0.55000000000000004</v>
      </c>
      <c r="S21" s="122">
        <f t="shared" si="46"/>
        <v>0.55000000000000004</v>
      </c>
      <c r="T21" s="122">
        <f t="shared" si="46"/>
        <v>0.55000000000000004</v>
      </c>
      <c r="U21" s="122">
        <f t="shared" si="46"/>
        <v>0.55000000000000004</v>
      </c>
      <c r="V21" s="122">
        <f t="shared" ref="V21" si="47">+U21</f>
        <v>0.55000000000000004</v>
      </c>
      <c r="W21" s="122">
        <f t="shared" ref="W21" si="48">+V21</f>
        <v>0.55000000000000004</v>
      </c>
      <c r="X21" s="122">
        <f t="shared" ref="X21" si="49">+W21</f>
        <v>0.55000000000000004</v>
      </c>
      <c r="Y21" s="122">
        <f t="shared" ref="Y21" si="50">+X21</f>
        <v>0.55000000000000004</v>
      </c>
      <c r="Z21" s="122">
        <f t="shared" ref="Z21" si="51">+Y21</f>
        <v>0.55000000000000004</v>
      </c>
      <c r="AA21" s="122">
        <f t="shared" ref="AA21" si="52">+Z21</f>
        <v>0.55000000000000004</v>
      </c>
      <c r="AB21" s="122">
        <f t="shared" ref="AB21" si="53">+AA21</f>
        <v>0.55000000000000004</v>
      </c>
      <c r="AC21" s="122">
        <f t="shared" ref="AC21" si="54">+AB21</f>
        <v>0.55000000000000004</v>
      </c>
      <c r="AD21" s="122">
        <f t="shared" ref="AD21" si="55">+AC21</f>
        <v>0.55000000000000004</v>
      </c>
      <c r="AE21" s="122">
        <f t="shared" ref="AE21" si="56">+AD21</f>
        <v>0.55000000000000004</v>
      </c>
      <c r="AF21" s="122">
        <f t="shared" ref="AF21" si="57">+AE21</f>
        <v>0.55000000000000004</v>
      </c>
      <c r="AG21" s="122">
        <f t="shared" ref="AG21" si="58">+AF21</f>
        <v>0.55000000000000004</v>
      </c>
      <c r="AH21" s="122">
        <f t="shared" ref="AH21" si="59">+AG21</f>
        <v>0.55000000000000004</v>
      </c>
      <c r="AI21" s="122">
        <f t="shared" ref="AI21" si="60">+AH21</f>
        <v>0.55000000000000004</v>
      </c>
      <c r="AJ21" s="122">
        <f t="shared" ref="AJ21" si="61">+AI21</f>
        <v>0.55000000000000004</v>
      </c>
      <c r="AK21" s="122">
        <f t="shared" ref="AK21" si="62">+AJ21</f>
        <v>0.55000000000000004</v>
      </c>
      <c r="AL21" s="122">
        <f t="shared" ref="AL21" si="63">+AK21</f>
        <v>0.55000000000000004</v>
      </c>
      <c r="AM21" s="122">
        <f t="shared" ref="AM21" si="64">+AL21</f>
        <v>0.55000000000000004</v>
      </c>
    </row>
    <row r="22" spans="1:39">
      <c r="A22" s="28" t="s">
        <v>36</v>
      </c>
      <c r="E22" s="76"/>
      <c r="P22" s="60">
        <f>+P20*P21</f>
        <v>413495.25293901993</v>
      </c>
      <c r="Q22" s="60">
        <f t="shared" ref="Q22:U22" si="65">+Q20*Q21</f>
        <v>419441.46083024709</v>
      </c>
      <c r="R22" s="60">
        <f t="shared" si="65"/>
        <v>424253.49250499858</v>
      </c>
      <c r="S22" s="60">
        <f t="shared" si="65"/>
        <v>429791.96449347649</v>
      </c>
      <c r="T22" s="60">
        <f t="shared" si="65"/>
        <v>434186.7651178402</v>
      </c>
      <c r="U22" s="60">
        <f t="shared" si="65"/>
        <v>435701.78609538672</v>
      </c>
      <c r="V22" s="60">
        <f t="shared" ref="V22:AM22" si="66">+V20*V21</f>
        <v>434561.56101595855</v>
      </c>
      <c r="W22" s="60">
        <f t="shared" si="66"/>
        <v>431540.55623739306</v>
      </c>
      <c r="X22" s="60">
        <f t="shared" si="66"/>
        <v>427419.71862389334</v>
      </c>
      <c r="Y22" s="60">
        <f t="shared" si="66"/>
        <v>422377.51318648923</v>
      </c>
      <c r="Z22" s="60">
        <f t="shared" si="66"/>
        <v>416317.82172434824</v>
      </c>
      <c r="AA22" s="60">
        <f t="shared" si="66"/>
        <v>408993.69708414946</v>
      </c>
      <c r="AB22" s="60">
        <f t="shared" si="66"/>
        <v>400128.14967690199</v>
      </c>
      <c r="AC22" s="60">
        <f t="shared" si="66"/>
        <v>389585.95474305603</v>
      </c>
      <c r="AD22" s="60">
        <f t="shared" si="66"/>
        <v>377473.48535916524</v>
      </c>
      <c r="AE22" s="60">
        <f t="shared" si="66"/>
        <v>364170.33299320022</v>
      </c>
      <c r="AF22" s="60">
        <f t="shared" si="66"/>
        <v>349580.76088326448</v>
      </c>
      <c r="AG22" s="60">
        <f t="shared" si="66"/>
        <v>332803.13890461129</v>
      </c>
      <c r="AH22" s="60">
        <f t="shared" si="66"/>
        <v>314057.79251674243</v>
      </c>
      <c r="AI22" s="60">
        <f t="shared" si="66"/>
        <v>293783.43067704863</v>
      </c>
      <c r="AJ22" s="60">
        <f t="shared" si="66"/>
        <v>271232.27478433959</v>
      </c>
      <c r="AK22" s="60">
        <f t="shared" si="66"/>
        <v>246241.34471687188</v>
      </c>
      <c r="AL22" s="60">
        <f t="shared" si="66"/>
        <v>218998.31380724357</v>
      </c>
      <c r="AM22" s="60">
        <f t="shared" si="66"/>
        <v>189112.96012947764</v>
      </c>
    </row>
    <row r="23" spans="1:39">
      <c r="A23" s="28" t="s">
        <v>182</v>
      </c>
      <c r="E23" s="76"/>
      <c r="M23" s="77"/>
      <c r="N23" s="77"/>
      <c r="O23" s="77"/>
      <c r="P23" s="122">
        <f>+Inputs!P7</f>
        <v>2.23E-2</v>
      </c>
      <c r="Q23" s="122">
        <f>+Inputs!Q7</f>
        <v>4.58E-2</v>
      </c>
      <c r="R23" s="122">
        <f>+Inputs!R7</f>
        <v>6.93E-2</v>
      </c>
      <c r="S23" s="122">
        <f>+Inputs!S7</f>
        <v>6.93E-2</v>
      </c>
      <c r="T23" s="122">
        <f>+Inputs!T7</f>
        <v>6.93E-2</v>
      </c>
      <c r="U23" s="122">
        <f>+Inputs!U7</f>
        <v>6.93E-2</v>
      </c>
      <c r="V23" s="122">
        <f t="shared" ref="V23" si="67">+U23</f>
        <v>6.93E-2</v>
      </c>
      <c r="W23" s="122">
        <f t="shared" ref="W23" si="68">+V23</f>
        <v>6.93E-2</v>
      </c>
      <c r="X23" s="122">
        <f t="shared" ref="X23" si="69">+W23</f>
        <v>6.93E-2</v>
      </c>
      <c r="Y23" s="122">
        <f t="shared" ref="Y23" si="70">+X23</f>
        <v>6.93E-2</v>
      </c>
      <c r="Z23" s="122">
        <f t="shared" ref="Z23" si="71">+Y23</f>
        <v>6.93E-2</v>
      </c>
      <c r="AA23" s="122">
        <f t="shared" ref="AA23" si="72">+Z23</f>
        <v>6.93E-2</v>
      </c>
      <c r="AB23" s="122">
        <f t="shared" ref="AB23" si="73">+AA23</f>
        <v>6.93E-2</v>
      </c>
      <c r="AC23" s="122">
        <f t="shared" ref="AC23" si="74">+AB23</f>
        <v>6.93E-2</v>
      </c>
      <c r="AD23" s="122">
        <f t="shared" ref="AD23" si="75">+AC23</f>
        <v>6.93E-2</v>
      </c>
      <c r="AE23" s="122">
        <f t="shared" ref="AE23" si="76">+AD23</f>
        <v>6.93E-2</v>
      </c>
      <c r="AF23" s="122">
        <f t="shared" ref="AF23" si="77">+AE23</f>
        <v>6.93E-2</v>
      </c>
      <c r="AG23" s="122">
        <f t="shared" ref="AG23" si="78">+AF23</f>
        <v>6.93E-2</v>
      </c>
      <c r="AH23" s="122">
        <f t="shared" ref="AH23" si="79">+AG23</f>
        <v>6.93E-2</v>
      </c>
      <c r="AI23" s="122">
        <f t="shared" ref="AI23" si="80">+AH23</f>
        <v>6.93E-2</v>
      </c>
      <c r="AJ23" s="122">
        <f t="shared" ref="AJ23" si="81">+AI23</f>
        <v>6.93E-2</v>
      </c>
      <c r="AK23" s="122">
        <f t="shared" ref="AK23" si="82">+AJ23</f>
        <v>6.93E-2</v>
      </c>
      <c r="AL23" s="122">
        <f t="shared" ref="AL23" si="83">+AK23</f>
        <v>6.93E-2</v>
      </c>
      <c r="AM23" s="122">
        <f t="shared" ref="AM23" si="84">+AL23</f>
        <v>6.93E-2</v>
      </c>
    </row>
    <row r="24" spans="1:39">
      <c r="A24" s="98" t="s">
        <v>33</v>
      </c>
      <c r="E24" s="76"/>
      <c r="P24" s="123">
        <f>+P22*P23</f>
        <v>9220.9441405401449</v>
      </c>
      <c r="Q24" s="123">
        <f t="shared" ref="Q24:U24" si="85">+Q22*Q23</f>
        <v>19210.418906025316</v>
      </c>
      <c r="R24" s="123">
        <f t="shared" si="85"/>
        <v>29400.767030596402</v>
      </c>
      <c r="S24" s="123">
        <f t="shared" si="85"/>
        <v>29784.583139397921</v>
      </c>
      <c r="T24" s="123">
        <f t="shared" si="85"/>
        <v>30089.142822666327</v>
      </c>
      <c r="U24" s="123">
        <f t="shared" si="85"/>
        <v>30194.133776410301</v>
      </c>
      <c r="V24" s="123">
        <f t="shared" ref="V24:AM24" si="86">+V22*V23</f>
        <v>30115.116178405926</v>
      </c>
      <c r="W24" s="123">
        <f t="shared" si="86"/>
        <v>29905.760547251339</v>
      </c>
      <c r="X24" s="123">
        <f t="shared" si="86"/>
        <v>29620.186500635809</v>
      </c>
      <c r="Y24" s="123">
        <f t="shared" si="86"/>
        <v>29270.761663823705</v>
      </c>
      <c r="Z24" s="123">
        <f t="shared" si="86"/>
        <v>28850.825045497331</v>
      </c>
      <c r="AA24" s="123">
        <f t="shared" si="86"/>
        <v>28343.263207931559</v>
      </c>
      <c r="AB24" s="123">
        <f t="shared" si="86"/>
        <v>27728.880772609307</v>
      </c>
      <c r="AC24" s="123">
        <f t="shared" si="86"/>
        <v>26998.306663693784</v>
      </c>
      <c r="AD24" s="123">
        <f t="shared" si="86"/>
        <v>26158.912535390151</v>
      </c>
      <c r="AE24" s="123">
        <f t="shared" si="86"/>
        <v>25237.004076428777</v>
      </c>
      <c r="AF24" s="123">
        <f t="shared" si="86"/>
        <v>24225.946729210227</v>
      </c>
      <c r="AG24" s="123">
        <f t="shared" si="86"/>
        <v>23063.257526089561</v>
      </c>
      <c r="AH24" s="123">
        <f t="shared" si="86"/>
        <v>21764.205021410249</v>
      </c>
      <c r="AI24" s="123">
        <f t="shared" si="86"/>
        <v>20359.19174591947</v>
      </c>
      <c r="AJ24" s="123">
        <f t="shared" si="86"/>
        <v>18796.396642554733</v>
      </c>
      <c r="AK24" s="123">
        <f t="shared" si="86"/>
        <v>17064.525188879223</v>
      </c>
      <c r="AL24" s="123">
        <f t="shared" si="86"/>
        <v>15176.58314684198</v>
      </c>
      <c r="AM24" s="123">
        <f t="shared" si="86"/>
        <v>13105.5281369728</v>
      </c>
    </row>
    <row r="25" spans="1:39"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</row>
    <row r="26" spans="1:39">
      <c r="A26" s="1" t="s">
        <v>100</v>
      </c>
      <c r="B26" s="78"/>
      <c r="C26" s="78"/>
      <c r="D26" s="79"/>
      <c r="F26" s="79"/>
      <c r="G26" s="79"/>
      <c r="H26" s="79"/>
      <c r="I26" s="79"/>
      <c r="J26" s="79"/>
      <c r="K26" s="79"/>
      <c r="L26" s="79"/>
      <c r="P26" s="60">
        <f t="shared" ref="P26:T26" si="87">+P14</f>
        <v>79635.328268367462</v>
      </c>
      <c r="Q26" s="60">
        <f t="shared" si="87"/>
        <v>85159.176040457169</v>
      </c>
      <c r="R26" s="60">
        <f t="shared" si="87"/>
        <v>90141.525823358286</v>
      </c>
      <c r="S26" s="60">
        <f t="shared" si="87"/>
        <v>94505.884284377418</v>
      </c>
      <c r="T26" s="60">
        <f t="shared" si="87"/>
        <v>98080.826115832984</v>
      </c>
      <c r="U26" s="60">
        <f>+U14</f>
        <v>101734.31142613984</v>
      </c>
      <c r="V26" s="60">
        <f t="shared" ref="V26:AM26" si="88">+V14</f>
        <v>104289.87467715891</v>
      </c>
      <c r="W26" s="60">
        <f t="shared" si="88"/>
        <v>106829.77365957372</v>
      </c>
      <c r="X26" s="60">
        <f t="shared" si="88"/>
        <v>109353.54905355547</v>
      </c>
      <c r="Y26" s="60">
        <f t="shared" si="88"/>
        <v>111861.0883879566</v>
      </c>
      <c r="Z26" s="60">
        <f t="shared" si="88"/>
        <v>114352.21354179787</v>
      </c>
      <c r="AA26" s="60">
        <f t="shared" si="88"/>
        <v>116826.67972891316</v>
      </c>
      <c r="AB26" s="60">
        <f t="shared" si="88"/>
        <v>119284.1744131778</v>
      </c>
      <c r="AC26" s="60">
        <f t="shared" si="88"/>
        <v>121714.0144885402</v>
      </c>
      <c r="AD26" s="60">
        <f t="shared" si="88"/>
        <v>124115.48723462012</v>
      </c>
      <c r="AE26" s="60">
        <f t="shared" si="88"/>
        <v>126498.2885687754</v>
      </c>
      <c r="AF26" s="60">
        <f t="shared" si="88"/>
        <v>128861.82836759867</v>
      </c>
      <c r="AG26" s="60">
        <f t="shared" si="88"/>
        <v>131205.44287159518</v>
      </c>
      <c r="AH26" s="60">
        <f t="shared" si="88"/>
        <v>133528.39318858852</v>
      </c>
      <c r="AI26" s="60">
        <f t="shared" si="88"/>
        <v>135829.86372037689</v>
      </c>
      <c r="AJ26" s="60">
        <f t="shared" si="88"/>
        <v>138108.96051124498</v>
      </c>
      <c r="AK26" s="60">
        <f t="shared" si="88"/>
        <v>140364.70951687652</v>
      </c>
      <c r="AL26" s="60">
        <f t="shared" si="88"/>
        <v>142596.05479214963</v>
      </c>
      <c r="AM26" s="60">
        <f t="shared" si="88"/>
        <v>144801.85659623519</v>
      </c>
    </row>
    <row r="27" spans="1:39">
      <c r="A27" s="5" t="s">
        <v>111</v>
      </c>
      <c r="B27" s="78"/>
      <c r="C27" s="78"/>
      <c r="D27" s="79"/>
      <c r="F27" s="79"/>
      <c r="G27" s="79"/>
      <c r="H27" s="79"/>
      <c r="I27" s="79"/>
      <c r="J27" s="79"/>
      <c r="K27" s="79"/>
      <c r="L27" s="79"/>
      <c r="P27" s="60">
        <f t="shared" ref="P27:T27" si="89">+P15</f>
        <v>-21681.811074787769</v>
      </c>
      <c r="Q27" s="60">
        <f t="shared" si="89"/>
        <v>-22152.122083191502</v>
      </c>
      <c r="R27" s="60">
        <f t="shared" si="89"/>
        <v>-22502.003692857455</v>
      </c>
      <c r="S27" s="60">
        <f t="shared" si="89"/>
        <v>-23191.556843897808</v>
      </c>
      <c r="T27" s="60">
        <f t="shared" si="89"/>
        <v>-23390.352658706488</v>
      </c>
      <c r="U27" s="60">
        <f>+U15</f>
        <v>-24014.902566747678</v>
      </c>
      <c r="V27" s="60">
        <f t="shared" ref="V27:AM27" si="90">+V15</f>
        <v>-24328.452248174897</v>
      </c>
      <c r="W27" s="60">
        <f t="shared" si="90"/>
        <v>-25072.474882649763</v>
      </c>
      <c r="X27" s="60">
        <f t="shared" si="90"/>
        <v>-25831.060352837194</v>
      </c>
      <c r="Y27" s="60">
        <f t="shared" si="90"/>
        <v>-26604.703675663804</v>
      </c>
      <c r="Z27" s="60">
        <f t="shared" si="90"/>
        <v>-27393.904704303139</v>
      </c>
      <c r="AA27" s="60">
        <f t="shared" si="90"/>
        <v>-28199.168673159696</v>
      </c>
      <c r="AB27" s="60">
        <f t="shared" si="90"/>
        <v>-29021.006722995968</v>
      </c>
      <c r="AC27" s="60">
        <f t="shared" si="90"/>
        <v>-29853.865219306404</v>
      </c>
      <c r="AD27" s="60">
        <f t="shared" si="90"/>
        <v>-30704.106066840719</v>
      </c>
      <c r="AE27" s="60">
        <f t="shared" si="90"/>
        <v>-31572.252873474579</v>
      </c>
      <c r="AF27" s="60">
        <f t="shared" si="90"/>
        <v>-32458.836905614877</v>
      </c>
      <c r="AG27" s="60">
        <f t="shared" si="90"/>
        <v>-33364.397537210265</v>
      </c>
      <c r="AH27" s="60">
        <f t="shared" si="90"/>
        <v>-34289.482689790188</v>
      </c>
      <c r="AI27" s="60">
        <f t="shared" si="90"/>
        <v>-35234.6492648977</v>
      </c>
      <c r="AJ27" s="60">
        <f t="shared" si="90"/>
        <v>-36200.463570176267</v>
      </c>
      <c r="AK27" s="60">
        <f t="shared" si="90"/>
        <v>-37187.501740274245</v>
      </c>
      <c r="AL27" s="60">
        <f t="shared" si="90"/>
        <v>-38196.350153643551</v>
      </c>
      <c r="AM27" s="60">
        <f t="shared" si="90"/>
        <v>-39227.605846230261</v>
      </c>
    </row>
    <row r="28" spans="1:39">
      <c r="A28" s="1" t="s">
        <v>32</v>
      </c>
      <c r="B28" s="78"/>
      <c r="C28" s="78"/>
      <c r="D28" s="79"/>
      <c r="F28" s="79"/>
      <c r="G28" s="79"/>
      <c r="H28" s="79"/>
      <c r="I28" s="79"/>
      <c r="J28" s="79"/>
      <c r="K28" s="79"/>
      <c r="L28" s="79"/>
      <c r="P28" s="60">
        <f>-'UR Tax Calculation'!P25</f>
        <v>-6304.184544632556</v>
      </c>
      <c r="Q28" s="60">
        <f>-'UR Tax Calculation'!Q25</f>
        <v>-5325.6004458283724</v>
      </c>
      <c r="R28" s="60">
        <f>-'UR Tax Calculation'!R25</f>
        <v>-4188.830959768361</v>
      </c>
      <c r="S28" s="60">
        <f>-'UR Tax Calculation'!S25</f>
        <v>-4753.3827042566736</v>
      </c>
      <c r="T28" s="60">
        <f>-'UR Tax Calculation'!T25</f>
        <v>-5353.8800147827433</v>
      </c>
      <c r="U28" s="60">
        <f>-'UR Tax Calculation'!U25</f>
        <v>-5918.3814102947799</v>
      </c>
      <c r="V28" s="60">
        <f>-'UR Tax Calculation'!V25</f>
        <v>-6406.783961763379</v>
      </c>
      <c r="W28" s="60">
        <f>-'UR Tax Calculation'!W25</f>
        <v>-6825.2288767866949</v>
      </c>
      <c r="X28" s="60">
        <f>-'UR Tax Calculation'!X25</f>
        <v>-7228.3859945946506</v>
      </c>
      <c r="Y28" s="60">
        <f>-'UR Tax Calculation'!Y25</f>
        <v>-7626.9434196646789</v>
      </c>
      <c r="Z28" s="60">
        <f>-'UR Tax Calculation'!Z25</f>
        <v>-8018.5058688954814</v>
      </c>
      <c r="AA28" s="60">
        <f>-'UR Tax Calculation'!AA25</f>
        <v>-8427.061241529851</v>
      </c>
      <c r="AB28" s="60">
        <f>-'UR Tax Calculation'!AB25</f>
        <v>-8849.3006740386518</v>
      </c>
      <c r="AC28" s="60">
        <f>-'UR Tax Calculation'!AC25</f>
        <v>-9292.6096977099623</v>
      </c>
      <c r="AD28" s="60">
        <f>-'UR Tax Calculation'!AD25</f>
        <v>-9730.5046545679234</v>
      </c>
      <c r="AE28" s="60">
        <f>-'UR Tax Calculation'!AE25</f>
        <v>-10151.137767084732</v>
      </c>
      <c r="AF28" s="60">
        <f>-'UR Tax Calculation'!AF25</f>
        <v>-10578.746181643879</v>
      </c>
      <c r="AG28" s="60">
        <f>-'UR Tax Calculation'!AG25</f>
        <v>-11068.264179981594</v>
      </c>
      <c r="AH28" s="60">
        <f>-'UR Tax Calculation'!AH25</f>
        <v>-11526.942859988894</v>
      </c>
      <c r="AI28" s="60">
        <f>-'UR Tax Calculation'!AI25</f>
        <v>-12003.55345132119</v>
      </c>
      <c r="AJ28" s="60">
        <f>-'UR Tax Calculation'!AJ25</f>
        <v>-12517.01343931152</v>
      </c>
      <c r="AK28" s="60">
        <f>-'UR Tax Calculation'!AK25</f>
        <v>-13046.176406893746</v>
      </c>
      <c r="AL28" s="60">
        <f>-'UR Tax Calculation'!AL25</f>
        <v>-13585.217217546387</v>
      </c>
      <c r="AM28" s="60">
        <f>-'UR Tax Calculation'!AM25</f>
        <v>-14168.674426474461</v>
      </c>
    </row>
    <row r="29" spans="1:39">
      <c r="A29" s="1" t="s">
        <v>33</v>
      </c>
      <c r="B29" s="78"/>
      <c r="C29" s="78"/>
      <c r="D29" s="79"/>
      <c r="F29" s="79"/>
      <c r="G29" s="79"/>
      <c r="H29" s="79"/>
      <c r="I29" s="79"/>
      <c r="J29" s="79"/>
      <c r="K29" s="79"/>
      <c r="L29" s="79"/>
      <c r="P29" s="60">
        <f t="shared" ref="P29:U29" si="91">-P24</f>
        <v>-9220.9441405401449</v>
      </c>
      <c r="Q29" s="60">
        <f t="shared" si="91"/>
        <v>-19210.418906025316</v>
      </c>
      <c r="R29" s="60">
        <f t="shared" si="91"/>
        <v>-29400.767030596402</v>
      </c>
      <c r="S29" s="60">
        <f t="shared" si="91"/>
        <v>-29784.583139397921</v>
      </c>
      <c r="T29" s="60">
        <f t="shared" si="91"/>
        <v>-30089.142822666327</v>
      </c>
      <c r="U29" s="60">
        <f t="shared" si="91"/>
        <v>-30194.133776410301</v>
      </c>
      <c r="V29" s="60">
        <f t="shared" ref="V29:AM29" si="92">-V24</f>
        <v>-30115.116178405926</v>
      </c>
      <c r="W29" s="60">
        <f t="shared" si="92"/>
        <v>-29905.760547251339</v>
      </c>
      <c r="X29" s="60">
        <f t="shared" si="92"/>
        <v>-29620.186500635809</v>
      </c>
      <c r="Y29" s="60">
        <f t="shared" si="92"/>
        <v>-29270.761663823705</v>
      </c>
      <c r="Z29" s="60">
        <f t="shared" si="92"/>
        <v>-28850.825045497331</v>
      </c>
      <c r="AA29" s="60">
        <f t="shared" si="92"/>
        <v>-28343.263207931559</v>
      </c>
      <c r="AB29" s="60">
        <f t="shared" si="92"/>
        <v>-27728.880772609307</v>
      </c>
      <c r="AC29" s="60">
        <f t="shared" si="92"/>
        <v>-26998.306663693784</v>
      </c>
      <c r="AD29" s="60">
        <f t="shared" si="92"/>
        <v>-26158.912535390151</v>
      </c>
      <c r="AE29" s="60">
        <f t="shared" si="92"/>
        <v>-25237.004076428777</v>
      </c>
      <c r="AF29" s="60">
        <f t="shared" si="92"/>
        <v>-24225.946729210227</v>
      </c>
      <c r="AG29" s="60">
        <f t="shared" si="92"/>
        <v>-23063.257526089561</v>
      </c>
      <c r="AH29" s="60">
        <f t="shared" si="92"/>
        <v>-21764.205021410249</v>
      </c>
      <c r="AI29" s="60">
        <f t="shared" si="92"/>
        <v>-20359.19174591947</v>
      </c>
      <c r="AJ29" s="60">
        <f t="shared" si="92"/>
        <v>-18796.396642554733</v>
      </c>
      <c r="AK29" s="60">
        <f t="shared" si="92"/>
        <v>-17064.525188879223</v>
      </c>
      <c r="AL29" s="60">
        <f t="shared" si="92"/>
        <v>-15176.58314684198</v>
      </c>
      <c r="AM29" s="60">
        <f t="shared" si="92"/>
        <v>-13105.5281369728</v>
      </c>
    </row>
    <row r="30" spans="1:39">
      <c r="A30" s="105" t="s">
        <v>101</v>
      </c>
      <c r="B30" s="78"/>
      <c r="C30" s="78"/>
      <c r="D30" s="79"/>
      <c r="F30" s="79"/>
      <c r="G30" s="79"/>
      <c r="H30" s="79"/>
      <c r="I30" s="79"/>
      <c r="J30" s="79"/>
      <c r="K30" s="79"/>
      <c r="L30" s="79"/>
      <c r="P30" s="123">
        <f t="shared" ref="P30:U30" si="93">SUM(P26:P29)</f>
        <v>42428.388508406999</v>
      </c>
      <c r="Q30" s="123">
        <f t="shared" si="93"/>
        <v>38471.034605411987</v>
      </c>
      <c r="R30" s="123">
        <f t="shared" si="93"/>
        <v>34049.924140136063</v>
      </c>
      <c r="S30" s="123">
        <f t="shared" si="93"/>
        <v>36776.361596825023</v>
      </c>
      <c r="T30" s="123">
        <f t="shared" si="93"/>
        <v>39247.450619677431</v>
      </c>
      <c r="U30" s="123">
        <f t="shared" si="93"/>
        <v>41606.893672687082</v>
      </c>
      <c r="V30" s="123">
        <f t="shared" ref="V30:AM30" si="94">SUM(V26:V29)</f>
        <v>43439.522288814711</v>
      </c>
      <c r="W30" s="123">
        <f t="shared" si="94"/>
        <v>45026.309352885917</v>
      </c>
      <c r="X30" s="123">
        <f t="shared" si="94"/>
        <v>46673.916205487811</v>
      </c>
      <c r="Y30" s="123">
        <f t="shared" si="94"/>
        <v>48358.679628804399</v>
      </c>
      <c r="Z30" s="123">
        <f t="shared" si="94"/>
        <v>50088.97792310192</v>
      </c>
      <c r="AA30" s="123">
        <f t="shared" si="94"/>
        <v>51857.186606292053</v>
      </c>
      <c r="AB30" s="123">
        <f t="shared" si="94"/>
        <v>53684.986243533873</v>
      </c>
      <c r="AC30" s="123">
        <f t="shared" si="94"/>
        <v>55569.232907830039</v>
      </c>
      <c r="AD30" s="123">
        <f t="shared" si="94"/>
        <v>57521.963977821331</v>
      </c>
      <c r="AE30" s="123">
        <f t="shared" si="94"/>
        <v>59537.89385178731</v>
      </c>
      <c r="AF30" s="123">
        <f t="shared" si="94"/>
        <v>61598.298551129694</v>
      </c>
      <c r="AG30" s="123">
        <f t="shared" si="94"/>
        <v>63709.523628313771</v>
      </c>
      <c r="AH30" s="123">
        <f t="shared" si="94"/>
        <v>65947.762617399188</v>
      </c>
      <c r="AI30" s="123">
        <f t="shared" si="94"/>
        <v>68232.469258238532</v>
      </c>
      <c r="AJ30" s="123">
        <f t="shared" si="94"/>
        <v>70595.086859202449</v>
      </c>
      <c r="AK30" s="123">
        <f t="shared" si="94"/>
        <v>73066.506180829296</v>
      </c>
      <c r="AL30" s="123">
        <f t="shared" si="94"/>
        <v>75637.904274117711</v>
      </c>
      <c r="AM30" s="123">
        <f t="shared" si="94"/>
        <v>78300.048186557658</v>
      </c>
    </row>
    <row r="31" spans="1:39">
      <c r="A31" s="105"/>
      <c r="B31" s="78"/>
      <c r="C31" s="78"/>
      <c r="D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>
      <c r="A32" s="1" t="s">
        <v>102</v>
      </c>
      <c r="B32" s="78"/>
      <c r="C32" s="78"/>
      <c r="D32" s="79"/>
      <c r="F32" s="79"/>
      <c r="G32" s="79"/>
      <c r="H32" s="79"/>
      <c r="I32" s="79"/>
      <c r="J32" s="79"/>
      <c r="K32" s="79"/>
      <c r="L32" s="79"/>
      <c r="P32" s="60">
        <f>+P30</f>
        <v>42428.388508406999</v>
      </c>
      <c r="Q32" s="60">
        <f t="shared" ref="Q32:U32" si="95">+Q30</f>
        <v>38471.034605411987</v>
      </c>
      <c r="R32" s="60">
        <f t="shared" si="95"/>
        <v>34049.924140136063</v>
      </c>
      <c r="S32" s="60">
        <f t="shared" si="95"/>
        <v>36776.361596825023</v>
      </c>
      <c r="T32" s="60">
        <f t="shared" si="95"/>
        <v>39247.450619677431</v>
      </c>
      <c r="U32" s="60">
        <f t="shared" si="95"/>
        <v>41606.893672687082</v>
      </c>
      <c r="V32" s="60">
        <f t="shared" ref="V32:AM32" si="96">+V30</f>
        <v>43439.522288814711</v>
      </c>
      <c r="W32" s="60">
        <f t="shared" si="96"/>
        <v>45026.309352885917</v>
      </c>
      <c r="X32" s="60">
        <f t="shared" si="96"/>
        <v>46673.916205487811</v>
      </c>
      <c r="Y32" s="60">
        <f t="shared" si="96"/>
        <v>48358.679628804399</v>
      </c>
      <c r="Z32" s="60">
        <f t="shared" si="96"/>
        <v>50088.97792310192</v>
      </c>
      <c r="AA32" s="60">
        <f t="shared" si="96"/>
        <v>51857.186606292053</v>
      </c>
      <c r="AB32" s="60">
        <f t="shared" si="96"/>
        <v>53684.986243533873</v>
      </c>
      <c r="AC32" s="60">
        <f t="shared" si="96"/>
        <v>55569.232907830039</v>
      </c>
      <c r="AD32" s="60">
        <f t="shared" si="96"/>
        <v>57521.963977821331</v>
      </c>
      <c r="AE32" s="60">
        <f t="shared" si="96"/>
        <v>59537.89385178731</v>
      </c>
      <c r="AF32" s="60">
        <f t="shared" si="96"/>
        <v>61598.298551129694</v>
      </c>
      <c r="AG32" s="60">
        <f t="shared" si="96"/>
        <v>63709.523628313771</v>
      </c>
      <c r="AH32" s="60">
        <f t="shared" si="96"/>
        <v>65947.762617399188</v>
      </c>
      <c r="AI32" s="60">
        <f t="shared" si="96"/>
        <v>68232.469258238532</v>
      </c>
      <c r="AJ32" s="60">
        <f t="shared" si="96"/>
        <v>70595.086859202449</v>
      </c>
      <c r="AK32" s="60">
        <f t="shared" si="96"/>
        <v>73066.506180829296</v>
      </c>
      <c r="AL32" s="60">
        <f t="shared" si="96"/>
        <v>75637.904274117711</v>
      </c>
      <c r="AM32" s="60">
        <f t="shared" si="96"/>
        <v>78300.048186557658</v>
      </c>
    </row>
    <row r="33" spans="1:39">
      <c r="A33" s="1" t="s">
        <v>33</v>
      </c>
      <c r="B33" s="78"/>
      <c r="C33" s="78"/>
      <c r="D33" s="79"/>
      <c r="F33" s="79"/>
      <c r="G33" s="79"/>
      <c r="H33" s="79"/>
      <c r="I33" s="79"/>
      <c r="J33" s="79"/>
      <c r="K33" s="79"/>
      <c r="L33" s="79"/>
      <c r="P33" s="60">
        <f t="shared" ref="P33" si="97">-P29</f>
        <v>9220.9441405401449</v>
      </c>
      <c r="Q33" s="60">
        <f t="shared" ref="Q33:U33" si="98">-Q29</f>
        <v>19210.418906025316</v>
      </c>
      <c r="R33" s="60">
        <f t="shared" si="98"/>
        <v>29400.767030596402</v>
      </c>
      <c r="S33" s="60">
        <f t="shared" si="98"/>
        <v>29784.583139397921</v>
      </c>
      <c r="T33" s="60">
        <f t="shared" si="98"/>
        <v>30089.142822666327</v>
      </c>
      <c r="U33" s="60">
        <f t="shared" si="98"/>
        <v>30194.133776410301</v>
      </c>
      <c r="V33" s="60">
        <f t="shared" ref="V33:AM33" si="99">-V29</f>
        <v>30115.116178405926</v>
      </c>
      <c r="W33" s="60">
        <f t="shared" si="99"/>
        <v>29905.760547251339</v>
      </c>
      <c r="X33" s="60">
        <f t="shared" si="99"/>
        <v>29620.186500635809</v>
      </c>
      <c r="Y33" s="60">
        <f t="shared" si="99"/>
        <v>29270.761663823705</v>
      </c>
      <c r="Z33" s="60">
        <f t="shared" si="99"/>
        <v>28850.825045497331</v>
      </c>
      <c r="AA33" s="60">
        <f t="shared" si="99"/>
        <v>28343.263207931559</v>
      </c>
      <c r="AB33" s="60">
        <f t="shared" si="99"/>
        <v>27728.880772609307</v>
      </c>
      <c r="AC33" s="60">
        <f t="shared" si="99"/>
        <v>26998.306663693784</v>
      </c>
      <c r="AD33" s="60">
        <f t="shared" si="99"/>
        <v>26158.912535390151</v>
      </c>
      <c r="AE33" s="60">
        <f t="shared" si="99"/>
        <v>25237.004076428777</v>
      </c>
      <c r="AF33" s="60">
        <f t="shared" si="99"/>
        <v>24225.946729210227</v>
      </c>
      <c r="AG33" s="60">
        <f t="shared" si="99"/>
        <v>23063.257526089561</v>
      </c>
      <c r="AH33" s="60">
        <f t="shared" si="99"/>
        <v>21764.205021410249</v>
      </c>
      <c r="AI33" s="60">
        <f t="shared" si="99"/>
        <v>20359.19174591947</v>
      </c>
      <c r="AJ33" s="60">
        <f t="shared" si="99"/>
        <v>18796.396642554733</v>
      </c>
      <c r="AK33" s="60">
        <f t="shared" si="99"/>
        <v>17064.525188879223</v>
      </c>
      <c r="AL33" s="60">
        <f t="shared" si="99"/>
        <v>15176.58314684198</v>
      </c>
      <c r="AM33" s="60">
        <f t="shared" si="99"/>
        <v>13105.5281369728</v>
      </c>
    </row>
    <row r="34" spans="1:39">
      <c r="A34" s="1" t="s">
        <v>103</v>
      </c>
      <c r="B34" s="78"/>
      <c r="C34" s="78"/>
      <c r="D34" s="79"/>
      <c r="F34" s="79"/>
      <c r="G34" s="79"/>
      <c r="H34" s="79"/>
      <c r="I34" s="79"/>
      <c r="J34" s="79"/>
      <c r="K34" s="79"/>
      <c r="L34" s="79"/>
      <c r="P34" s="60">
        <f t="shared" ref="P34" si="100">+P32+P33</f>
        <v>51649.332648947144</v>
      </c>
      <c r="Q34" s="60">
        <f t="shared" ref="Q34:U34" si="101">+Q32+Q33</f>
        <v>57681.453511437299</v>
      </c>
      <c r="R34" s="60">
        <f t="shared" si="101"/>
        <v>63450.691170732462</v>
      </c>
      <c r="S34" s="60">
        <f t="shared" si="101"/>
        <v>66560.94473622294</v>
      </c>
      <c r="T34" s="60">
        <f t="shared" si="101"/>
        <v>69336.593442343757</v>
      </c>
      <c r="U34" s="60">
        <f t="shared" si="101"/>
        <v>71801.027449097382</v>
      </c>
      <c r="V34" s="60">
        <f t="shared" ref="V34:AM34" si="102">+V32+V33</f>
        <v>73554.638467220633</v>
      </c>
      <c r="W34" s="60">
        <f t="shared" si="102"/>
        <v>74932.069900137256</v>
      </c>
      <c r="X34" s="60">
        <f t="shared" si="102"/>
        <v>76294.102706123624</v>
      </c>
      <c r="Y34" s="60">
        <f t="shared" si="102"/>
        <v>77629.441292628107</v>
      </c>
      <c r="Z34" s="60">
        <f t="shared" si="102"/>
        <v>78939.802968599251</v>
      </c>
      <c r="AA34" s="60">
        <f t="shared" si="102"/>
        <v>80200.449814223612</v>
      </c>
      <c r="AB34" s="60">
        <f t="shared" si="102"/>
        <v>81413.86701614318</v>
      </c>
      <c r="AC34" s="60">
        <f t="shared" si="102"/>
        <v>82567.539571523826</v>
      </c>
      <c r="AD34" s="60">
        <f t="shared" si="102"/>
        <v>83680.876513211479</v>
      </c>
      <c r="AE34" s="60">
        <f t="shared" si="102"/>
        <v>84774.897928216087</v>
      </c>
      <c r="AF34" s="60">
        <f t="shared" si="102"/>
        <v>85824.245280339921</v>
      </c>
      <c r="AG34" s="60">
        <f t="shared" si="102"/>
        <v>86772.781154403332</v>
      </c>
      <c r="AH34" s="60">
        <f t="shared" si="102"/>
        <v>87711.967638809438</v>
      </c>
      <c r="AI34" s="60">
        <f t="shared" si="102"/>
        <v>88591.661004157999</v>
      </c>
      <c r="AJ34" s="60">
        <f t="shared" si="102"/>
        <v>89391.483501757175</v>
      </c>
      <c r="AK34" s="60">
        <f t="shared" si="102"/>
        <v>90131.031369708522</v>
      </c>
      <c r="AL34" s="60">
        <f t="shared" si="102"/>
        <v>90814.487420959689</v>
      </c>
      <c r="AM34" s="60">
        <f t="shared" si="102"/>
        <v>91405.576323530462</v>
      </c>
    </row>
    <row r="35" spans="1:39">
      <c r="A35" s="1" t="s">
        <v>33</v>
      </c>
      <c r="B35" s="78"/>
      <c r="C35" s="78"/>
      <c r="D35" s="79"/>
      <c r="F35" s="79"/>
      <c r="G35" s="79"/>
      <c r="H35" s="79"/>
      <c r="I35" s="79"/>
      <c r="J35" s="79"/>
      <c r="K35" s="79"/>
      <c r="L35" s="79"/>
      <c r="P35" s="60">
        <f>+P33</f>
        <v>9220.9441405401449</v>
      </c>
      <c r="Q35" s="60">
        <f t="shared" ref="Q35:U35" si="103">+Q33</f>
        <v>19210.418906025316</v>
      </c>
      <c r="R35" s="60">
        <f t="shared" si="103"/>
        <v>29400.767030596402</v>
      </c>
      <c r="S35" s="60">
        <f t="shared" si="103"/>
        <v>29784.583139397921</v>
      </c>
      <c r="T35" s="60">
        <f t="shared" si="103"/>
        <v>30089.142822666327</v>
      </c>
      <c r="U35" s="60">
        <f t="shared" si="103"/>
        <v>30194.133776410301</v>
      </c>
      <c r="V35" s="60">
        <f t="shared" ref="V35:AM35" si="104">+V33</f>
        <v>30115.116178405926</v>
      </c>
      <c r="W35" s="60">
        <f t="shared" si="104"/>
        <v>29905.760547251339</v>
      </c>
      <c r="X35" s="60">
        <f t="shared" si="104"/>
        <v>29620.186500635809</v>
      </c>
      <c r="Y35" s="60">
        <f t="shared" si="104"/>
        <v>29270.761663823705</v>
      </c>
      <c r="Z35" s="60">
        <f t="shared" si="104"/>
        <v>28850.825045497331</v>
      </c>
      <c r="AA35" s="60">
        <f t="shared" si="104"/>
        <v>28343.263207931559</v>
      </c>
      <c r="AB35" s="60">
        <f t="shared" si="104"/>
        <v>27728.880772609307</v>
      </c>
      <c r="AC35" s="60">
        <f t="shared" si="104"/>
        <v>26998.306663693784</v>
      </c>
      <c r="AD35" s="60">
        <f t="shared" si="104"/>
        <v>26158.912535390151</v>
      </c>
      <c r="AE35" s="60">
        <f t="shared" si="104"/>
        <v>25237.004076428777</v>
      </c>
      <c r="AF35" s="60">
        <f t="shared" si="104"/>
        <v>24225.946729210227</v>
      </c>
      <c r="AG35" s="60">
        <f t="shared" si="104"/>
        <v>23063.257526089561</v>
      </c>
      <c r="AH35" s="60">
        <f t="shared" si="104"/>
        <v>21764.205021410249</v>
      </c>
      <c r="AI35" s="60">
        <f t="shared" si="104"/>
        <v>20359.19174591947</v>
      </c>
      <c r="AJ35" s="60">
        <f t="shared" si="104"/>
        <v>18796.396642554733</v>
      </c>
      <c r="AK35" s="60">
        <f t="shared" si="104"/>
        <v>17064.525188879223</v>
      </c>
      <c r="AL35" s="60">
        <f t="shared" si="104"/>
        <v>15176.58314684198</v>
      </c>
      <c r="AM35" s="60">
        <f t="shared" si="104"/>
        <v>13105.5281369728</v>
      </c>
    </row>
    <row r="36" spans="1:39">
      <c r="A36" s="105" t="s">
        <v>104</v>
      </c>
      <c r="B36" s="78"/>
      <c r="C36" s="78"/>
      <c r="D36" s="79"/>
      <c r="F36" s="79"/>
      <c r="G36" s="79"/>
      <c r="H36" s="79"/>
      <c r="I36" s="79"/>
      <c r="J36" s="79"/>
      <c r="K36" s="79"/>
      <c r="L36" s="79"/>
      <c r="P36" s="124">
        <f t="shared" ref="P36" si="105">+P34/P35</f>
        <v>5.6013063154638765</v>
      </c>
      <c r="Q36" s="124">
        <f t="shared" ref="Q36:U36" si="106">+Q34/Q35</f>
        <v>3.0026129983737944</v>
      </c>
      <c r="R36" s="124">
        <f t="shared" si="106"/>
        <v>2.1581304700214603</v>
      </c>
      <c r="S36" s="124">
        <f t="shared" si="106"/>
        <v>2.2347448820990428</v>
      </c>
      <c r="T36" s="124">
        <f t="shared" si="106"/>
        <v>2.3043725057568638</v>
      </c>
      <c r="U36" s="124">
        <f t="shared" si="106"/>
        <v>2.3779793777423479</v>
      </c>
      <c r="V36" s="124">
        <f t="shared" ref="V36:AM36" si="107">+V34/V35</f>
        <v>2.4424491020214978</v>
      </c>
      <c r="W36" s="124">
        <f t="shared" si="107"/>
        <v>2.5056065630480786</v>
      </c>
      <c r="X36" s="124">
        <f t="shared" si="107"/>
        <v>2.5757468712928575</v>
      </c>
      <c r="Y36" s="124">
        <f t="shared" si="107"/>
        <v>2.6521155200608195</v>
      </c>
      <c r="Z36" s="124">
        <f t="shared" si="107"/>
        <v>2.7361367601831952</v>
      </c>
      <c r="AA36" s="124">
        <f t="shared" si="107"/>
        <v>2.8296124276819463</v>
      </c>
      <c r="AB36" s="124">
        <f t="shared" si="107"/>
        <v>2.9360675493460273</v>
      </c>
      <c r="AC36" s="124">
        <f t="shared" si="107"/>
        <v>3.0582488227884776</v>
      </c>
      <c r="AD36" s="124">
        <f t="shared" si="107"/>
        <v>3.198943243531259</v>
      </c>
      <c r="AE36" s="124">
        <f t="shared" si="107"/>
        <v>3.3591506215032623</v>
      </c>
      <c r="AF36" s="124">
        <f t="shared" si="107"/>
        <v>3.5426580533531049</v>
      </c>
      <c r="AG36" s="124">
        <f t="shared" si="107"/>
        <v>3.7623818342332798</v>
      </c>
      <c r="AH36" s="124">
        <f t="shared" si="107"/>
        <v>4.0301020667892047</v>
      </c>
      <c r="AI36" s="124">
        <f t="shared" si="107"/>
        <v>4.3514331074520261</v>
      </c>
      <c r="AJ36" s="124">
        <f t="shared" si="107"/>
        <v>4.7557776738641664</v>
      </c>
      <c r="AK36" s="124">
        <f t="shared" si="107"/>
        <v>5.2817778620905314</v>
      </c>
      <c r="AL36" s="124">
        <f t="shared" si="107"/>
        <v>5.9838559537597122</v>
      </c>
      <c r="AM36" s="124">
        <f t="shared" si="107"/>
        <v>6.9745816702846675</v>
      </c>
    </row>
    <row r="37" spans="1:39">
      <c r="A37" s="105"/>
      <c r="B37" s="78"/>
      <c r="C37" s="78"/>
      <c r="D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>
      <c r="A38" s="1" t="s">
        <v>102</v>
      </c>
      <c r="B38" s="78"/>
      <c r="C38" s="78"/>
      <c r="D38" s="79"/>
      <c r="F38" s="79"/>
      <c r="G38" s="79"/>
      <c r="H38" s="79"/>
      <c r="I38" s="79"/>
      <c r="J38" s="79"/>
      <c r="K38" s="79"/>
      <c r="L38" s="79"/>
      <c r="P38" s="60">
        <f t="shared" ref="P38" si="108">+P30</f>
        <v>42428.388508406999</v>
      </c>
      <c r="Q38" s="60">
        <f t="shared" ref="Q38:U38" si="109">+Q30</f>
        <v>38471.034605411987</v>
      </c>
      <c r="R38" s="60">
        <f t="shared" si="109"/>
        <v>34049.924140136063</v>
      </c>
      <c r="S38" s="60">
        <f t="shared" si="109"/>
        <v>36776.361596825023</v>
      </c>
      <c r="T38" s="60">
        <f t="shared" si="109"/>
        <v>39247.450619677431</v>
      </c>
      <c r="U38" s="60">
        <f t="shared" si="109"/>
        <v>41606.893672687082</v>
      </c>
      <c r="V38" s="60">
        <f t="shared" ref="V38:AM38" si="110">+V30</f>
        <v>43439.522288814711</v>
      </c>
      <c r="W38" s="60">
        <f t="shared" si="110"/>
        <v>45026.309352885917</v>
      </c>
      <c r="X38" s="60">
        <f t="shared" si="110"/>
        <v>46673.916205487811</v>
      </c>
      <c r="Y38" s="60">
        <f t="shared" si="110"/>
        <v>48358.679628804399</v>
      </c>
      <c r="Z38" s="60">
        <f t="shared" si="110"/>
        <v>50088.97792310192</v>
      </c>
      <c r="AA38" s="60">
        <f t="shared" si="110"/>
        <v>51857.186606292053</v>
      </c>
      <c r="AB38" s="60">
        <f t="shared" si="110"/>
        <v>53684.986243533873</v>
      </c>
      <c r="AC38" s="60">
        <f t="shared" si="110"/>
        <v>55569.232907830039</v>
      </c>
      <c r="AD38" s="60">
        <f t="shared" si="110"/>
        <v>57521.963977821331</v>
      </c>
      <c r="AE38" s="60">
        <f t="shared" si="110"/>
        <v>59537.89385178731</v>
      </c>
      <c r="AF38" s="60">
        <f t="shared" si="110"/>
        <v>61598.298551129694</v>
      </c>
      <c r="AG38" s="60">
        <f t="shared" si="110"/>
        <v>63709.523628313771</v>
      </c>
      <c r="AH38" s="60">
        <f t="shared" si="110"/>
        <v>65947.762617399188</v>
      </c>
      <c r="AI38" s="60">
        <f t="shared" si="110"/>
        <v>68232.469258238532</v>
      </c>
      <c r="AJ38" s="60">
        <f t="shared" si="110"/>
        <v>70595.086859202449</v>
      </c>
      <c r="AK38" s="60">
        <f t="shared" si="110"/>
        <v>73066.506180829296</v>
      </c>
      <c r="AL38" s="60">
        <f t="shared" si="110"/>
        <v>75637.904274117711</v>
      </c>
      <c r="AM38" s="60">
        <f t="shared" si="110"/>
        <v>78300.048186557658</v>
      </c>
    </row>
    <row r="39" spans="1:39">
      <c r="A39" s="55" t="s">
        <v>30</v>
      </c>
      <c r="B39" s="79"/>
      <c r="C39" s="79"/>
      <c r="D39" s="79"/>
      <c r="F39" s="79"/>
      <c r="G39" s="79"/>
      <c r="H39" s="79"/>
      <c r="I39" s="79"/>
      <c r="J39" s="79"/>
      <c r="K39" s="79"/>
      <c r="L39" s="79"/>
      <c r="P39" s="60">
        <f t="shared" ref="P39:T39" si="111">-P16</f>
        <v>-25888.146797045101</v>
      </c>
      <c r="Q39" s="60">
        <f t="shared" si="111"/>
        <v>-27295.701221817664</v>
      </c>
      <c r="R39" s="60">
        <f t="shared" si="111"/>
        <v>-28436.893397456777</v>
      </c>
      <c r="S39" s="60">
        <f t="shared" si="111"/>
        <v>-29856.329352994562</v>
      </c>
      <c r="T39" s="60">
        <f t="shared" si="111"/>
        <v>-30955.298417836966</v>
      </c>
      <c r="U39" s="60">
        <f>-U16</f>
        <v>-32008.909547912983</v>
      </c>
      <c r="V39" s="60">
        <f t="shared" ref="V39:AM39" si="112">-V16</f>
        <v>-32964.016945842202</v>
      </c>
      <c r="W39" s="60">
        <f t="shared" si="112"/>
        <v>-33966.923839728435</v>
      </c>
      <c r="X39" s="60">
        <f t="shared" si="112"/>
        <v>-35113.438516296708</v>
      </c>
      <c r="Y39" s="60">
        <f t="shared" si="112"/>
        <v>-36284.481567710347</v>
      </c>
      <c r="Z39" s="60">
        <f t="shared" si="112"/>
        <v>-37379.09965210277</v>
      </c>
      <c r="AA39" s="60">
        <f t="shared" si="112"/>
        <v>-38430.888950066968</v>
      </c>
      <c r="AB39" s="60">
        <f t="shared" si="112"/>
        <v>-39514.788009995755</v>
      </c>
      <c r="AC39" s="60">
        <f t="shared" si="112"/>
        <v>-40377.243325555944</v>
      </c>
      <c r="AD39" s="60">
        <f t="shared" si="112"/>
        <v>-41346.099028667319</v>
      </c>
      <c r="AE39" s="60">
        <f t="shared" si="112"/>
        <v>-42499.768886217076</v>
      </c>
      <c r="AF39" s="60">
        <f t="shared" si="112"/>
        <v>-43722.891554212569</v>
      </c>
      <c r="AG39" s="60">
        <f t="shared" si="112"/>
        <v>-44736.718184963742</v>
      </c>
      <c r="AH39" s="60">
        <f t="shared" si="112"/>
        <v>-46030.249923232077</v>
      </c>
      <c r="AI39" s="60">
        <f t="shared" si="112"/>
        <v>-47381.593390272807</v>
      </c>
      <c r="AJ39" s="60">
        <f t="shared" si="112"/>
        <v>-48712.605928273239</v>
      </c>
      <c r="AK39" s="60">
        <f t="shared" si="112"/>
        <v>-50166.289260075617</v>
      </c>
      <c r="AL39" s="60">
        <f t="shared" si="112"/>
        <v>-51694.889003777687</v>
      </c>
      <c r="AM39" s="60">
        <f t="shared" si="112"/>
        <v>-25541.861981374033</v>
      </c>
    </row>
    <row r="40" spans="1:39">
      <c r="A40" s="55" t="s">
        <v>67</v>
      </c>
      <c r="B40" s="79"/>
      <c r="C40" s="79"/>
      <c r="D40" s="79"/>
      <c r="F40" s="79"/>
      <c r="G40" s="79"/>
      <c r="H40" s="79"/>
      <c r="I40" s="79"/>
      <c r="J40" s="79"/>
      <c r="K40" s="79"/>
      <c r="L40" s="79"/>
      <c r="P40" s="60">
        <f>+P17</f>
        <v>-23759.570802595987</v>
      </c>
      <c r="Q40" s="60">
        <f t="shared" ref="Q40:U40" si="113">+Q17</f>
        <v>-4494.00529291973</v>
      </c>
      <c r="R40" s="60">
        <f t="shared" si="113"/>
        <v>7011.6782198433948</v>
      </c>
      <c r="S40" s="60">
        <f t="shared" si="113"/>
        <v>1281.2947055492345</v>
      </c>
      <c r="T40" s="60">
        <f t="shared" si="113"/>
        <v>-414.39741132682002</v>
      </c>
      <c r="U40" s="60">
        <f t="shared" si="113"/>
        <v>-2091.2066988466031</v>
      </c>
      <c r="V40" s="60">
        <f t="shared" ref="V40:AM40" si="114">+V17</f>
        <v>-3373.2652453859291</v>
      </c>
      <c r="W40" s="60">
        <f t="shared" si="114"/>
        <v>-4399.3970878391447</v>
      </c>
      <c r="X40" s="60">
        <f t="shared" si="114"/>
        <v>-5389.8255929876705</v>
      </c>
      <c r="Y40" s="60">
        <f t="shared" si="114"/>
        <v>-6406.0677001783606</v>
      </c>
      <c r="Z40" s="60">
        <f t="shared" si="114"/>
        <v>-7569.6185351871691</v>
      </c>
      <c r="AA40" s="60">
        <f t="shared" si="114"/>
        <v>-8844.1585180034435</v>
      </c>
      <c r="AB40" s="60">
        <f t="shared" si="114"/>
        <v>-10205.346654088016</v>
      </c>
      <c r="AC40" s="60">
        <f t="shared" si="114"/>
        <v>-11905.649193767293</v>
      </c>
      <c r="AD40" s="60">
        <f t="shared" si="114"/>
        <v>-13633.182106998051</v>
      </c>
      <c r="AE40" s="60">
        <f t="shared" si="114"/>
        <v>-15274.369428975282</v>
      </c>
      <c r="AF40" s="60">
        <f t="shared" si="114"/>
        <v>-16911.777526282578</v>
      </c>
      <c r="AG40" s="60">
        <f t="shared" si="114"/>
        <v>-18873.795701951971</v>
      </c>
      <c r="AH40" s="60">
        <f t="shared" si="114"/>
        <v>-20799.831735753021</v>
      </c>
      <c r="AI40" s="60">
        <f t="shared" si="114"/>
        <v>-22736.593553315015</v>
      </c>
      <c r="AJ40" s="60">
        <f t="shared" si="114"/>
        <v>-24846.730923934836</v>
      </c>
      <c r="AK40" s="60">
        <f t="shared" si="114"/>
        <v>-27049.457196032814</v>
      </c>
      <c r="AL40" s="60">
        <f t="shared" si="114"/>
        <v>-29359.753758888855</v>
      </c>
      <c r="AM40" s="60">
        <f t="shared" si="114"/>
        <v>-59525.978617666391</v>
      </c>
    </row>
    <row r="41" spans="1:39">
      <c r="A41" s="1" t="s">
        <v>33</v>
      </c>
      <c r="B41" s="78"/>
      <c r="C41" s="78"/>
      <c r="D41" s="79"/>
      <c r="F41" s="79"/>
      <c r="G41" s="79"/>
      <c r="H41" s="79"/>
      <c r="I41" s="79"/>
      <c r="J41" s="79"/>
      <c r="K41" s="79"/>
      <c r="L41" s="79"/>
      <c r="P41" s="60">
        <f t="shared" ref="P41:U41" si="115">-P29</f>
        <v>9220.9441405401449</v>
      </c>
      <c r="Q41" s="60">
        <f t="shared" si="115"/>
        <v>19210.418906025316</v>
      </c>
      <c r="R41" s="60">
        <f t="shared" si="115"/>
        <v>29400.767030596402</v>
      </c>
      <c r="S41" s="60">
        <f t="shared" si="115"/>
        <v>29784.583139397921</v>
      </c>
      <c r="T41" s="60">
        <f t="shared" si="115"/>
        <v>30089.142822666327</v>
      </c>
      <c r="U41" s="60">
        <f t="shared" si="115"/>
        <v>30194.133776410301</v>
      </c>
      <c r="V41" s="60">
        <f t="shared" ref="V41:AM41" si="116">-V29</f>
        <v>30115.116178405926</v>
      </c>
      <c r="W41" s="60">
        <f t="shared" si="116"/>
        <v>29905.760547251339</v>
      </c>
      <c r="X41" s="60">
        <f t="shared" si="116"/>
        <v>29620.186500635809</v>
      </c>
      <c r="Y41" s="60">
        <f t="shared" si="116"/>
        <v>29270.761663823705</v>
      </c>
      <c r="Z41" s="60">
        <f t="shared" si="116"/>
        <v>28850.825045497331</v>
      </c>
      <c r="AA41" s="60">
        <f t="shared" si="116"/>
        <v>28343.263207931559</v>
      </c>
      <c r="AB41" s="60">
        <f t="shared" si="116"/>
        <v>27728.880772609307</v>
      </c>
      <c r="AC41" s="60">
        <f t="shared" si="116"/>
        <v>26998.306663693784</v>
      </c>
      <c r="AD41" s="60">
        <f t="shared" si="116"/>
        <v>26158.912535390151</v>
      </c>
      <c r="AE41" s="60">
        <f t="shared" si="116"/>
        <v>25237.004076428777</v>
      </c>
      <c r="AF41" s="60">
        <f t="shared" si="116"/>
        <v>24225.946729210227</v>
      </c>
      <c r="AG41" s="60">
        <f t="shared" si="116"/>
        <v>23063.257526089561</v>
      </c>
      <c r="AH41" s="60">
        <f t="shared" si="116"/>
        <v>21764.205021410249</v>
      </c>
      <c r="AI41" s="60">
        <f t="shared" si="116"/>
        <v>20359.19174591947</v>
      </c>
      <c r="AJ41" s="60">
        <f t="shared" si="116"/>
        <v>18796.396642554733</v>
      </c>
      <c r="AK41" s="60">
        <f t="shared" si="116"/>
        <v>17064.525188879223</v>
      </c>
      <c r="AL41" s="60">
        <f t="shared" si="116"/>
        <v>15176.58314684198</v>
      </c>
      <c r="AM41" s="60">
        <f t="shared" si="116"/>
        <v>13105.5281369728</v>
      </c>
    </row>
    <row r="42" spans="1:39">
      <c r="A42" s="1" t="s">
        <v>105</v>
      </c>
      <c r="B42" s="78"/>
      <c r="C42" s="78"/>
      <c r="D42" s="79"/>
      <c r="F42" s="79"/>
      <c r="G42" s="79"/>
      <c r="H42" s="79"/>
      <c r="I42" s="79"/>
      <c r="J42" s="79"/>
      <c r="K42" s="79"/>
      <c r="L42" s="79"/>
      <c r="P42" s="123">
        <f t="shared" ref="P42:U42" si="117">SUM(P38:P41)</f>
        <v>2001.6150493060559</v>
      </c>
      <c r="Q42" s="123">
        <f t="shared" si="117"/>
        <v>25891.746996699909</v>
      </c>
      <c r="R42" s="123">
        <f t="shared" si="117"/>
        <v>42025.475993119078</v>
      </c>
      <c r="S42" s="123">
        <f t="shared" si="117"/>
        <v>37985.910088777615</v>
      </c>
      <c r="T42" s="123">
        <f t="shared" si="117"/>
        <v>37966.897613179972</v>
      </c>
      <c r="U42" s="123">
        <f t="shared" si="117"/>
        <v>37700.911202337797</v>
      </c>
      <c r="V42" s="123">
        <f t="shared" ref="V42:AM42" si="118">SUM(V38:V41)</f>
        <v>37217.356275992504</v>
      </c>
      <c r="W42" s="123">
        <f t="shared" si="118"/>
        <v>36565.74897256968</v>
      </c>
      <c r="X42" s="123">
        <f t="shared" si="118"/>
        <v>35790.838596839239</v>
      </c>
      <c r="Y42" s="123">
        <f t="shared" si="118"/>
        <v>34938.892024739398</v>
      </c>
      <c r="Z42" s="123">
        <f t="shared" si="118"/>
        <v>33991.084781309313</v>
      </c>
      <c r="AA42" s="123">
        <f t="shared" si="118"/>
        <v>32925.402346153198</v>
      </c>
      <c r="AB42" s="123">
        <f t="shared" si="118"/>
        <v>31693.732352059407</v>
      </c>
      <c r="AC42" s="123">
        <f t="shared" si="118"/>
        <v>30284.647052200584</v>
      </c>
      <c r="AD42" s="123">
        <f t="shared" si="118"/>
        <v>28701.595377546113</v>
      </c>
      <c r="AE42" s="123">
        <f t="shared" si="118"/>
        <v>27000.759613023729</v>
      </c>
      <c r="AF42" s="123">
        <f t="shared" si="118"/>
        <v>25189.576199844774</v>
      </c>
      <c r="AG42" s="123">
        <f t="shared" si="118"/>
        <v>23162.267267487619</v>
      </c>
      <c r="AH42" s="123">
        <f t="shared" si="118"/>
        <v>20881.885979824339</v>
      </c>
      <c r="AI42" s="123">
        <f t="shared" si="118"/>
        <v>18473.474060570181</v>
      </c>
      <c r="AJ42" s="123">
        <f t="shared" si="118"/>
        <v>15832.146649549108</v>
      </c>
      <c r="AK42" s="123">
        <f t="shared" si="118"/>
        <v>12915.284913600088</v>
      </c>
      <c r="AL42" s="123">
        <f t="shared" si="118"/>
        <v>9759.8446582931483</v>
      </c>
      <c r="AM42" s="123">
        <f t="shared" si="118"/>
        <v>6337.7357244900304</v>
      </c>
    </row>
    <row r="43" spans="1:39">
      <c r="A43" s="1" t="s">
        <v>33</v>
      </c>
      <c r="B43" s="78"/>
      <c r="C43" s="78"/>
      <c r="D43" s="79"/>
      <c r="F43" s="79"/>
      <c r="G43" s="79"/>
      <c r="H43" s="79"/>
      <c r="I43" s="79"/>
      <c r="J43" s="79"/>
      <c r="K43" s="79"/>
      <c r="L43" s="79"/>
      <c r="P43" s="60">
        <f t="shared" ref="P43:U43" si="119">+P41</f>
        <v>9220.9441405401449</v>
      </c>
      <c r="Q43" s="60">
        <f t="shared" si="119"/>
        <v>19210.418906025316</v>
      </c>
      <c r="R43" s="60">
        <f t="shared" si="119"/>
        <v>29400.767030596402</v>
      </c>
      <c r="S43" s="60">
        <f t="shared" si="119"/>
        <v>29784.583139397921</v>
      </c>
      <c r="T43" s="60">
        <f t="shared" si="119"/>
        <v>30089.142822666327</v>
      </c>
      <c r="U43" s="60">
        <f t="shared" si="119"/>
        <v>30194.133776410301</v>
      </c>
      <c r="V43" s="60">
        <f t="shared" ref="V43:AM43" si="120">+V41</f>
        <v>30115.116178405926</v>
      </c>
      <c r="W43" s="60">
        <f t="shared" si="120"/>
        <v>29905.760547251339</v>
      </c>
      <c r="X43" s="60">
        <f t="shared" si="120"/>
        <v>29620.186500635809</v>
      </c>
      <c r="Y43" s="60">
        <f t="shared" si="120"/>
        <v>29270.761663823705</v>
      </c>
      <c r="Z43" s="60">
        <f t="shared" si="120"/>
        <v>28850.825045497331</v>
      </c>
      <c r="AA43" s="60">
        <f t="shared" si="120"/>
        <v>28343.263207931559</v>
      </c>
      <c r="AB43" s="60">
        <f t="shared" si="120"/>
        <v>27728.880772609307</v>
      </c>
      <c r="AC43" s="60">
        <f t="shared" si="120"/>
        <v>26998.306663693784</v>
      </c>
      <c r="AD43" s="60">
        <f t="shared" si="120"/>
        <v>26158.912535390151</v>
      </c>
      <c r="AE43" s="60">
        <f t="shared" si="120"/>
        <v>25237.004076428777</v>
      </c>
      <c r="AF43" s="60">
        <f t="shared" si="120"/>
        <v>24225.946729210227</v>
      </c>
      <c r="AG43" s="60">
        <f t="shared" si="120"/>
        <v>23063.257526089561</v>
      </c>
      <c r="AH43" s="60">
        <f t="shared" si="120"/>
        <v>21764.205021410249</v>
      </c>
      <c r="AI43" s="60">
        <f t="shared" si="120"/>
        <v>20359.19174591947</v>
      </c>
      <c r="AJ43" s="60">
        <f t="shared" si="120"/>
        <v>18796.396642554733</v>
      </c>
      <c r="AK43" s="60">
        <f t="shared" si="120"/>
        <v>17064.525188879223</v>
      </c>
      <c r="AL43" s="60">
        <f t="shared" si="120"/>
        <v>15176.58314684198</v>
      </c>
      <c r="AM43" s="60">
        <f t="shared" si="120"/>
        <v>13105.5281369728</v>
      </c>
    </row>
    <row r="44" spans="1:39">
      <c r="A44" s="105" t="s">
        <v>31</v>
      </c>
      <c r="B44" s="78"/>
      <c r="C44" s="78"/>
      <c r="D44" s="79"/>
      <c r="F44" s="79"/>
      <c r="G44" s="79"/>
      <c r="H44" s="79"/>
      <c r="I44" s="79"/>
      <c r="J44" s="79"/>
      <c r="K44" s="79"/>
      <c r="L44" s="79"/>
      <c r="P44" s="124">
        <f t="shared" ref="P44:U44" si="121">+P42/P43</f>
        <v>0.21707267919625475</v>
      </c>
      <c r="Q44" s="124">
        <f t="shared" si="121"/>
        <v>1.3477971054852429</v>
      </c>
      <c r="R44" s="124">
        <f t="shared" si="121"/>
        <v>1.4294006666351446</v>
      </c>
      <c r="S44" s="124">
        <f t="shared" si="121"/>
        <v>1.2753547669610084</v>
      </c>
      <c r="T44" s="124">
        <f t="shared" si="121"/>
        <v>1.2618138654511384</v>
      </c>
      <c r="U44" s="124">
        <f t="shared" si="121"/>
        <v>1.2486170817654751</v>
      </c>
      <c r="V44" s="124">
        <f t="shared" ref="V44:AM44" si="122">+V42/V43</f>
        <v>1.2358363838117699</v>
      </c>
      <c r="W44" s="124">
        <f t="shared" si="122"/>
        <v>1.2226991824800946</v>
      </c>
      <c r="X44" s="124">
        <f t="shared" si="122"/>
        <v>1.2083259028794764</v>
      </c>
      <c r="Y44" s="124">
        <f t="shared" si="122"/>
        <v>1.193644785401025</v>
      </c>
      <c r="Z44" s="124">
        <f t="shared" si="122"/>
        <v>1.1781668194135131</v>
      </c>
      <c r="AA44" s="124">
        <f t="shared" si="122"/>
        <v>1.161665899392254</v>
      </c>
      <c r="AB44" s="124">
        <f t="shared" si="122"/>
        <v>1.1429863546229604</v>
      </c>
      <c r="AC44" s="124">
        <f t="shared" si="122"/>
        <v>1.1217239447437692</v>
      </c>
      <c r="AD44" s="124">
        <f t="shared" si="122"/>
        <v>1.0972013969891137</v>
      </c>
      <c r="AE44" s="124">
        <f t="shared" si="122"/>
        <v>1.0698876749099664</v>
      </c>
      <c r="AF44" s="124">
        <f t="shared" si="122"/>
        <v>1.0397767518192658</v>
      </c>
      <c r="AG44" s="124">
        <f t="shared" si="122"/>
        <v>1.0042929643085352</v>
      </c>
      <c r="AH44" s="124">
        <f t="shared" si="122"/>
        <v>0.95946008408219186</v>
      </c>
      <c r="AI44" s="124">
        <f t="shared" si="122"/>
        <v>0.90737757623765991</v>
      </c>
      <c r="AJ44" s="124">
        <f t="shared" si="122"/>
        <v>0.84229690140212232</v>
      </c>
      <c r="AK44" s="124">
        <f t="shared" si="122"/>
        <v>0.75684994282857909</v>
      </c>
      <c r="AL44" s="124">
        <f t="shared" si="122"/>
        <v>0.64308576995633082</v>
      </c>
      <c r="AM44" s="124">
        <f t="shared" si="122"/>
        <v>0.48359254646214983</v>
      </c>
    </row>
    <row r="45" spans="1:39">
      <c r="A45" s="105"/>
      <c r="B45" s="78"/>
      <c r="C45" s="78"/>
      <c r="D45" s="79"/>
      <c r="F45" s="79"/>
      <c r="G45" s="79"/>
      <c r="H45" s="79"/>
      <c r="I45" s="79"/>
      <c r="J45" s="79"/>
      <c r="K45" s="79"/>
      <c r="L45" s="79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</row>
    <row r="46" spans="1:39">
      <c r="A46" s="1" t="s">
        <v>105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9">
        <f t="shared" ref="P46:U46" si="123">+P42</f>
        <v>2001.6150493060559</v>
      </c>
      <c r="Q46" s="79">
        <f t="shared" si="123"/>
        <v>25891.746996699909</v>
      </c>
      <c r="R46" s="79">
        <f t="shared" si="123"/>
        <v>42025.475993119078</v>
      </c>
      <c r="S46" s="79">
        <f t="shared" si="123"/>
        <v>37985.910088777615</v>
      </c>
      <c r="T46" s="79">
        <f t="shared" si="123"/>
        <v>37966.897613179972</v>
      </c>
      <c r="U46" s="79">
        <f t="shared" si="123"/>
        <v>37700.911202337797</v>
      </c>
      <c r="V46" s="79">
        <f t="shared" ref="V46:AM46" si="124">+V42</f>
        <v>37217.356275992504</v>
      </c>
      <c r="W46" s="79">
        <f t="shared" si="124"/>
        <v>36565.74897256968</v>
      </c>
      <c r="X46" s="79">
        <f t="shared" si="124"/>
        <v>35790.838596839239</v>
      </c>
      <c r="Y46" s="79">
        <f t="shared" si="124"/>
        <v>34938.892024739398</v>
      </c>
      <c r="Z46" s="79">
        <f t="shared" si="124"/>
        <v>33991.084781309313</v>
      </c>
      <c r="AA46" s="79">
        <f t="shared" si="124"/>
        <v>32925.402346153198</v>
      </c>
      <c r="AB46" s="79">
        <f t="shared" si="124"/>
        <v>31693.732352059407</v>
      </c>
      <c r="AC46" s="79">
        <f t="shared" si="124"/>
        <v>30284.647052200584</v>
      </c>
      <c r="AD46" s="79">
        <f t="shared" si="124"/>
        <v>28701.595377546113</v>
      </c>
      <c r="AE46" s="79">
        <f t="shared" si="124"/>
        <v>27000.759613023729</v>
      </c>
      <c r="AF46" s="79">
        <f t="shared" si="124"/>
        <v>25189.576199844774</v>
      </c>
      <c r="AG46" s="79">
        <f t="shared" si="124"/>
        <v>23162.267267487619</v>
      </c>
      <c r="AH46" s="79">
        <f t="shared" si="124"/>
        <v>20881.885979824339</v>
      </c>
      <c r="AI46" s="79">
        <f t="shared" si="124"/>
        <v>18473.474060570181</v>
      </c>
      <c r="AJ46" s="79">
        <f t="shared" si="124"/>
        <v>15832.146649549108</v>
      </c>
      <c r="AK46" s="79">
        <f t="shared" si="124"/>
        <v>12915.284913600088</v>
      </c>
      <c r="AL46" s="79">
        <f t="shared" si="124"/>
        <v>9759.8446582931483</v>
      </c>
      <c r="AM46" s="79">
        <f t="shared" si="124"/>
        <v>6337.7357244900304</v>
      </c>
    </row>
    <row r="47" spans="1:39">
      <c r="A47" s="1" t="s">
        <v>215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9">
        <f t="shared" ref="P47:U47" si="125">+O19*(P10/O10)-O19</f>
        <v>41345.138108684332</v>
      </c>
      <c r="Q47" s="79">
        <f t="shared" si="125"/>
        <v>17297.485806885059</v>
      </c>
      <c r="R47" s="79">
        <f t="shared" si="125"/>
        <v>8355.7221912909299</v>
      </c>
      <c r="S47" s="79">
        <f t="shared" si="125"/>
        <v>16221.743063592468</v>
      </c>
      <c r="T47" s="79">
        <f t="shared" si="125"/>
        <v>16442.446237911587</v>
      </c>
      <c r="U47" s="79">
        <f t="shared" si="125"/>
        <v>16555.747911044047</v>
      </c>
      <c r="V47" s="79">
        <f t="shared" ref="V47" si="126">+U19*(V10/U10)-U19</f>
        <v>16557.587832205114</v>
      </c>
      <c r="W47" s="79">
        <f t="shared" ref="W47" si="127">+V19*(W10/V10)-V19</f>
        <v>16469.090805007494</v>
      </c>
      <c r="X47" s="79">
        <f t="shared" ref="X47" si="128">+W19*(X10/W10)-W19</f>
        <v>16327.991469034227</v>
      </c>
      <c r="Y47" s="79">
        <f t="shared" ref="Y47" si="129">+X19*(Y10/X10)-X19</f>
        <v>16155.907146381564</v>
      </c>
      <c r="Z47" s="79">
        <f t="shared" ref="Z47" si="130">+Y19*(Z10/Y10)-Y19</f>
        <v>15944.783855791437</v>
      </c>
      <c r="AA47" s="79">
        <f t="shared" ref="AA47" si="131">+Z19*(AA10/Z10)-Z19</f>
        <v>15695.370595258893</v>
      </c>
      <c r="AB47" s="79">
        <f t="shared" ref="AB47" si="132">+AA19*(AB10/AA10)-AA19</f>
        <v>15388.150383136584</v>
      </c>
      <c r="AC47" s="79">
        <f t="shared" ref="AC47" si="133">+AB19*(AC10/AB10)-AB19</f>
        <v>15021.588992308243</v>
      </c>
      <c r="AD47" s="79">
        <f t="shared" ref="AD47" si="134">+AC19*(AD10/AC10)-AC19</f>
        <v>14586.943568164133</v>
      </c>
      <c r="AE47" s="79">
        <f t="shared" ref="AE47" si="135">+AD19*(AE10/AD10)-AD19</f>
        <v>14101.041319132317</v>
      </c>
      <c r="AF47" s="79">
        <f t="shared" ref="AF47" si="136">+AE19*(AF10/AE10)-AE19</f>
        <v>13575.903988350765</v>
      </c>
      <c r="AG47" s="79">
        <f t="shared" ref="AG47" si="137">+AF19*(AG10/AF10)-AF19</f>
        <v>12992.233838777291</v>
      </c>
      <c r="AH47" s="79">
        <f t="shared" ref="AH47" si="138">+AG19*(AH10/AG10)-AG19</f>
        <v>12300.804717973107</v>
      </c>
      <c r="AI47" s="79">
        <f t="shared" ref="AI47" si="139">+AH19*(AI10/AH10)-AH19</f>
        <v>11567.58751329931</v>
      </c>
      <c r="AJ47" s="79">
        <f t="shared" ref="AJ47" si="140">+AI19*(AJ10/AI10)-AI19</f>
        <v>10759.953218156355</v>
      </c>
      <c r="AK47" s="79">
        <f t="shared" ref="AK47" si="141">+AJ19*(AK10/AJ10)-AJ19</f>
        <v>9853.6996654533432</v>
      </c>
      <c r="AL47" s="79">
        <f t="shared" ref="AL47" si="142">+AK19*(AL10/AK10)-AK19</f>
        <v>8860.6425330288475</v>
      </c>
      <c r="AM47" s="79">
        <f t="shared" ref="AM47" si="143">+AL19*(AM10/AL10)-AL19</f>
        <v>7783.2293163216091</v>
      </c>
    </row>
    <row r="48" spans="1:39">
      <c r="A48" s="1" t="s">
        <v>216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23">
        <f>+P46+P47</f>
        <v>43346.753157990388</v>
      </c>
      <c r="Q48" s="123">
        <f t="shared" ref="Q48:U48" si="144">+Q46+Q47</f>
        <v>43189.232803584964</v>
      </c>
      <c r="R48" s="123">
        <f t="shared" si="144"/>
        <v>50381.198184410008</v>
      </c>
      <c r="S48" s="123">
        <f t="shared" si="144"/>
        <v>54207.653152370083</v>
      </c>
      <c r="T48" s="123">
        <f t="shared" si="144"/>
        <v>54409.343851091558</v>
      </c>
      <c r="U48" s="123">
        <f t="shared" si="144"/>
        <v>54256.659113381844</v>
      </c>
      <c r="V48" s="123">
        <f t="shared" ref="V48:AM48" si="145">+V46+V47</f>
        <v>53774.944108197618</v>
      </c>
      <c r="W48" s="123">
        <f t="shared" si="145"/>
        <v>53034.839777577174</v>
      </c>
      <c r="X48" s="123">
        <f t="shared" si="145"/>
        <v>52118.830065873466</v>
      </c>
      <c r="Y48" s="123">
        <f t="shared" si="145"/>
        <v>51094.799171120962</v>
      </c>
      <c r="Z48" s="123">
        <f t="shared" si="145"/>
        <v>49935.86863710075</v>
      </c>
      <c r="AA48" s="123">
        <f t="shared" si="145"/>
        <v>48620.772941412091</v>
      </c>
      <c r="AB48" s="123">
        <f t="shared" si="145"/>
        <v>47081.882735195992</v>
      </c>
      <c r="AC48" s="123">
        <f t="shared" si="145"/>
        <v>45306.236044508827</v>
      </c>
      <c r="AD48" s="123">
        <f t="shared" si="145"/>
        <v>43288.538945710243</v>
      </c>
      <c r="AE48" s="123">
        <f t="shared" si="145"/>
        <v>41101.800932156046</v>
      </c>
      <c r="AF48" s="123">
        <f t="shared" si="145"/>
        <v>38765.480188195535</v>
      </c>
      <c r="AG48" s="123">
        <f t="shared" si="145"/>
        <v>36154.501106264914</v>
      </c>
      <c r="AH48" s="123">
        <f t="shared" si="145"/>
        <v>33182.690697797443</v>
      </c>
      <c r="AI48" s="123">
        <f t="shared" si="145"/>
        <v>30041.061573869491</v>
      </c>
      <c r="AJ48" s="123">
        <f t="shared" si="145"/>
        <v>26592.099867705463</v>
      </c>
      <c r="AK48" s="123">
        <f t="shared" si="145"/>
        <v>22768.984579053431</v>
      </c>
      <c r="AL48" s="123">
        <f t="shared" si="145"/>
        <v>18620.487191321998</v>
      </c>
      <c r="AM48" s="123">
        <f t="shared" si="145"/>
        <v>14120.965040811639</v>
      </c>
    </row>
    <row r="49" spans="1:39">
      <c r="A49" s="1" t="s">
        <v>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60">
        <f>+P43</f>
        <v>9220.9441405401449</v>
      </c>
      <c r="Q49" s="60">
        <f t="shared" ref="Q49:U49" si="146">+Q43</f>
        <v>19210.418906025316</v>
      </c>
      <c r="R49" s="60">
        <f t="shared" si="146"/>
        <v>29400.767030596402</v>
      </c>
      <c r="S49" s="60">
        <f t="shared" si="146"/>
        <v>29784.583139397921</v>
      </c>
      <c r="T49" s="60">
        <f t="shared" si="146"/>
        <v>30089.142822666327</v>
      </c>
      <c r="U49" s="60">
        <f t="shared" si="146"/>
        <v>30194.133776410301</v>
      </c>
      <c r="V49" s="60">
        <f t="shared" ref="V49:AM49" si="147">+V43</f>
        <v>30115.116178405926</v>
      </c>
      <c r="W49" s="60">
        <f t="shared" si="147"/>
        <v>29905.760547251339</v>
      </c>
      <c r="X49" s="60">
        <f t="shared" si="147"/>
        <v>29620.186500635809</v>
      </c>
      <c r="Y49" s="60">
        <f t="shared" si="147"/>
        <v>29270.761663823705</v>
      </c>
      <c r="Z49" s="60">
        <f t="shared" si="147"/>
        <v>28850.825045497331</v>
      </c>
      <c r="AA49" s="60">
        <f t="shared" si="147"/>
        <v>28343.263207931559</v>
      </c>
      <c r="AB49" s="60">
        <f t="shared" si="147"/>
        <v>27728.880772609307</v>
      </c>
      <c r="AC49" s="60">
        <f t="shared" si="147"/>
        <v>26998.306663693784</v>
      </c>
      <c r="AD49" s="60">
        <f t="shared" si="147"/>
        <v>26158.912535390151</v>
      </c>
      <c r="AE49" s="60">
        <f t="shared" si="147"/>
        <v>25237.004076428777</v>
      </c>
      <c r="AF49" s="60">
        <f t="shared" si="147"/>
        <v>24225.946729210227</v>
      </c>
      <c r="AG49" s="60">
        <f t="shared" si="147"/>
        <v>23063.257526089561</v>
      </c>
      <c r="AH49" s="60">
        <f t="shared" si="147"/>
        <v>21764.205021410249</v>
      </c>
      <c r="AI49" s="60">
        <f t="shared" si="147"/>
        <v>20359.19174591947</v>
      </c>
      <c r="AJ49" s="60">
        <f t="shared" si="147"/>
        <v>18796.396642554733</v>
      </c>
      <c r="AK49" s="60">
        <f t="shared" si="147"/>
        <v>17064.525188879223</v>
      </c>
      <c r="AL49" s="60">
        <f t="shared" si="147"/>
        <v>15176.58314684198</v>
      </c>
      <c r="AM49" s="60">
        <f t="shared" si="147"/>
        <v>13105.5281369728</v>
      </c>
    </row>
    <row r="50" spans="1:39">
      <c r="A50" s="105" t="s">
        <v>217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24">
        <f>+P48/P49</f>
        <v>4.7009018271149854</v>
      </c>
      <c r="Q50" s="124">
        <f t="shared" ref="Q50:U50" si="148">+Q48/Q49</f>
        <v>2.2482192093186857</v>
      </c>
      <c r="R50" s="124">
        <f t="shared" si="148"/>
        <v>1.7136014897835818</v>
      </c>
      <c r="S50" s="124">
        <f t="shared" si="148"/>
        <v>1.8199903251513447</v>
      </c>
      <c r="T50" s="124">
        <f t="shared" si="148"/>
        <v>1.8082716470774529</v>
      </c>
      <c r="U50" s="124">
        <f t="shared" si="148"/>
        <v>1.7969271619168228</v>
      </c>
      <c r="V50" s="124">
        <f t="shared" ref="V50:AM50" si="149">+V48/V49</f>
        <v>1.7856462445513326</v>
      </c>
      <c r="W50" s="124">
        <f t="shared" si="149"/>
        <v>1.773398796990356</v>
      </c>
      <c r="X50" s="124">
        <f t="shared" si="149"/>
        <v>1.7595712999563562</v>
      </c>
      <c r="Y50" s="124">
        <f t="shared" si="149"/>
        <v>1.7455917190658554</v>
      </c>
      <c r="Z50" s="124">
        <f t="shared" si="149"/>
        <v>1.7308298309789274</v>
      </c>
      <c r="AA50" s="124">
        <f t="shared" si="149"/>
        <v>1.7154260814896602</v>
      </c>
      <c r="AB50" s="124">
        <f t="shared" si="149"/>
        <v>1.6979366430722891</v>
      </c>
      <c r="AC50" s="124">
        <f t="shared" si="149"/>
        <v>1.6781139872536819</v>
      </c>
      <c r="AD50" s="124">
        <f t="shared" si="149"/>
        <v>1.6548294539058372</v>
      </c>
      <c r="AE50" s="124">
        <f t="shared" si="149"/>
        <v>1.6286323371697238</v>
      </c>
      <c r="AF50" s="124">
        <f t="shared" si="149"/>
        <v>1.6001636848913892</v>
      </c>
      <c r="AG50" s="124">
        <f t="shared" si="149"/>
        <v>1.5676233535252473</v>
      </c>
      <c r="AH50" s="124">
        <f t="shared" si="149"/>
        <v>1.5246451990851222</v>
      </c>
      <c r="AI50" s="124">
        <f t="shared" si="149"/>
        <v>1.4755527600888443</v>
      </c>
      <c r="AJ50" s="124">
        <f t="shared" si="149"/>
        <v>1.4147445584065503</v>
      </c>
      <c r="AK50" s="124">
        <f t="shared" si="149"/>
        <v>1.3342876128713939</v>
      </c>
      <c r="AL50" s="124">
        <f t="shared" si="149"/>
        <v>1.2269222269043241</v>
      </c>
      <c r="AM50" s="124">
        <f t="shared" si="149"/>
        <v>1.0774815706185947</v>
      </c>
    </row>
    <row r="51" spans="1:39">
      <c r="A51" s="105"/>
      <c r="B51" s="78"/>
      <c r="C51" s="78"/>
      <c r="D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</row>
    <row r="52" spans="1:39">
      <c r="A52" s="1" t="s">
        <v>102</v>
      </c>
      <c r="B52" s="78"/>
      <c r="C52" s="78"/>
      <c r="D52" s="79"/>
      <c r="F52" s="79"/>
      <c r="G52" s="79"/>
      <c r="H52" s="79"/>
      <c r="I52" s="79"/>
      <c r="J52" s="79"/>
      <c r="K52" s="79"/>
      <c r="L52" s="79"/>
      <c r="P52" s="60">
        <f t="shared" ref="P52:U52" si="150">+P30</f>
        <v>42428.388508406999</v>
      </c>
      <c r="Q52" s="60">
        <f t="shared" si="150"/>
        <v>38471.034605411987</v>
      </c>
      <c r="R52" s="60">
        <f t="shared" si="150"/>
        <v>34049.924140136063</v>
      </c>
      <c r="S52" s="60">
        <f t="shared" si="150"/>
        <v>36776.361596825023</v>
      </c>
      <c r="T52" s="60">
        <f t="shared" si="150"/>
        <v>39247.450619677431</v>
      </c>
      <c r="U52" s="60">
        <f t="shared" si="150"/>
        <v>41606.893672687082</v>
      </c>
      <c r="V52" s="60">
        <f t="shared" ref="V52:AM52" si="151">+V30</f>
        <v>43439.522288814711</v>
      </c>
      <c r="W52" s="60">
        <f t="shared" si="151"/>
        <v>45026.309352885917</v>
      </c>
      <c r="X52" s="60">
        <f t="shared" si="151"/>
        <v>46673.916205487811</v>
      </c>
      <c r="Y52" s="60">
        <f t="shared" si="151"/>
        <v>48358.679628804399</v>
      </c>
      <c r="Z52" s="60">
        <f t="shared" si="151"/>
        <v>50088.97792310192</v>
      </c>
      <c r="AA52" s="60">
        <f t="shared" si="151"/>
        <v>51857.186606292053</v>
      </c>
      <c r="AB52" s="60">
        <f t="shared" si="151"/>
        <v>53684.986243533873</v>
      </c>
      <c r="AC52" s="60">
        <f t="shared" si="151"/>
        <v>55569.232907830039</v>
      </c>
      <c r="AD52" s="60">
        <f t="shared" si="151"/>
        <v>57521.963977821331</v>
      </c>
      <c r="AE52" s="60">
        <f t="shared" si="151"/>
        <v>59537.89385178731</v>
      </c>
      <c r="AF52" s="60">
        <f t="shared" si="151"/>
        <v>61598.298551129694</v>
      </c>
      <c r="AG52" s="60">
        <f t="shared" si="151"/>
        <v>63709.523628313771</v>
      </c>
      <c r="AH52" s="60">
        <f t="shared" si="151"/>
        <v>65947.762617399188</v>
      </c>
      <c r="AI52" s="60">
        <f t="shared" si="151"/>
        <v>68232.469258238532</v>
      </c>
      <c r="AJ52" s="60">
        <f t="shared" si="151"/>
        <v>70595.086859202449</v>
      </c>
      <c r="AK52" s="60">
        <f t="shared" si="151"/>
        <v>73066.506180829296</v>
      </c>
      <c r="AL52" s="60">
        <f t="shared" si="151"/>
        <v>75637.904274117711</v>
      </c>
      <c r="AM52" s="60">
        <f t="shared" si="151"/>
        <v>78300.048186557658</v>
      </c>
    </row>
    <row r="53" spans="1:39">
      <c r="A53" s="1" t="s">
        <v>35</v>
      </c>
      <c r="B53" s="78"/>
      <c r="C53" s="78"/>
      <c r="D53" s="79"/>
      <c r="F53" s="79"/>
      <c r="G53" s="79"/>
      <c r="H53" s="79"/>
      <c r="I53" s="79"/>
      <c r="J53" s="79"/>
      <c r="K53" s="79"/>
      <c r="L53" s="79"/>
      <c r="P53" s="60">
        <f t="shared" ref="P53:U53" si="152">+P22</f>
        <v>413495.25293901993</v>
      </c>
      <c r="Q53" s="60">
        <f t="shared" si="152"/>
        <v>419441.46083024709</v>
      </c>
      <c r="R53" s="60">
        <f t="shared" si="152"/>
        <v>424253.49250499858</v>
      </c>
      <c r="S53" s="60">
        <f t="shared" si="152"/>
        <v>429791.96449347649</v>
      </c>
      <c r="T53" s="60">
        <f t="shared" si="152"/>
        <v>434186.7651178402</v>
      </c>
      <c r="U53" s="60">
        <f t="shared" si="152"/>
        <v>435701.78609538672</v>
      </c>
      <c r="V53" s="60">
        <f t="shared" ref="V53:AM53" si="153">+V22</f>
        <v>434561.56101595855</v>
      </c>
      <c r="W53" s="60">
        <f t="shared" si="153"/>
        <v>431540.55623739306</v>
      </c>
      <c r="X53" s="60">
        <f t="shared" si="153"/>
        <v>427419.71862389334</v>
      </c>
      <c r="Y53" s="60">
        <f t="shared" si="153"/>
        <v>422377.51318648923</v>
      </c>
      <c r="Z53" s="60">
        <f t="shared" si="153"/>
        <v>416317.82172434824</v>
      </c>
      <c r="AA53" s="60">
        <f t="shared" si="153"/>
        <v>408993.69708414946</v>
      </c>
      <c r="AB53" s="60">
        <f t="shared" si="153"/>
        <v>400128.14967690199</v>
      </c>
      <c r="AC53" s="60">
        <f t="shared" si="153"/>
        <v>389585.95474305603</v>
      </c>
      <c r="AD53" s="60">
        <f t="shared" si="153"/>
        <v>377473.48535916524</v>
      </c>
      <c r="AE53" s="60">
        <f t="shared" si="153"/>
        <v>364170.33299320022</v>
      </c>
      <c r="AF53" s="60">
        <f t="shared" si="153"/>
        <v>349580.76088326448</v>
      </c>
      <c r="AG53" s="60">
        <f t="shared" si="153"/>
        <v>332803.13890461129</v>
      </c>
      <c r="AH53" s="60">
        <f t="shared" si="153"/>
        <v>314057.79251674243</v>
      </c>
      <c r="AI53" s="60">
        <f t="shared" si="153"/>
        <v>293783.43067704863</v>
      </c>
      <c r="AJ53" s="60">
        <f t="shared" si="153"/>
        <v>271232.27478433959</v>
      </c>
      <c r="AK53" s="60">
        <f t="shared" si="153"/>
        <v>246241.34471687188</v>
      </c>
      <c r="AL53" s="60">
        <f t="shared" si="153"/>
        <v>218998.31380724357</v>
      </c>
      <c r="AM53" s="60">
        <f t="shared" si="153"/>
        <v>189112.96012947764</v>
      </c>
    </row>
    <row r="54" spans="1:39">
      <c r="A54" s="105" t="s">
        <v>107</v>
      </c>
      <c r="B54" s="78"/>
      <c r="C54" s="78"/>
      <c r="D54" s="79"/>
      <c r="F54" s="79"/>
      <c r="G54" s="79"/>
      <c r="H54" s="79"/>
      <c r="I54" s="79"/>
      <c r="J54" s="79"/>
      <c r="K54" s="79"/>
      <c r="L54" s="79"/>
      <c r="M54" s="80"/>
      <c r="N54" s="80"/>
      <c r="O54" s="80"/>
      <c r="P54" s="125">
        <f>+P52/P53</f>
        <v>0.10260913083484446</v>
      </c>
      <c r="Q54" s="125">
        <f t="shared" ref="Q54:U54" si="154">+Q52/Q53</f>
        <v>9.1719675325519778E-2</v>
      </c>
      <c r="R54" s="125">
        <f t="shared" si="154"/>
        <v>8.0258441572487196E-2</v>
      </c>
      <c r="S54" s="125">
        <f t="shared" si="154"/>
        <v>8.5567820329463667E-2</v>
      </c>
      <c r="T54" s="125">
        <f t="shared" si="154"/>
        <v>9.0393014648950665E-2</v>
      </c>
      <c r="U54" s="125">
        <f t="shared" si="154"/>
        <v>9.5493970877544729E-2</v>
      </c>
      <c r="V54" s="125">
        <f t="shared" ref="V54:AM54" si="155">+V52/V53</f>
        <v>9.99617227700898E-2</v>
      </c>
      <c r="W54" s="125">
        <f t="shared" si="155"/>
        <v>0.10433853481923186</v>
      </c>
      <c r="X54" s="125">
        <f t="shared" si="155"/>
        <v>0.10919925818059503</v>
      </c>
      <c r="Y54" s="125">
        <f t="shared" si="155"/>
        <v>0.1144916055402148</v>
      </c>
      <c r="Z54" s="125">
        <f t="shared" si="155"/>
        <v>0.12031427748069541</v>
      </c>
      <c r="AA54" s="125">
        <f t="shared" si="155"/>
        <v>0.12679214123835889</v>
      </c>
      <c r="AB54" s="125">
        <f t="shared" si="155"/>
        <v>0.13416948116967967</v>
      </c>
      <c r="AC54" s="125">
        <f t="shared" si="155"/>
        <v>0.14263664341924151</v>
      </c>
      <c r="AD54" s="125">
        <f t="shared" si="155"/>
        <v>0.15238676677671625</v>
      </c>
      <c r="AE54" s="125">
        <f t="shared" si="155"/>
        <v>0.16348913807017607</v>
      </c>
      <c r="AF54" s="125">
        <f t="shared" si="155"/>
        <v>0.17620620309737015</v>
      </c>
      <c r="AG54" s="125">
        <f t="shared" si="155"/>
        <v>0.19143306111236627</v>
      </c>
      <c r="AH54" s="125">
        <f t="shared" si="155"/>
        <v>0.20998607322849189</v>
      </c>
      <c r="AI54" s="125">
        <f t="shared" si="155"/>
        <v>0.23225431434642541</v>
      </c>
      <c r="AJ54" s="125">
        <f t="shared" si="155"/>
        <v>0.26027539279878675</v>
      </c>
      <c r="AK54" s="125">
        <f t="shared" si="155"/>
        <v>0.29672720584287382</v>
      </c>
      <c r="AL54" s="125">
        <f t="shared" si="155"/>
        <v>0.34538121759554807</v>
      </c>
      <c r="AM54" s="125">
        <f t="shared" si="155"/>
        <v>0.41403850975072748</v>
      </c>
    </row>
    <row r="55" spans="1:39">
      <c r="A55" s="105"/>
      <c r="B55" s="78"/>
      <c r="C55" s="78"/>
      <c r="D55" s="79"/>
      <c r="F55" s="79"/>
      <c r="G55" s="79"/>
      <c r="H55" s="79"/>
      <c r="I55" s="79"/>
      <c r="J55" s="79"/>
      <c r="K55" s="79"/>
      <c r="L55" s="79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</row>
    <row r="56" spans="1:39">
      <c r="A56" s="1" t="s">
        <v>106</v>
      </c>
      <c r="B56" s="78"/>
      <c r="C56" s="78"/>
      <c r="D56" s="79"/>
      <c r="F56" s="79"/>
      <c r="G56" s="79"/>
      <c r="H56" s="79"/>
      <c r="I56" s="79"/>
      <c r="J56" s="79"/>
      <c r="K56" s="79"/>
      <c r="L56" s="79"/>
      <c r="P56" s="60">
        <f>+P53</f>
        <v>413495.25293901993</v>
      </c>
      <c r="Q56" s="60">
        <f t="shared" ref="Q56:U56" si="156">+Q53</f>
        <v>419441.46083024709</v>
      </c>
      <c r="R56" s="60">
        <f t="shared" si="156"/>
        <v>424253.49250499858</v>
      </c>
      <c r="S56" s="60">
        <f t="shared" si="156"/>
        <v>429791.96449347649</v>
      </c>
      <c r="T56" s="60">
        <f t="shared" si="156"/>
        <v>434186.7651178402</v>
      </c>
      <c r="U56" s="60">
        <f t="shared" si="156"/>
        <v>435701.78609538672</v>
      </c>
      <c r="V56" s="60">
        <f t="shared" ref="V56:AM56" si="157">+V53</f>
        <v>434561.56101595855</v>
      </c>
      <c r="W56" s="60">
        <f t="shared" si="157"/>
        <v>431540.55623739306</v>
      </c>
      <c r="X56" s="60">
        <f t="shared" si="157"/>
        <v>427419.71862389334</v>
      </c>
      <c r="Y56" s="60">
        <f t="shared" si="157"/>
        <v>422377.51318648923</v>
      </c>
      <c r="Z56" s="60">
        <f t="shared" si="157"/>
        <v>416317.82172434824</v>
      </c>
      <c r="AA56" s="60">
        <f t="shared" si="157"/>
        <v>408993.69708414946</v>
      </c>
      <c r="AB56" s="60">
        <f t="shared" si="157"/>
        <v>400128.14967690199</v>
      </c>
      <c r="AC56" s="60">
        <f t="shared" si="157"/>
        <v>389585.95474305603</v>
      </c>
      <c r="AD56" s="60">
        <f t="shared" si="157"/>
        <v>377473.48535916524</v>
      </c>
      <c r="AE56" s="60">
        <f t="shared" si="157"/>
        <v>364170.33299320022</v>
      </c>
      <c r="AF56" s="60">
        <f t="shared" si="157"/>
        <v>349580.76088326448</v>
      </c>
      <c r="AG56" s="60">
        <f t="shared" si="157"/>
        <v>332803.13890461129</v>
      </c>
      <c r="AH56" s="60">
        <f t="shared" si="157"/>
        <v>314057.79251674243</v>
      </c>
      <c r="AI56" s="60">
        <f t="shared" si="157"/>
        <v>293783.43067704863</v>
      </c>
      <c r="AJ56" s="60">
        <f t="shared" si="157"/>
        <v>271232.27478433959</v>
      </c>
      <c r="AK56" s="60">
        <f t="shared" si="157"/>
        <v>246241.34471687188</v>
      </c>
      <c r="AL56" s="60">
        <f t="shared" si="157"/>
        <v>218998.31380724357</v>
      </c>
      <c r="AM56" s="60">
        <f t="shared" si="157"/>
        <v>189112.96012947764</v>
      </c>
    </row>
    <row r="57" spans="1:39">
      <c r="A57" s="1" t="s">
        <v>108</v>
      </c>
      <c r="B57" s="78"/>
      <c r="C57" s="78"/>
      <c r="D57" s="79"/>
      <c r="F57" s="79"/>
      <c r="G57" s="79"/>
      <c r="H57" s="79"/>
      <c r="I57" s="79"/>
      <c r="J57" s="79"/>
      <c r="K57" s="79"/>
      <c r="L57" s="79"/>
      <c r="P57" s="60">
        <f t="shared" ref="P57:U57" si="158">+P20</f>
        <v>751809.550798218</v>
      </c>
      <c r="Q57" s="60">
        <f t="shared" si="158"/>
        <v>762620.83787317644</v>
      </c>
      <c r="R57" s="60">
        <f t="shared" si="158"/>
        <v>771369.98637272464</v>
      </c>
      <c r="S57" s="60">
        <f t="shared" si="158"/>
        <v>781439.93544268445</v>
      </c>
      <c r="T57" s="60">
        <f t="shared" si="158"/>
        <v>789430.48203243664</v>
      </c>
      <c r="U57" s="60">
        <f t="shared" si="158"/>
        <v>792185.06562797574</v>
      </c>
      <c r="V57" s="60">
        <f t="shared" ref="V57:AM57" si="159">+V20</f>
        <v>790111.92911992455</v>
      </c>
      <c r="W57" s="60">
        <f t="shared" si="159"/>
        <v>784619.19315889641</v>
      </c>
      <c r="X57" s="60">
        <f t="shared" si="159"/>
        <v>777126.76113435149</v>
      </c>
      <c r="Y57" s="60">
        <f t="shared" si="159"/>
        <v>767959.11488452577</v>
      </c>
      <c r="Z57" s="60">
        <f t="shared" si="159"/>
        <v>756941.49404426944</v>
      </c>
      <c r="AA57" s="60">
        <f t="shared" si="159"/>
        <v>743624.90378936264</v>
      </c>
      <c r="AB57" s="60">
        <f t="shared" si="159"/>
        <v>727505.72668527626</v>
      </c>
      <c r="AC57" s="60">
        <f t="shared" si="159"/>
        <v>708338.09953282913</v>
      </c>
      <c r="AD57" s="60">
        <f t="shared" si="159"/>
        <v>686315.42792575492</v>
      </c>
      <c r="AE57" s="60">
        <f t="shared" si="159"/>
        <v>662127.87816945487</v>
      </c>
      <c r="AF57" s="60">
        <f t="shared" si="159"/>
        <v>635601.38342411723</v>
      </c>
      <c r="AG57" s="60">
        <f t="shared" si="159"/>
        <v>605096.6161902023</v>
      </c>
      <c r="AH57" s="60">
        <f t="shared" si="159"/>
        <v>571014.16821225896</v>
      </c>
      <c r="AI57" s="60">
        <f t="shared" si="159"/>
        <v>534151.69214008842</v>
      </c>
      <c r="AJ57" s="60">
        <f t="shared" si="159"/>
        <v>493149.59051698109</v>
      </c>
      <c r="AK57" s="60">
        <f t="shared" si="159"/>
        <v>447711.53584885795</v>
      </c>
      <c r="AL57" s="60">
        <f t="shared" si="159"/>
        <v>398178.75237680646</v>
      </c>
      <c r="AM57" s="60">
        <f t="shared" si="159"/>
        <v>343841.74568995932</v>
      </c>
    </row>
    <row r="58" spans="1:39">
      <c r="A58" s="105" t="s">
        <v>109</v>
      </c>
      <c r="B58" s="78"/>
      <c r="C58" s="78"/>
      <c r="D58" s="79"/>
      <c r="F58" s="79"/>
      <c r="G58" s="79"/>
      <c r="H58" s="79"/>
      <c r="I58" s="79"/>
      <c r="J58" s="79"/>
      <c r="K58" s="79"/>
      <c r="L58" s="79"/>
      <c r="M58" s="80"/>
      <c r="N58" s="80"/>
      <c r="O58" s="80"/>
      <c r="P58" s="125">
        <f t="shared" ref="P58" si="160">+P56/P57</f>
        <v>0.55000000000000004</v>
      </c>
      <c r="Q58" s="125">
        <f t="shared" ref="Q58:U58" si="161">+Q56/Q57</f>
        <v>0.55000000000000004</v>
      </c>
      <c r="R58" s="125">
        <f t="shared" si="161"/>
        <v>0.55000000000000004</v>
      </c>
      <c r="S58" s="125">
        <f t="shared" si="161"/>
        <v>0.55000000000000004</v>
      </c>
      <c r="T58" s="125">
        <f t="shared" si="161"/>
        <v>0.55000000000000004</v>
      </c>
      <c r="U58" s="125">
        <f t="shared" si="161"/>
        <v>0.55000000000000004</v>
      </c>
      <c r="V58" s="125">
        <f t="shared" ref="V58:AM58" si="162">+V56/V57</f>
        <v>0.55000000000000004</v>
      </c>
      <c r="W58" s="125">
        <f t="shared" si="162"/>
        <v>0.55000000000000004</v>
      </c>
      <c r="X58" s="125">
        <f t="shared" si="162"/>
        <v>0.55000000000000004</v>
      </c>
      <c r="Y58" s="125">
        <f t="shared" si="162"/>
        <v>0.55000000000000004</v>
      </c>
      <c r="Z58" s="125">
        <f t="shared" si="162"/>
        <v>0.55000000000000004</v>
      </c>
      <c r="AA58" s="125">
        <f t="shared" si="162"/>
        <v>0.55000000000000004</v>
      </c>
      <c r="AB58" s="125">
        <f t="shared" si="162"/>
        <v>0.55000000000000004</v>
      </c>
      <c r="AC58" s="125">
        <f t="shared" si="162"/>
        <v>0.55000000000000004</v>
      </c>
      <c r="AD58" s="125">
        <f t="shared" si="162"/>
        <v>0.55000000000000004</v>
      </c>
      <c r="AE58" s="125">
        <f t="shared" si="162"/>
        <v>0.55000000000000004</v>
      </c>
      <c r="AF58" s="125">
        <f t="shared" si="162"/>
        <v>0.55000000000000004</v>
      </c>
      <c r="AG58" s="125">
        <f t="shared" si="162"/>
        <v>0.55000000000000004</v>
      </c>
      <c r="AH58" s="125">
        <f t="shared" si="162"/>
        <v>0.55000000000000004</v>
      </c>
      <c r="AI58" s="125">
        <f t="shared" si="162"/>
        <v>0.55000000000000004</v>
      </c>
      <c r="AJ58" s="125">
        <f t="shared" si="162"/>
        <v>0.54999999999999993</v>
      </c>
      <c r="AK58" s="125">
        <f t="shared" si="162"/>
        <v>0.55000000000000004</v>
      </c>
      <c r="AL58" s="125">
        <f t="shared" si="162"/>
        <v>0.55000000000000004</v>
      </c>
      <c r="AM58" s="125">
        <f t="shared" si="162"/>
        <v>0.55000000000000004</v>
      </c>
    </row>
    <row r="59" spans="1:39">
      <c r="A59" s="105"/>
      <c r="B59" s="78"/>
      <c r="C59" s="78"/>
      <c r="D59" s="79"/>
      <c r="F59" s="79"/>
      <c r="G59" s="79"/>
      <c r="H59" s="79"/>
      <c r="I59" s="79"/>
      <c r="J59" s="79"/>
      <c r="K59" s="79"/>
      <c r="L59" s="79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</row>
    <row r="60" spans="1:39">
      <c r="A60" s="105" t="s">
        <v>110</v>
      </c>
      <c r="B60" s="78"/>
      <c r="C60" s="78"/>
      <c r="D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140">
        <f>+P1</f>
        <v>2023</v>
      </c>
      <c r="Q60" s="140">
        <f t="shared" ref="Q60:AM60" si="163">+Q1</f>
        <v>2024</v>
      </c>
      <c r="R60" s="140">
        <f t="shared" si="163"/>
        <v>2025</v>
      </c>
      <c r="S60" s="140">
        <f t="shared" si="163"/>
        <v>2026</v>
      </c>
      <c r="T60" s="140">
        <f t="shared" si="163"/>
        <v>2027</v>
      </c>
      <c r="U60" s="140">
        <f t="shared" si="163"/>
        <v>2028</v>
      </c>
      <c r="V60" s="140">
        <f t="shared" si="163"/>
        <v>2029</v>
      </c>
      <c r="W60" s="140">
        <f t="shared" si="163"/>
        <v>2030</v>
      </c>
      <c r="X60" s="140">
        <f t="shared" si="163"/>
        <v>2031</v>
      </c>
      <c r="Y60" s="140">
        <f t="shared" si="163"/>
        <v>2032</v>
      </c>
      <c r="Z60" s="140">
        <f t="shared" si="163"/>
        <v>2033</v>
      </c>
      <c r="AA60" s="140">
        <f t="shared" si="163"/>
        <v>2034</v>
      </c>
      <c r="AB60" s="140">
        <f t="shared" si="163"/>
        <v>2035</v>
      </c>
      <c r="AC60" s="140">
        <f t="shared" si="163"/>
        <v>2036</v>
      </c>
      <c r="AD60" s="140">
        <f t="shared" si="163"/>
        <v>2037</v>
      </c>
      <c r="AE60" s="140">
        <f t="shared" si="163"/>
        <v>2038</v>
      </c>
      <c r="AF60" s="140">
        <f t="shared" si="163"/>
        <v>2039</v>
      </c>
      <c r="AG60" s="140">
        <f t="shared" si="163"/>
        <v>2040</v>
      </c>
      <c r="AH60" s="140">
        <f t="shared" si="163"/>
        <v>2041</v>
      </c>
      <c r="AI60" s="140">
        <f t="shared" si="163"/>
        <v>2042</v>
      </c>
      <c r="AJ60" s="140">
        <f t="shared" si="163"/>
        <v>2043</v>
      </c>
      <c r="AK60" s="140">
        <f t="shared" si="163"/>
        <v>2044</v>
      </c>
      <c r="AL60" s="140">
        <f t="shared" si="163"/>
        <v>2045</v>
      </c>
      <c r="AM60" s="140">
        <f t="shared" si="163"/>
        <v>2046</v>
      </c>
    </row>
    <row r="61" spans="1:39">
      <c r="A61" s="1" t="s">
        <v>104</v>
      </c>
      <c r="B61" s="78"/>
      <c r="C61" s="78"/>
      <c r="D61" s="79"/>
      <c r="F61" s="79"/>
      <c r="G61" s="79"/>
      <c r="H61" s="79"/>
      <c r="I61" s="79"/>
      <c r="J61" s="79"/>
      <c r="K61" s="79"/>
      <c r="L61" s="79"/>
      <c r="O61" s="141" t="str">
        <f>+A61</f>
        <v>FFO Interest Cover</v>
      </c>
      <c r="P61" s="144">
        <f t="shared" ref="P61:U61" si="164">+P36</f>
        <v>5.6013063154638765</v>
      </c>
      <c r="Q61" s="144">
        <f t="shared" si="164"/>
        <v>3.0026129983737944</v>
      </c>
      <c r="R61" s="144">
        <f t="shared" si="164"/>
        <v>2.1581304700214603</v>
      </c>
      <c r="S61" s="144">
        <f t="shared" si="164"/>
        <v>2.2347448820990428</v>
      </c>
      <c r="T61" s="144">
        <f t="shared" si="164"/>
        <v>2.3043725057568638</v>
      </c>
      <c r="U61" s="144">
        <f t="shared" si="164"/>
        <v>2.3779793777423479</v>
      </c>
      <c r="V61" s="144">
        <f t="shared" ref="V61:AM61" si="165">+V36</f>
        <v>2.4424491020214978</v>
      </c>
      <c r="W61" s="144">
        <f t="shared" si="165"/>
        <v>2.5056065630480786</v>
      </c>
      <c r="X61" s="144">
        <f t="shared" si="165"/>
        <v>2.5757468712928575</v>
      </c>
      <c r="Y61" s="144">
        <f t="shared" si="165"/>
        <v>2.6521155200608195</v>
      </c>
      <c r="Z61" s="144">
        <f t="shared" si="165"/>
        <v>2.7361367601831952</v>
      </c>
      <c r="AA61" s="144">
        <f t="shared" si="165"/>
        <v>2.8296124276819463</v>
      </c>
      <c r="AB61" s="144">
        <f t="shared" si="165"/>
        <v>2.9360675493460273</v>
      </c>
      <c r="AC61" s="144">
        <f t="shared" si="165"/>
        <v>3.0582488227884776</v>
      </c>
      <c r="AD61" s="144">
        <f t="shared" si="165"/>
        <v>3.198943243531259</v>
      </c>
      <c r="AE61" s="144">
        <f t="shared" si="165"/>
        <v>3.3591506215032623</v>
      </c>
      <c r="AF61" s="144">
        <f t="shared" si="165"/>
        <v>3.5426580533531049</v>
      </c>
      <c r="AG61" s="144">
        <f t="shared" si="165"/>
        <v>3.7623818342332798</v>
      </c>
      <c r="AH61" s="144">
        <f t="shared" si="165"/>
        <v>4.0301020667892047</v>
      </c>
      <c r="AI61" s="144">
        <f t="shared" si="165"/>
        <v>4.3514331074520261</v>
      </c>
      <c r="AJ61" s="144">
        <f t="shared" si="165"/>
        <v>4.7557776738641664</v>
      </c>
      <c r="AK61" s="144">
        <f t="shared" si="165"/>
        <v>5.2817778620905314</v>
      </c>
      <c r="AL61" s="144">
        <f t="shared" si="165"/>
        <v>5.9838559537597122</v>
      </c>
      <c r="AM61" s="144">
        <f t="shared" si="165"/>
        <v>6.9745816702846675</v>
      </c>
    </row>
    <row r="62" spans="1:39">
      <c r="A62" s="1" t="s">
        <v>31</v>
      </c>
      <c r="B62" s="78"/>
      <c r="C62" s="78"/>
      <c r="D62" s="79"/>
      <c r="F62" s="79"/>
      <c r="G62" s="79"/>
      <c r="H62" s="79"/>
      <c r="I62" s="79"/>
      <c r="J62" s="79"/>
      <c r="K62" s="79"/>
      <c r="L62" s="79"/>
      <c r="O62" s="141" t="str">
        <f t="shared" ref="O62:O65" si="166">+A62</f>
        <v>PMICR</v>
      </c>
      <c r="P62" s="144">
        <f t="shared" ref="P62:U62" si="167">+P44</f>
        <v>0.21707267919625475</v>
      </c>
      <c r="Q62" s="144">
        <f t="shared" si="167"/>
        <v>1.3477971054852429</v>
      </c>
      <c r="R62" s="144">
        <f t="shared" si="167"/>
        <v>1.4294006666351446</v>
      </c>
      <c r="S62" s="144">
        <f t="shared" si="167"/>
        <v>1.2753547669610084</v>
      </c>
      <c r="T62" s="144">
        <f t="shared" si="167"/>
        <v>1.2618138654511384</v>
      </c>
      <c r="U62" s="144">
        <f t="shared" si="167"/>
        <v>1.2486170817654751</v>
      </c>
      <c r="V62" s="144">
        <f t="shared" ref="V62:AM62" si="168">+V44</f>
        <v>1.2358363838117699</v>
      </c>
      <c r="W62" s="144">
        <f t="shared" si="168"/>
        <v>1.2226991824800946</v>
      </c>
      <c r="X62" s="144">
        <f t="shared" si="168"/>
        <v>1.2083259028794764</v>
      </c>
      <c r="Y62" s="144">
        <f t="shared" si="168"/>
        <v>1.193644785401025</v>
      </c>
      <c r="Z62" s="144">
        <f t="shared" si="168"/>
        <v>1.1781668194135131</v>
      </c>
      <c r="AA62" s="144">
        <f t="shared" si="168"/>
        <v>1.161665899392254</v>
      </c>
      <c r="AB62" s="144">
        <f t="shared" si="168"/>
        <v>1.1429863546229604</v>
      </c>
      <c r="AC62" s="144">
        <f t="shared" si="168"/>
        <v>1.1217239447437692</v>
      </c>
      <c r="AD62" s="144">
        <f t="shared" si="168"/>
        <v>1.0972013969891137</v>
      </c>
      <c r="AE62" s="144">
        <f t="shared" si="168"/>
        <v>1.0698876749099664</v>
      </c>
      <c r="AF62" s="144">
        <f t="shared" si="168"/>
        <v>1.0397767518192658</v>
      </c>
      <c r="AG62" s="144">
        <f t="shared" si="168"/>
        <v>1.0042929643085352</v>
      </c>
      <c r="AH62" s="144">
        <f t="shared" si="168"/>
        <v>0.95946008408219186</v>
      </c>
      <c r="AI62" s="144">
        <f t="shared" si="168"/>
        <v>0.90737757623765991</v>
      </c>
      <c r="AJ62" s="144">
        <f t="shared" si="168"/>
        <v>0.84229690140212232</v>
      </c>
      <c r="AK62" s="144">
        <f t="shared" si="168"/>
        <v>0.75684994282857909</v>
      </c>
      <c r="AL62" s="144">
        <f t="shared" si="168"/>
        <v>0.64308576995633082</v>
      </c>
      <c r="AM62" s="144">
        <f t="shared" si="168"/>
        <v>0.48359254646214983</v>
      </c>
    </row>
    <row r="63" spans="1:39">
      <c r="A63" s="1" t="s">
        <v>217</v>
      </c>
      <c r="B63" s="78"/>
      <c r="C63" s="78"/>
      <c r="D63" s="79"/>
      <c r="F63" s="79"/>
      <c r="G63" s="79"/>
      <c r="H63" s="79"/>
      <c r="I63" s="79"/>
      <c r="J63" s="79"/>
      <c r="K63" s="79"/>
      <c r="L63" s="79"/>
      <c r="O63" s="141" t="str">
        <f t="shared" si="166"/>
        <v>Nominal PMICR</v>
      </c>
      <c r="P63" s="144">
        <f>+P50</f>
        <v>4.7009018271149854</v>
      </c>
      <c r="Q63" s="144">
        <f t="shared" ref="Q63:U63" si="169">+Q50</f>
        <v>2.2482192093186857</v>
      </c>
      <c r="R63" s="144">
        <f t="shared" si="169"/>
        <v>1.7136014897835818</v>
      </c>
      <c r="S63" s="144">
        <f t="shared" si="169"/>
        <v>1.8199903251513447</v>
      </c>
      <c r="T63" s="144">
        <f t="shared" si="169"/>
        <v>1.8082716470774529</v>
      </c>
      <c r="U63" s="144">
        <f t="shared" si="169"/>
        <v>1.7969271619168228</v>
      </c>
      <c r="V63" s="144">
        <f t="shared" ref="V63:AM63" si="170">+V50</f>
        <v>1.7856462445513326</v>
      </c>
      <c r="W63" s="144">
        <f t="shared" si="170"/>
        <v>1.773398796990356</v>
      </c>
      <c r="X63" s="144">
        <f t="shared" si="170"/>
        <v>1.7595712999563562</v>
      </c>
      <c r="Y63" s="144">
        <f t="shared" si="170"/>
        <v>1.7455917190658554</v>
      </c>
      <c r="Z63" s="144">
        <f t="shared" si="170"/>
        <v>1.7308298309789274</v>
      </c>
      <c r="AA63" s="144">
        <f t="shared" si="170"/>
        <v>1.7154260814896602</v>
      </c>
      <c r="AB63" s="144">
        <f t="shared" si="170"/>
        <v>1.6979366430722891</v>
      </c>
      <c r="AC63" s="144">
        <f t="shared" si="170"/>
        <v>1.6781139872536819</v>
      </c>
      <c r="AD63" s="144">
        <f t="shared" si="170"/>
        <v>1.6548294539058372</v>
      </c>
      <c r="AE63" s="144">
        <f t="shared" si="170"/>
        <v>1.6286323371697238</v>
      </c>
      <c r="AF63" s="144">
        <f t="shared" si="170"/>
        <v>1.6001636848913892</v>
      </c>
      <c r="AG63" s="144">
        <f t="shared" si="170"/>
        <v>1.5676233535252473</v>
      </c>
      <c r="AH63" s="144">
        <f t="shared" si="170"/>
        <v>1.5246451990851222</v>
      </c>
      <c r="AI63" s="144">
        <f t="shared" si="170"/>
        <v>1.4755527600888443</v>
      </c>
      <c r="AJ63" s="144">
        <f t="shared" si="170"/>
        <v>1.4147445584065503</v>
      </c>
      <c r="AK63" s="144">
        <f t="shared" si="170"/>
        <v>1.3342876128713939</v>
      </c>
      <c r="AL63" s="144">
        <f t="shared" si="170"/>
        <v>1.2269222269043241</v>
      </c>
      <c r="AM63" s="144">
        <f t="shared" si="170"/>
        <v>1.0774815706185947</v>
      </c>
    </row>
    <row r="64" spans="1:39">
      <c r="A64" s="1" t="s">
        <v>107</v>
      </c>
      <c r="B64" s="78"/>
      <c r="C64" s="78"/>
      <c r="D64" s="79"/>
      <c r="F64" s="79"/>
      <c r="G64" s="79"/>
      <c r="H64" s="79"/>
      <c r="I64" s="79"/>
      <c r="J64" s="79"/>
      <c r="K64" s="79"/>
      <c r="L64" s="79"/>
      <c r="M64" s="80"/>
      <c r="N64" s="80"/>
      <c r="O64" s="141" t="str">
        <f t="shared" si="166"/>
        <v>FFO / Net Debt</v>
      </c>
      <c r="P64" s="126">
        <f t="shared" ref="P64:U64" si="171">+P54</f>
        <v>0.10260913083484446</v>
      </c>
      <c r="Q64" s="126">
        <f t="shared" si="171"/>
        <v>9.1719675325519778E-2</v>
      </c>
      <c r="R64" s="126">
        <f t="shared" si="171"/>
        <v>8.0258441572487196E-2</v>
      </c>
      <c r="S64" s="126">
        <f t="shared" si="171"/>
        <v>8.5567820329463667E-2</v>
      </c>
      <c r="T64" s="126">
        <f t="shared" si="171"/>
        <v>9.0393014648950665E-2</v>
      </c>
      <c r="U64" s="126">
        <f t="shared" si="171"/>
        <v>9.5493970877544729E-2</v>
      </c>
      <c r="V64" s="126">
        <f t="shared" ref="V64:AM64" si="172">+V54</f>
        <v>9.99617227700898E-2</v>
      </c>
      <c r="W64" s="126">
        <f t="shared" si="172"/>
        <v>0.10433853481923186</v>
      </c>
      <c r="X64" s="126">
        <f t="shared" si="172"/>
        <v>0.10919925818059503</v>
      </c>
      <c r="Y64" s="126">
        <f t="shared" si="172"/>
        <v>0.1144916055402148</v>
      </c>
      <c r="Z64" s="126">
        <f t="shared" si="172"/>
        <v>0.12031427748069541</v>
      </c>
      <c r="AA64" s="126">
        <f t="shared" si="172"/>
        <v>0.12679214123835889</v>
      </c>
      <c r="AB64" s="126">
        <f t="shared" si="172"/>
        <v>0.13416948116967967</v>
      </c>
      <c r="AC64" s="126">
        <f t="shared" si="172"/>
        <v>0.14263664341924151</v>
      </c>
      <c r="AD64" s="126">
        <f t="shared" si="172"/>
        <v>0.15238676677671625</v>
      </c>
      <c r="AE64" s="126">
        <f t="shared" si="172"/>
        <v>0.16348913807017607</v>
      </c>
      <c r="AF64" s="126">
        <f t="shared" si="172"/>
        <v>0.17620620309737015</v>
      </c>
      <c r="AG64" s="126">
        <f t="shared" si="172"/>
        <v>0.19143306111236627</v>
      </c>
      <c r="AH64" s="126">
        <f t="shared" si="172"/>
        <v>0.20998607322849189</v>
      </c>
      <c r="AI64" s="126">
        <f t="shared" si="172"/>
        <v>0.23225431434642541</v>
      </c>
      <c r="AJ64" s="126">
        <f t="shared" si="172"/>
        <v>0.26027539279878675</v>
      </c>
      <c r="AK64" s="126">
        <f t="shared" si="172"/>
        <v>0.29672720584287382</v>
      </c>
      <c r="AL64" s="126">
        <f t="shared" si="172"/>
        <v>0.34538121759554807</v>
      </c>
      <c r="AM64" s="126">
        <f t="shared" si="172"/>
        <v>0.41403850975072748</v>
      </c>
    </row>
    <row r="65" spans="1:39">
      <c r="A65" s="1" t="s">
        <v>109</v>
      </c>
      <c r="B65" s="78"/>
      <c r="C65" s="78"/>
      <c r="D65" s="79"/>
      <c r="F65" s="79"/>
      <c r="G65" s="79"/>
      <c r="H65" s="79"/>
      <c r="I65" s="79"/>
      <c r="J65" s="79"/>
      <c r="K65" s="79"/>
      <c r="L65" s="79"/>
      <c r="M65" s="80"/>
      <c r="N65" s="80"/>
      <c r="O65" s="141" t="str">
        <f t="shared" si="166"/>
        <v>Gearing</v>
      </c>
      <c r="P65" s="126">
        <f t="shared" ref="P65:U65" si="173">+P58</f>
        <v>0.55000000000000004</v>
      </c>
      <c r="Q65" s="126">
        <f t="shared" si="173"/>
        <v>0.55000000000000004</v>
      </c>
      <c r="R65" s="126">
        <f t="shared" si="173"/>
        <v>0.55000000000000004</v>
      </c>
      <c r="S65" s="126">
        <f t="shared" si="173"/>
        <v>0.55000000000000004</v>
      </c>
      <c r="T65" s="126">
        <f t="shared" si="173"/>
        <v>0.55000000000000004</v>
      </c>
      <c r="U65" s="126">
        <f t="shared" si="173"/>
        <v>0.55000000000000004</v>
      </c>
      <c r="V65" s="126">
        <f t="shared" ref="V65:AM65" si="174">+V58</f>
        <v>0.55000000000000004</v>
      </c>
      <c r="W65" s="126">
        <f t="shared" si="174"/>
        <v>0.55000000000000004</v>
      </c>
      <c r="X65" s="126">
        <f t="shared" si="174"/>
        <v>0.55000000000000004</v>
      </c>
      <c r="Y65" s="126">
        <f t="shared" si="174"/>
        <v>0.55000000000000004</v>
      </c>
      <c r="Z65" s="126">
        <f t="shared" si="174"/>
        <v>0.55000000000000004</v>
      </c>
      <c r="AA65" s="126">
        <f t="shared" si="174"/>
        <v>0.55000000000000004</v>
      </c>
      <c r="AB65" s="126">
        <f t="shared" si="174"/>
        <v>0.55000000000000004</v>
      </c>
      <c r="AC65" s="126">
        <f t="shared" si="174"/>
        <v>0.55000000000000004</v>
      </c>
      <c r="AD65" s="126">
        <f t="shared" si="174"/>
        <v>0.55000000000000004</v>
      </c>
      <c r="AE65" s="126">
        <f t="shared" si="174"/>
        <v>0.55000000000000004</v>
      </c>
      <c r="AF65" s="126">
        <f t="shared" si="174"/>
        <v>0.55000000000000004</v>
      </c>
      <c r="AG65" s="126">
        <f t="shared" si="174"/>
        <v>0.55000000000000004</v>
      </c>
      <c r="AH65" s="126">
        <f t="shared" si="174"/>
        <v>0.55000000000000004</v>
      </c>
      <c r="AI65" s="126">
        <f t="shared" si="174"/>
        <v>0.55000000000000004</v>
      </c>
      <c r="AJ65" s="126">
        <f t="shared" si="174"/>
        <v>0.54999999999999993</v>
      </c>
      <c r="AK65" s="126">
        <f t="shared" si="174"/>
        <v>0.55000000000000004</v>
      </c>
      <c r="AL65" s="126">
        <f t="shared" si="174"/>
        <v>0.55000000000000004</v>
      </c>
      <c r="AM65" s="126">
        <f t="shared" si="174"/>
        <v>0.55000000000000004</v>
      </c>
    </row>
    <row r="67" spans="1:39">
      <c r="U67" s="139"/>
    </row>
    <row r="68" spans="1:39">
      <c r="U68" s="28"/>
    </row>
    <row r="69" spans="1:39">
      <c r="U69" s="28"/>
    </row>
    <row r="70" spans="1:39">
      <c r="U70" s="28"/>
    </row>
    <row r="71" spans="1:39">
      <c r="U71" s="127"/>
    </row>
    <row r="72" spans="1:39">
      <c r="U72" s="127"/>
    </row>
    <row r="73" spans="1:39">
      <c r="U73" s="127"/>
    </row>
    <row r="74" spans="1:39">
      <c r="A74" s="105"/>
      <c r="U74" s="127"/>
    </row>
    <row r="75" spans="1:39">
      <c r="A75" s="1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39">
      <c r="A76" s="1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39">
      <c r="A77" s="1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39">
      <c r="A78" s="1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39">
      <c r="A79" s="10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68"/>
      <c r="Q79" s="68"/>
      <c r="R79" s="68"/>
      <c r="S79" s="68"/>
      <c r="T79" s="68"/>
      <c r="U79" s="68"/>
      <c r="V79" s="35"/>
    </row>
    <row r="80" spans="1:39">
      <c r="P80" s="114"/>
      <c r="Q80" s="114"/>
      <c r="R80" s="114"/>
      <c r="S80" s="114"/>
      <c r="T80" s="114"/>
      <c r="U80" s="114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28"/>
  <sheetViews>
    <sheetView workbookViewId="0">
      <pane xSplit="15" ySplit="1" topLeftCell="P2" activePane="bottomRight" state="frozen"/>
      <selection pane="topRight" activeCell="P1" sqref="P1"/>
      <selection pane="bottomLeft" activeCell="A2" sqref="A2"/>
      <selection pane="bottomRight" activeCell="P7" sqref="P7"/>
    </sheetView>
  </sheetViews>
  <sheetFormatPr defaultColWidth="8.6328125" defaultRowHeight="13"/>
  <cols>
    <col min="1" max="1" width="19.6328125" style="103" bestFit="1" customWidth="1"/>
    <col min="2" max="2" width="18.6328125" style="103" bestFit="1" customWidth="1"/>
    <col min="3" max="3" width="5.6328125" style="104" bestFit="1" customWidth="1"/>
    <col min="4" max="15" width="6.6328125" style="100" hidden="1" customWidth="1"/>
    <col min="16" max="21" width="6.08984375" style="100" bestFit="1" customWidth="1"/>
    <col min="22" max="39" width="6.08984375" style="103" bestFit="1" customWidth="1"/>
    <col min="40" max="16384" width="8.6328125" style="103"/>
  </cols>
  <sheetData>
    <row r="1" spans="1:39" s="102" customFormat="1">
      <c r="B1" s="36"/>
    </row>
    <row r="2" spans="1:39">
      <c r="B2" s="32"/>
      <c r="C2" s="33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</row>
    <row r="3" spans="1:39">
      <c r="A3" s="102" t="s">
        <v>293</v>
      </c>
      <c r="B3" s="102" t="s">
        <v>174</v>
      </c>
      <c r="C3" s="34" t="s">
        <v>292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40">
        <f>+Inputs!P1</f>
        <v>2023</v>
      </c>
      <c r="Q3" s="40">
        <f>+Inputs!Q1</f>
        <v>2024</v>
      </c>
      <c r="R3" s="40">
        <f>+Inputs!R1</f>
        <v>2025</v>
      </c>
      <c r="S3" s="40">
        <f>+Inputs!S1</f>
        <v>2026</v>
      </c>
      <c r="T3" s="40">
        <f>+Inputs!T1</f>
        <v>2027</v>
      </c>
      <c r="U3" s="40">
        <f>+Inputs!U1</f>
        <v>2028</v>
      </c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</row>
    <row r="4" spans="1:39" ht="15">
      <c r="A4" s="100" t="s">
        <v>263</v>
      </c>
      <c r="B4" s="115" t="s">
        <v>268</v>
      </c>
      <c r="P4" s="128">
        <f>+'Pi''s Calc'!P3</f>
        <v>1.0563108641975303E-2</v>
      </c>
      <c r="Q4" s="128">
        <f>+'Pi''s Calc'!Q3</f>
        <v>4.0230658641975302E-2</v>
      </c>
      <c r="R4" s="128">
        <f>+'Pi''s Calc'!R3</f>
        <v>5.9636308641975305E-2</v>
      </c>
      <c r="S4" s="128">
        <f>+'Pi''s Calc'!S3</f>
        <v>5.3937758641975309E-2</v>
      </c>
      <c r="T4" s="128">
        <f>+'Pi''s Calc'!T3</f>
        <v>5.3937758641975309E-2</v>
      </c>
      <c r="U4" s="128">
        <f>+'Pi''s Calc'!U3</f>
        <v>5.3937758641975309E-2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</row>
    <row r="5" spans="1:39">
      <c r="A5" s="100" t="s">
        <v>264</v>
      </c>
      <c r="B5" s="115" t="s">
        <v>171</v>
      </c>
      <c r="C5" s="129">
        <f>+'Pi''s Calc'!U1</f>
        <v>2028</v>
      </c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</row>
    <row r="6" spans="1:39">
      <c r="A6" s="100" t="s">
        <v>265</v>
      </c>
      <c r="B6" s="115" t="s">
        <v>170</v>
      </c>
      <c r="C6" s="129">
        <f>+'Pi''s Calc'!O1</f>
        <v>2022</v>
      </c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</row>
    <row r="7" spans="1:39">
      <c r="A7" s="100" t="s">
        <v>266</v>
      </c>
      <c r="B7" s="115" t="s">
        <v>172</v>
      </c>
      <c r="C7" s="129">
        <f>+'Pi''s Calc'!AM1</f>
        <v>2046</v>
      </c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</row>
    <row r="8" spans="1:39">
      <c r="A8" s="100" t="s">
        <v>267</v>
      </c>
      <c r="B8" s="115" t="s">
        <v>269</v>
      </c>
      <c r="C8" s="130">
        <f>+Inputs!M29</f>
        <v>109.2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</row>
    <row r="9" spans="1:39"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</row>
    <row r="10" spans="1:39">
      <c r="A10" s="102" t="s">
        <v>293</v>
      </c>
      <c r="B10" s="102" t="s">
        <v>175</v>
      </c>
      <c r="C10" s="33" t="s">
        <v>180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>
        <f>+Inputs!P1</f>
        <v>2023</v>
      </c>
      <c r="Q10" s="40">
        <f>+Inputs!Q1</f>
        <v>2024</v>
      </c>
      <c r="R10" s="40">
        <f>+Inputs!R1</f>
        <v>2025</v>
      </c>
      <c r="S10" s="40">
        <f>+Inputs!S1</f>
        <v>2026</v>
      </c>
      <c r="T10" s="40">
        <f>+Inputs!T1</f>
        <v>2027</v>
      </c>
      <c r="U10" s="40">
        <f>+Inputs!U1</f>
        <v>2028</v>
      </c>
      <c r="V10" s="40">
        <f>+Inputs!V1</f>
        <v>2029</v>
      </c>
      <c r="W10" s="40">
        <f>+Inputs!W1</f>
        <v>2030</v>
      </c>
      <c r="X10" s="40">
        <f>+Inputs!X1</f>
        <v>2031</v>
      </c>
      <c r="Y10" s="40">
        <f>+Inputs!Y1</f>
        <v>2032</v>
      </c>
      <c r="Z10" s="40">
        <f>+Inputs!Z1</f>
        <v>2033</v>
      </c>
      <c r="AA10" s="40">
        <f>+Inputs!AA1</f>
        <v>2034</v>
      </c>
      <c r="AB10" s="40">
        <f>+Inputs!AB1</f>
        <v>2035</v>
      </c>
      <c r="AC10" s="40">
        <f>+Inputs!AC1</f>
        <v>2036</v>
      </c>
      <c r="AD10" s="40">
        <f>+Inputs!AD1</f>
        <v>2037</v>
      </c>
      <c r="AE10" s="40">
        <f>+Inputs!AE1</f>
        <v>2038</v>
      </c>
      <c r="AF10" s="40">
        <f>+Inputs!AF1</f>
        <v>2039</v>
      </c>
      <c r="AG10" s="40">
        <f>+Inputs!AG1</f>
        <v>2040</v>
      </c>
      <c r="AH10" s="40">
        <f>+Inputs!AH1</f>
        <v>2041</v>
      </c>
      <c r="AI10" s="40">
        <f>+Inputs!AI1</f>
        <v>2042</v>
      </c>
      <c r="AJ10" s="40">
        <f>+Inputs!AJ1</f>
        <v>2043</v>
      </c>
      <c r="AK10" s="40">
        <f>+Inputs!AK1</f>
        <v>2044</v>
      </c>
      <c r="AL10" s="40">
        <f>+Inputs!AL1</f>
        <v>2045</v>
      </c>
      <c r="AM10" s="40">
        <f>+Inputs!AM1</f>
        <v>2046</v>
      </c>
    </row>
    <row r="11" spans="1:39" ht="15">
      <c r="A11" s="103" t="s">
        <v>282</v>
      </c>
      <c r="B11" s="115" t="s">
        <v>270</v>
      </c>
      <c r="C11" s="104" t="s">
        <v>176</v>
      </c>
      <c r="P11" s="100">
        <f>+'Pi''s Calc'!P9</f>
        <v>91523.803499999995</v>
      </c>
      <c r="Q11" s="100">
        <f>+'Pi''s Calc'!Q9</f>
        <v>95534.722350000011</v>
      </c>
      <c r="R11" s="100">
        <f>+'Pi''s Calc'!R9</f>
        <v>101069.52127323304</v>
      </c>
      <c r="S11" s="100">
        <f>+'Pi''s Calc'!S9</f>
        <v>104823.49659774808</v>
      </c>
      <c r="T11" s="100">
        <f>+'Pi''s Calc'!T9</f>
        <v>107235.06343344992</v>
      </c>
      <c r="U11" s="100">
        <f>+'Pi''s Calc'!U9</f>
        <v>109599.91164459511</v>
      </c>
      <c r="V11" s="100">
        <f>+'Pi''s Calc'!V9</f>
        <v>110665.68544098971</v>
      </c>
      <c r="W11" s="100">
        <f>+'Pi''s Calc'!W9</f>
        <v>111616.97442893864</v>
      </c>
      <c r="X11" s="100">
        <f>+'Pi''s Calc'!X9</f>
        <v>112458.14290955795</v>
      </c>
      <c r="Y11" s="100">
        <f>+'Pi''s Calc'!Y9</f>
        <v>113193.94779910684</v>
      </c>
      <c r="Z11" s="100">
        <f>+'Pi''s Calc'!Z9</f>
        <v>113828.90219592044</v>
      </c>
      <c r="AA11" s="100">
        <f>+'Pi''s Calc'!AA9</f>
        <v>114367.28769126767</v>
      </c>
      <c r="AB11" s="100">
        <f>+'Pi''s Calc'!AB9</f>
        <v>114813.16606596312</v>
      </c>
      <c r="AC11" s="100">
        <f>+'Pi''s Calc'!AC9</f>
        <v>115156.61440308538</v>
      </c>
      <c r="AD11" s="100">
        <f>+'Pi''s Calc'!AD9</f>
        <v>115401.79164566744</v>
      </c>
      <c r="AE11" s="100">
        <f>+'Pi''s Calc'!AE9</f>
        <v>115566.10862680734</v>
      </c>
      <c r="AF11" s="100">
        <f>+'Pi''s Calc'!AF9</f>
        <v>115652.85359830274</v>
      </c>
      <c r="AG11" s="100">
        <f>+'Pi''s Calc'!AG9</f>
        <v>115665.1452826309</v>
      </c>
      <c r="AH11" s="100">
        <f>+'Pi''s Calc'!AH9</f>
        <v>115605.94147187767</v>
      </c>
      <c r="AI11" s="100">
        <f>+'Pi''s Calc'!AI9</f>
        <v>115478.04719605976</v>
      </c>
      <c r="AJ11" s="100">
        <f>+'Pi''s Calc'!AJ9</f>
        <v>115284.12248218183</v>
      </c>
      <c r="AK11" s="100">
        <f>+'Pi''s Calc'!AK9</f>
        <v>115026.68972432188</v>
      </c>
      <c r="AL11" s="100">
        <f>+'Pi''s Calc'!AL9</f>
        <v>114708.14068404007</v>
      </c>
      <c r="AM11" s="100">
        <f>+'Pi''s Calc'!AM9</f>
        <v>114330.74313945706</v>
      </c>
    </row>
    <row r="12" spans="1:39" ht="15">
      <c r="A12" s="103" t="s">
        <v>282</v>
      </c>
      <c r="B12" s="115" t="s">
        <v>270</v>
      </c>
      <c r="C12" s="104" t="s">
        <v>177</v>
      </c>
      <c r="P12" s="100">
        <f>+'Pi''s Calc'!P10</f>
        <v>17757.349999999984</v>
      </c>
      <c r="Q12" s="100">
        <f>+'Pi''s Calc'!Q10</f>
        <v>19240.946399999986</v>
      </c>
      <c r="R12" s="100">
        <f>+'Pi''s Calc'!R10</f>
        <v>20150.490359999985</v>
      </c>
      <c r="S12" s="100">
        <f>+'Pi''s Calc'!S10</f>
        <v>20414.783999999985</v>
      </c>
      <c r="T12" s="100">
        <f>+'Pi''s Calc'!T10</f>
        <v>20539.583999999984</v>
      </c>
      <c r="U12" s="100">
        <f>+'Pi''s Calc'!U10</f>
        <v>20664.383999999984</v>
      </c>
      <c r="V12" s="100">
        <f>+'Pi''s Calc'!V10</f>
        <v>20558.193066666652</v>
      </c>
      <c r="W12" s="100">
        <f>+'Pi''s Calc'!W10</f>
        <v>20449.228799999986</v>
      </c>
      <c r="X12" s="100">
        <f>+'Pi''s Calc'!X10</f>
        <v>20337.491199999989</v>
      </c>
      <c r="Y12" s="100">
        <f>+'Pi''s Calc'!Y10</f>
        <v>20222.980266666655</v>
      </c>
      <c r="Z12" s="100">
        <f>+'Pi''s Calc'!Z10</f>
        <v>20105.695999999989</v>
      </c>
      <c r="AA12" s="100">
        <f>+'Pi''s Calc'!AA10</f>
        <v>19985.638399999993</v>
      </c>
      <c r="AB12" s="100">
        <f>+'Pi''s Calc'!AB10</f>
        <v>19862.807466666658</v>
      </c>
      <c r="AC12" s="100">
        <f>+'Pi''s Calc'!AC10</f>
        <v>19737.203199999993</v>
      </c>
      <c r="AD12" s="100">
        <f>+'Pi''s Calc'!AD10</f>
        <v>19608.825599999993</v>
      </c>
      <c r="AE12" s="100">
        <f>+'Pi''s Calc'!AE10</f>
        <v>19477.674666666662</v>
      </c>
      <c r="AF12" s="100">
        <f>+'Pi''s Calc'!AF10</f>
        <v>19343.750399999994</v>
      </c>
      <c r="AG12" s="100">
        <f>+'Pi''s Calc'!AG10</f>
        <v>19207.052799999998</v>
      </c>
      <c r="AH12" s="100">
        <f>+'Pi''s Calc'!AH10</f>
        <v>19067.581866666667</v>
      </c>
      <c r="AI12" s="100">
        <f>+'Pi''s Calc'!AI10</f>
        <v>18925.337600000003</v>
      </c>
      <c r="AJ12" s="100">
        <f>+'Pi''s Calc'!AJ10</f>
        <v>18780.32</v>
      </c>
      <c r="AK12" s="100">
        <f>+'Pi''s Calc'!AK10</f>
        <v>18632.52906666667</v>
      </c>
      <c r="AL12" s="100">
        <f>+'Pi''s Calc'!AL10</f>
        <v>18481.964800000005</v>
      </c>
      <c r="AM12" s="100">
        <f>+'Pi''s Calc'!AM10</f>
        <v>18328.627200000003</v>
      </c>
    </row>
    <row r="13" spans="1:39" ht="15">
      <c r="A13" s="103" t="s">
        <v>282</v>
      </c>
      <c r="B13" s="115" t="s">
        <v>270</v>
      </c>
      <c r="C13" s="104" t="s">
        <v>178</v>
      </c>
      <c r="P13" s="100">
        <f>+'Pi''s Calc'!P11</f>
        <v>30087.561299976693</v>
      </c>
      <c r="Q13" s="100">
        <f>+'Pi''s Calc'!Q11</f>
        <v>30769.869722559706</v>
      </c>
      <c r="R13" s="100">
        <f>+'Pi''s Calc'!R11</f>
        <v>31057.768258190983</v>
      </c>
      <c r="S13" s="100">
        <f>+'Pi''s Calc'!S11</f>
        <v>31117.231543929542</v>
      </c>
      <c r="T13" s="100">
        <f>+'Pi''s Calc'!T11</f>
        <v>31179.931543929542</v>
      </c>
      <c r="U13" s="100">
        <f>+'Pi''s Calc'!U11</f>
        <v>31242.631543929543</v>
      </c>
      <c r="V13" s="100">
        <f>+'Pi''s Calc'!V11</f>
        <v>30957.494526774775</v>
      </c>
      <c r="W13" s="100">
        <f>+'Pi''s Calc'!W11</f>
        <v>30670.964176286667</v>
      </c>
      <c r="X13" s="100">
        <f>+'Pi''s Calc'!X11</f>
        <v>30383.040492465228</v>
      </c>
      <c r="Y13" s="100">
        <f>+'Pi''s Calc'!Y11</f>
        <v>30093.72347531046</v>
      </c>
      <c r="Z13" s="100">
        <f>+'Pi''s Calc'!Z11</f>
        <v>29803.013124822355</v>
      </c>
      <c r="AA13" s="100">
        <f>+'Pi''s Calc'!AA11</f>
        <v>29510.909441000917</v>
      </c>
      <c r="AB13" s="100">
        <f>+'Pi''s Calc'!AB11</f>
        <v>29217.412423846148</v>
      </c>
      <c r="AC13" s="100">
        <f>+'Pi''s Calc'!AC11</f>
        <v>28922.522073358035</v>
      </c>
      <c r="AD13" s="100">
        <f>+'Pi''s Calc'!AD11</f>
        <v>28626.2383895366</v>
      </c>
      <c r="AE13" s="100">
        <f>+'Pi''s Calc'!AE11</f>
        <v>28328.561372381831</v>
      </c>
      <c r="AF13" s="100">
        <f>+'Pi''s Calc'!AF11</f>
        <v>28029.491021893726</v>
      </c>
      <c r="AG13" s="100">
        <f>+'Pi''s Calc'!AG11</f>
        <v>27729.027338072287</v>
      </c>
      <c r="AH13" s="100">
        <f>+'Pi''s Calc'!AH11</f>
        <v>27427.170320917518</v>
      </c>
      <c r="AI13" s="100">
        <f>+'Pi''s Calc'!AI11</f>
        <v>27123.919970429411</v>
      </c>
      <c r="AJ13" s="100">
        <f>+'Pi''s Calc'!AJ11</f>
        <v>26819.276286607972</v>
      </c>
      <c r="AK13" s="100">
        <f>+'Pi''s Calc'!AK11</f>
        <v>26513.239269453203</v>
      </c>
      <c r="AL13" s="100">
        <f>+'Pi''s Calc'!AL11</f>
        <v>26205.808918965093</v>
      </c>
      <c r="AM13" s="100">
        <f>+'Pi''s Calc'!AM11</f>
        <v>25896.985235143657</v>
      </c>
    </row>
    <row r="14" spans="1:39" ht="15">
      <c r="A14" s="103" t="s">
        <v>282</v>
      </c>
      <c r="B14" s="115" t="s">
        <v>270</v>
      </c>
      <c r="C14" s="104" t="s">
        <v>179</v>
      </c>
      <c r="P14" s="100">
        <f>+'Pi''s Calc'!P12</f>
        <v>12255.655411146106</v>
      </c>
      <c r="Q14" s="100">
        <f>+'Pi''s Calc'!Q12</f>
        <v>13120.760498991714</v>
      </c>
      <c r="R14" s="100">
        <f>+'Pi''s Calc'!R12</f>
        <v>13610.986715437557</v>
      </c>
      <c r="S14" s="100">
        <f>+'Pi''s Calc'!S12</f>
        <v>13697.497224222117</v>
      </c>
      <c r="T14" s="100">
        <f>+'Pi''s Calc'!T12</f>
        <v>13697.497224222117</v>
      </c>
      <c r="U14" s="100">
        <f>+'Pi''s Calc'!U12</f>
        <v>13697.497224222117</v>
      </c>
      <c r="V14" s="100">
        <f>+'Pi''s Calc'!V12</f>
        <v>13545.302810619651</v>
      </c>
      <c r="W14" s="100">
        <f>+'Pi''s Calc'!W12</f>
        <v>13393.108397017182</v>
      </c>
      <c r="X14" s="100">
        <f>+'Pi''s Calc'!X12</f>
        <v>13240.913983414715</v>
      </c>
      <c r="Y14" s="100">
        <f>+'Pi''s Calc'!Y12</f>
        <v>13088.719569812247</v>
      </c>
      <c r="Z14" s="100">
        <f>+'Pi''s Calc'!Z12</f>
        <v>12936.525156209782</v>
      </c>
      <c r="AA14" s="100">
        <f>+'Pi''s Calc'!AA12</f>
        <v>12784.330742607313</v>
      </c>
      <c r="AB14" s="100">
        <f>+'Pi''s Calc'!AB12</f>
        <v>12632.136329004847</v>
      </c>
      <c r="AC14" s="100">
        <f>+'Pi''s Calc'!AC12</f>
        <v>12479.941915402378</v>
      </c>
      <c r="AD14" s="100">
        <f>+'Pi''s Calc'!AD12</f>
        <v>12327.747501799911</v>
      </c>
      <c r="AE14" s="100">
        <f>+'Pi''s Calc'!AE12</f>
        <v>12175.553088197443</v>
      </c>
      <c r="AF14" s="100">
        <f>+'Pi''s Calc'!AF12</f>
        <v>12023.358674594976</v>
      </c>
      <c r="AG14" s="100">
        <f>+'Pi''s Calc'!AG12</f>
        <v>11871.164260992507</v>
      </c>
      <c r="AH14" s="100">
        <f>+'Pi''s Calc'!AH12</f>
        <v>11718.969847390041</v>
      </c>
      <c r="AI14" s="100">
        <f>+'Pi''s Calc'!AI12</f>
        <v>11566.775433787574</v>
      </c>
      <c r="AJ14" s="100">
        <f>+'Pi''s Calc'!AJ12</f>
        <v>11414.581020185107</v>
      </c>
      <c r="AK14" s="100">
        <f>+'Pi''s Calc'!AK12</f>
        <v>11262.386606582641</v>
      </c>
      <c r="AL14" s="100">
        <f>+'Pi''s Calc'!AL12</f>
        <v>11110.192192980172</v>
      </c>
      <c r="AM14" s="100">
        <f>+'Pi''s Calc'!AM12</f>
        <v>10957.997779377705</v>
      </c>
    </row>
    <row r="15" spans="1:39" ht="15">
      <c r="A15" s="103" t="s">
        <v>283</v>
      </c>
      <c r="B15" s="115" t="s">
        <v>271</v>
      </c>
      <c r="P15" s="100">
        <f>+'Pi''s Calc'!P6</f>
        <v>18841.588521165329</v>
      </c>
      <c r="Q15" s="100">
        <f>+'Pi''s Calc'!Q6</f>
        <v>17815.584186577154</v>
      </c>
      <c r="R15" s="100">
        <f>+'Pi''s Calc'!R6</f>
        <v>17986.265501800743</v>
      </c>
      <c r="S15" s="100">
        <f>+'Pi''s Calc'!S6</f>
        <v>17013.545848919399</v>
      </c>
      <c r="T15" s="100">
        <f>+'Pi''s Calc'!T6</f>
        <v>13466.328875561347</v>
      </c>
      <c r="U15" s="100">
        <f>+'Pi''s Calc'!U6</f>
        <v>13292.888172939358</v>
      </c>
      <c r="V15" s="100">
        <f>+'Pi''s Calc'!V6</f>
        <v>11246.467532097255</v>
      </c>
      <c r="W15" s="100">
        <f>+'Pi''s Calc'!W6</f>
        <v>11073.195254540793</v>
      </c>
      <c r="X15" s="100">
        <f>+'Pi''s Calc'!X6</f>
        <v>11530.539122140994</v>
      </c>
      <c r="Y15" s="100">
        <f>+'Pi''s Calc'!Y6</f>
        <v>11581.834689936286</v>
      </c>
      <c r="Z15" s="100">
        <f>+'Pi''s Calc'!Z6</f>
        <v>11823.433969234164</v>
      </c>
      <c r="AA15" s="100">
        <f>+'Pi''s Calc'!AA6</f>
        <v>11339.732696378311</v>
      </c>
      <c r="AB15" s="100">
        <f>+'Pi''s Calc'!AB6</f>
        <v>11094.965267488427</v>
      </c>
      <c r="AC15" s="100">
        <f>+'Pi''s Calc'!AC6</f>
        <v>10623.505202906425</v>
      </c>
      <c r="AD15" s="100">
        <f>+'Pi''s Calc'!AD6</f>
        <v>10981.214429534157</v>
      </c>
      <c r="AE15" s="100">
        <f>+'Pi''s Calc'!AE6</f>
        <v>11697.104494896579</v>
      </c>
      <c r="AF15" s="100">
        <f>+'Pi''s Calc'!AF6</f>
        <v>11705.032919057145</v>
      </c>
      <c r="AG15" s="100">
        <f>+'Pi''s Calc'!AG6</f>
        <v>10279.644365439472</v>
      </c>
      <c r="AH15" s="100">
        <f>+'Pi''s Calc'!AH6</f>
        <v>11655.259145045076</v>
      </c>
      <c r="AI15" s="100">
        <f>+'Pi''s Calc'!AI6</f>
        <v>11423.416573379041</v>
      </c>
      <c r="AJ15" s="100">
        <f>+'Pi''s Calc'!AJ6</f>
        <v>10879.023155789109</v>
      </c>
      <c r="AK15" s="100">
        <f>+'Pi''s Calc'!AK6</f>
        <v>10995.532942575539</v>
      </c>
      <c r="AL15" s="100">
        <f>+'Pi''s Calc'!AL6</f>
        <v>11223.735680772194</v>
      </c>
      <c r="AM15" s="100">
        <f>+'Pi''s Calc'!AM6</f>
        <v>10605.439921057774</v>
      </c>
    </row>
    <row r="16" spans="1:39" ht="15">
      <c r="A16" s="103" t="s">
        <v>284</v>
      </c>
      <c r="B16" s="115" t="s">
        <v>272</v>
      </c>
      <c r="P16" s="100">
        <f>'Pi''s Calc'!P7</f>
        <v>18253.842427303724</v>
      </c>
      <c r="Q16" s="100">
        <f>'Pi''s Calc'!Q7</f>
        <v>18234.059105632725</v>
      </c>
      <c r="R16" s="100">
        <f>'Pi''s Calc'!R7</f>
        <v>18322.343341779688</v>
      </c>
      <c r="S16" s="100">
        <f>'Pi''s Calc'!S7</f>
        <v>18497.222701526909</v>
      </c>
      <c r="T16" s="100">
        <f>'Pi''s Calc'!T7</f>
        <v>18273.855550493023</v>
      </c>
      <c r="U16" s="100">
        <f>'Pi''s Calc'!U7</f>
        <v>18377.695143525998</v>
      </c>
      <c r="V16" s="100">
        <f>'Pi''s Calc'!V7</f>
        <v>18236.499986357583</v>
      </c>
      <c r="W16" s="100">
        <f>'Pi''s Calc'!W7</f>
        <v>18409.458375746126</v>
      </c>
      <c r="X16" s="100">
        <f>'Pi''s Calc'!X7</f>
        <v>18578.165899121712</v>
      </c>
      <c r="Y16" s="100">
        <f>'Pi''s Calc'!Y7</f>
        <v>18742.858431178596</v>
      </c>
      <c r="Z16" s="100">
        <f>'Pi''s Calc'!Z7</f>
        <v>18903.757418742356</v>
      </c>
      <c r="AA16" s="100">
        <f>'Pi''s Calc'!AA7</f>
        <v>19061.07088467076</v>
      </c>
      <c r="AB16" s="100">
        <f>'Pi''s Calc'!AB7</f>
        <v>19214.994351647409</v>
      </c>
      <c r="AC16" s="100">
        <f>'Pi''s Calc'!AC7</f>
        <v>19361.774213184843</v>
      </c>
      <c r="AD16" s="100">
        <f>'Pi''s Calc'!AD7</f>
        <v>19505.533682758007</v>
      </c>
      <c r="AE16" s="100">
        <f>'Pi''s Calc'!AE7</f>
        <v>19646.434671587689</v>
      </c>
      <c r="AF16" s="100">
        <f>'Pi''s Calc'!AF7</f>
        <v>19784.629682898758</v>
      </c>
      <c r="AG16" s="100">
        <f>'Pi''s Calc'!AG7</f>
        <v>19920.262425571731</v>
      </c>
      <c r="AH16" s="100">
        <f>'Pi''s Calc'!AH7</f>
        <v>20053.468381908089</v>
      </c>
      <c r="AI16" s="100">
        <f>'Pi''s Calc'!AI7</f>
        <v>20184.375333419535</v>
      </c>
      <c r="AJ16" s="100">
        <f>'Pi''s Calc'!AJ7</f>
        <v>20313.103848182669</v>
      </c>
      <c r="AK16" s="100">
        <f>'Pi''s Calc'!AK7</f>
        <v>20439.76773296823</v>
      </c>
      <c r="AL16" s="100">
        <f>'Pi''s Calc'!AL7</f>
        <v>20564.474453055409</v>
      </c>
      <c r="AM16" s="100">
        <f>'Pi''s Calc'!AM7</f>
        <v>20687.325522373216</v>
      </c>
    </row>
    <row r="17" spans="1:39" ht="15">
      <c r="A17" s="103" t="s">
        <v>285</v>
      </c>
      <c r="B17" s="115" t="s">
        <v>273</v>
      </c>
      <c r="P17" s="100">
        <f>+'DAV Pi'!P61</f>
        <v>21795.142054238866</v>
      </c>
      <c r="Q17" s="100">
        <f>+'DAV Pi'!Q61</f>
        <v>22467.889421120795</v>
      </c>
      <c r="R17" s="100">
        <f>+'DAV Pi'!R61</f>
        <v>23154.850186393647</v>
      </c>
      <c r="S17" s="100">
        <f>+'DAV Pi'!S61</f>
        <v>23812.94092542935</v>
      </c>
      <c r="T17" s="100">
        <f>+'DAV Pi'!T61</f>
        <v>24184.015523998529</v>
      </c>
      <c r="U17" s="100">
        <f>+'DAV Pi'!U61</f>
        <v>24495.205837843616</v>
      </c>
      <c r="V17" s="100">
        <f>+'DAV Pi'!V61</f>
        <v>24709.681012619294</v>
      </c>
      <c r="W17" s="100">
        <f>+'DAV Pi'!W61</f>
        <v>24940.205285132739</v>
      </c>
      <c r="X17" s="100">
        <f>+'DAV Pi'!X61</f>
        <v>25254.220195909198</v>
      </c>
      <c r="Y17" s="100">
        <f>+'DAV Pi'!Y61</f>
        <v>25562.20544919623</v>
      </c>
      <c r="Z17" s="100">
        <f>+'DAV Pi'!Z61</f>
        <v>25794.257517561971</v>
      </c>
      <c r="AA17" s="100">
        <f>+'DAV Pi'!AA61</f>
        <v>25977.145175040965</v>
      </c>
      <c r="AB17" s="100">
        <f>+'DAV Pi'!AB61</f>
        <v>26162.994125802321</v>
      </c>
      <c r="AC17" s="100">
        <f>+'DAV Pi'!AC61</f>
        <v>26186.728682444351</v>
      </c>
      <c r="AD17" s="100">
        <f>+'DAV Pi'!AD61</f>
        <v>26266.119765827807</v>
      </c>
      <c r="AE17" s="100">
        <f>+'DAV Pi'!AE61</f>
        <v>26446.289288470063</v>
      </c>
      <c r="AF17" s="100">
        <f>+'DAV Pi'!AF61</f>
        <v>26650.407116590141</v>
      </c>
      <c r="AG17" s="100">
        <f>+'DAV Pi'!AG61</f>
        <v>26710.123127787156</v>
      </c>
      <c r="AH17" s="100">
        <f>+'DAV Pi'!AH61</f>
        <v>26919.804238449702</v>
      </c>
      <c r="AI17" s="100">
        <f>+'DAV Pi'!AI61</f>
        <v>27142.823466033817</v>
      </c>
      <c r="AJ17" s="100">
        <f>+'DAV Pi'!AJ61</f>
        <v>27334.020765187535</v>
      </c>
      <c r="AK17" s="100">
        <f>+'DAV Pi'!AK61</f>
        <v>27573.438723105854</v>
      </c>
      <c r="AL17" s="100">
        <f>+'DAV Pi'!AL61</f>
        <v>27831.932108579076</v>
      </c>
      <c r="AM17" s="100">
        <f>+'DAV Pi'!AM61</f>
        <v>13469.922567476578</v>
      </c>
    </row>
    <row r="18" spans="1:39" ht="15">
      <c r="A18" s="103" t="s">
        <v>42</v>
      </c>
      <c r="B18" s="115" t="s">
        <v>274</v>
      </c>
      <c r="P18" s="100">
        <f>+'Pi''s Calc'!P27</f>
        <v>30263.422803283422</v>
      </c>
      <c r="Q18" s="100">
        <f>+'Pi''s Calc'!Q27</f>
        <v>33416.144138653428</v>
      </c>
      <c r="R18" s="100">
        <f>+'Pi''s Calc'!R27</f>
        <v>36633.355618286354</v>
      </c>
      <c r="S18" s="100">
        <f>+'Pi''s Calc'!S27</f>
        <v>38603.940046234995</v>
      </c>
      <c r="T18" s="100">
        <f>+'Pi''s Calc'!T27</f>
        <v>42455.089883710585</v>
      </c>
      <c r="U18" s="100">
        <f>+'Pi''s Calc'!U27</f>
        <v>45982.309344101996</v>
      </c>
      <c r="V18" s="100">
        <f>+'Pi''s Calc'!V27</f>
        <v>48285.974800205899</v>
      </c>
      <c r="W18" s="100">
        <f>+'Pi''s Calc'!W27</f>
        <v>48909.281114956284</v>
      </c>
      <c r="X18" s="100">
        <f>+'Pi''s Calc'!X27</f>
        <v>48605.417141420403</v>
      </c>
      <c r="Y18" s="100">
        <f>+'Pi''s Calc'!Y27</f>
        <v>48485.638053943963</v>
      </c>
      <c r="Z18" s="100">
        <f>+'Pi''s Calc'!Z27</f>
        <v>48227.744597452271</v>
      </c>
      <c r="AA18" s="100">
        <f>+'Pi''s Calc'!AA27</f>
        <v>48497.23204121177</v>
      </c>
      <c r="AB18" s="100">
        <f>+'Pi''s Calc'!AB27</f>
        <v>48644.961305719313</v>
      </c>
      <c r="AC18" s="100">
        <f>+'Pi''s Calc'!AC27</f>
        <v>48897.733320233121</v>
      </c>
      <c r="AD18" s="100">
        <f>+'Pi''s Calc'!AD27</f>
        <v>48451.082166494489</v>
      </c>
      <c r="AE18" s="100">
        <f>+'Pi''s Calc'!AE27</f>
        <v>47528.363923532102</v>
      </c>
      <c r="AF18" s="100">
        <f>+'Pi''s Calc'!AF27</f>
        <v>47098.997243354534</v>
      </c>
      <c r="AG18" s="100">
        <f>+'Pi''s Calc'!AG27</f>
        <v>47946.515424011159</v>
      </c>
      <c r="AH18" s="100">
        <f>+'Pi''s Calc'!AH27</f>
        <v>46664.520486908063</v>
      </c>
      <c r="AI18" s="100">
        <f>+'Pi''s Calc'!AI27</f>
        <v>46222.25242401845</v>
      </c>
      <c r="AJ18" s="100">
        <f>+'Pi''s Calc'!AJ27</f>
        <v>46276.545118116628</v>
      </c>
      <c r="AK18" s="100">
        <f>+'Pi''s Calc'!AK27</f>
        <v>45801.487828955906</v>
      </c>
      <c r="AL18" s="100">
        <f>+'Pi''s Calc'!AL27</f>
        <v>45093.574672564697</v>
      </c>
      <c r="AM18" s="100">
        <f>+'Pi''s Calc'!AM27</f>
        <v>45043.840196754252</v>
      </c>
    </row>
    <row r="19" spans="1:39" ht="15">
      <c r="A19" s="103" t="s">
        <v>290</v>
      </c>
      <c r="B19" s="115" t="s">
        <v>280</v>
      </c>
      <c r="P19" s="100">
        <f>+'Pi''s Calc'!P52</f>
        <v>-5700.8563569719536</v>
      </c>
      <c r="Q19" s="100">
        <f>+'Pi''s Calc'!Q52</f>
        <v>-5240.6378452977779</v>
      </c>
      <c r="R19" s="100">
        <f>+'Pi''s Calc'!R52</f>
        <v>-4756.0701649254634</v>
      </c>
      <c r="S19" s="100">
        <f>+'Pi''s Calc'!S52</f>
        <v>-4480.306387916482</v>
      </c>
      <c r="T19" s="100">
        <f>+'Pi''s Calc'!T52</f>
        <v>-4266.0279553952214</v>
      </c>
      <c r="U19" s="100">
        <f>+'Pi''s Calc'!U52</f>
        <v>-4094.4130113298347</v>
      </c>
      <c r="V19" s="100">
        <f>+'Pi''s Calc'!V52</f>
        <v>-4029.1975708358204</v>
      </c>
      <c r="W19" s="100">
        <f>+'Pi''s Calc'!W52</f>
        <v>-4010.2765918893488</v>
      </c>
      <c r="X19" s="100">
        <f>+'Pi''s Calc'!X52</f>
        <v>-3999.1240514893157</v>
      </c>
      <c r="Y19" s="100">
        <f>+'Pi''s Calc'!Y52</f>
        <v>-3995.4221992014918</v>
      </c>
      <c r="Z19" s="100">
        <f>+'Pi''s Calc'!Z52</f>
        <v>-3998.869290475488</v>
      </c>
      <c r="AA19" s="100">
        <f>+'Pi''s Calc'!AA52</f>
        <v>-4009.1788115244985</v>
      </c>
      <c r="AB19" s="100">
        <f>+'Pi''s Calc'!AB52</f>
        <v>-4026.0787392772613</v>
      </c>
      <c r="AC19" s="100">
        <f>+'Pi''s Calc'!AC52</f>
        <v>-4049.840511758307</v>
      </c>
      <c r="AD19" s="100">
        <f>+'Pi''s Calc'!AD52</f>
        <v>-4080.6563604495145</v>
      </c>
      <c r="AE19" s="100">
        <f>+'Pi''s Calc'!AE52</f>
        <v>-4117.2791141433845</v>
      </c>
      <c r="AF19" s="100">
        <f>+'Pi''s Calc'!AF52</f>
        <v>-4159.4878600011407</v>
      </c>
      <c r="AG19" s="100">
        <f>+'Pi''s Calc'!AG52</f>
        <v>-4207.07296275508</v>
      </c>
      <c r="AH19" s="100">
        <f>+'Pi''s Calc'!AH52</f>
        <v>-4259.8355072868735</v>
      </c>
      <c r="AI19" s="100">
        <f>+'Pi''s Calc'!AI52</f>
        <v>-4317.5867674944529</v>
      </c>
      <c r="AJ19" s="100">
        <f>+'Pi''s Calc'!AJ52</f>
        <v>-4380.1477003199052</v>
      </c>
      <c r="AK19" s="100">
        <f>+'Pi''s Calc'!AK52</f>
        <v>-4447.3484638471627</v>
      </c>
      <c r="AL19" s="100">
        <f>+'Pi''s Calc'!AL52</f>
        <v>-4519.027958415084</v>
      </c>
      <c r="AM19" s="100">
        <f>+'Pi''s Calc'!AM52</f>
        <v>-4595.0333897282981</v>
      </c>
    </row>
    <row r="20" spans="1:39" ht="15">
      <c r="A20" s="103" t="s">
        <v>291</v>
      </c>
      <c r="B20" s="115" t="s">
        <v>281</v>
      </c>
      <c r="P20" s="100">
        <f>+'Pi''s Calc'!P53</f>
        <v>-5661.1468855410521</v>
      </c>
      <c r="Q20" s="100">
        <f>+'Pi''s Calc'!Q53</f>
        <v>-5490.14616310969</v>
      </c>
      <c r="R20" s="100">
        <f>+'Pi''s Calc'!R53</f>
        <v>-5518.5930489802877</v>
      </c>
      <c r="S20" s="100">
        <f>+'Pi''s Calc'!S53</f>
        <v>-5356.4731068333967</v>
      </c>
      <c r="T20" s="100">
        <f>+'Pi''s Calc'!T53</f>
        <v>-4765.270277940388</v>
      </c>
      <c r="U20" s="100">
        <f>+'Pi''s Calc'!U53</f>
        <v>-4736.3634941700566</v>
      </c>
      <c r="V20" s="100">
        <f>+'Pi''s Calc'!V53</f>
        <v>-4395.2933873630391</v>
      </c>
      <c r="W20" s="100">
        <f>+'Pi''s Calc'!W53</f>
        <v>-4366.4146744369618</v>
      </c>
      <c r="X20" s="100">
        <f>+'Pi''s Calc'!X53</f>
        <v>-4442.6386523703286</v>
      </c>
      <c r="Y20" s="100">
        <f>+'Pi''s Calc'!Y53</f>
        <v>-4451.1879136695443</v>
      </c>
      <c r="Z20" s="100">
        <f>+'Pi''s Calc'!Z53</f>
        <v>-4491.4544602191909</v>
      </c>
      <c r="AA20" s="100">
        <f>+'Pi''s Calc'!AA53</f>
        <v>-4410.8375814098818</v>
      </c>
      <c r="AB20" s="100">
        <f>+'Pi''s Calc'!AB53</f>
        <v>-4370.0430099282348</v>
      </c>
      <c r="AC20" s="100">
        <f>+'Pi''s Calc'!AC53</f>
        <v>-4291.466332497901</v>
      </c>
      <c r="AD20" s="100">
        <f>+'Pi''s Calc'!AD53</f>
        <v>-4351.0845369358567</v>
      </c>
      <c r="AE20" s="100">
        <f>+'Pi''s Calc'!AE53</f>
        <v>-4470.3995478295938</v>
      </c>
      <c r="AF20" s="100">
        <f>+'Pi''s Calc'!AF53</f>
        <v>-4471.720951856355</v>
      </c>
      <c r="AG20" s="100">
        <f>+'Pi''s Calc'!AG53</f>
        <v>-4234.1561929200761</v>
      </c>
      <c r="AH20" s="100">
        <f>+'Pi''s Calc'!AH53</f>
        <v>-4463.4253228543439</v>
      </c>
      <c r="AI20" s="100">
        <f>+'Pi''s Calc'!AI53</f>
        <v>-4424.7848942433384</v>
      </c>
      <c r="AJ20" s="100">
        <f>+'Pi''s Calc'!AJ53</f>
        <v>-4334.05265797835</v>
      </c>
      <c r="AK20" s="100">
        <f>+'Pi''s Calc'!AK53</f>
        <v>-4353.470955776088</v>
      </c>
      <c r="AL20" s="100">
        <f>+'Pi''s Calc'!AL53</f>
        <v>-4391.5047454755304</v>
      </c>
      <c r="AM20" s="100">
        <f>+'Pi''s Calc'!AM53</f>
        <v>-4288.4554521897935</v>
      </c>
    </row>
    <row r="21" spans="1:39" ht="15">
      <c r="A21" s="103" t="s">
        <v>286</v>
      </c>
      <c r="B21" s="115" t="s">
        <v>275</v>
      </c>
      <c r="C21" s="104" t="s">
        <v>176</v>
      </c>
      <c r="P21" s="131">
        <f>+'Pi''s Calc'!P16</f>
        <v>0.48498562048945398</v>
      </c>
      <c r="Q21" s="131">
        <f>+'Pi''s Calc'!Q16</f>
        <v>0.48498562048945398</v>
      </c>
      <c r="R21" s="131">
        <f>+'Pi''s Calc'!R16</f>
        <v>0.48498562048945398</v>
      </c>
      <c r="S21" s="131">
        <f>+'Pi''s Calc'!S16</f>
        <v>0.48498562048945398</v>
      </c>
      <c r="T21" s="131">
        <f>+'Pi''s Calc'!T16</f>
        <v>0.48498562048945398</v>
      </c>
      <c r="U21" s="131">
        <f>+'Pi''s Calc'!U16</f>
        <v>0.48498562048945398</v>
      </c>
      <c r="V21" s="131">
        <f>+'Pi''s Calc'!V16</f>
        <v>0.48498562048945398</v>
      </c>
      <c r="W21" s="131">
        <f>+'Pi''s Calc'!W16</f>
        <v>0.48498562048945398</v>
      </c>
      <c r="X21" s="131">
        <f>+'Pi''s Calc'!X16</f>
        <v>0.48498562048945398</v>
      </c>
      <c r="Y21" s="131">
        <f>+'Pi''s Calc'!Y16</f>
        <v>0.48498562048945398</v>
      </c>
      <c r="Z21" s="131">
        <f>+'Pi''s Calc'!Z16</f>
        <v>0.48498562048945398</v>
      </c>
      <c r="AA21" s="131">
        <f>+'Pi''s Calc'!AA16</f>
        <v>0.48498562048945398</v>
      </c>
      <c r="AB21" s="131">
        <f>+'Pi''s Calc'!AB16</f>
        <v>0.48498562048945398</v>
      </c>
      <c r="AC21" s="131">
        <f>+'Pi''s Calc'!AC16</f>
        <v>0.48498562048945398</v>
      </c>
      <c r="AD21" s="131">
        <f>+'Pi''s Calc'!AD16</f>
        <v>0.48498562048945398</v>
      </c>
      <c r="AE21" s="131">
        <f>+'Pi''s Calc'!AE16</f>
        <v>0.48498562048945398</v>
      </c>
      <c r="AF21" s="131">
        <f>+'Pi''s Calc'!AF16</f>
        <v>0.48498562048945398</v>
      </c>
      <c r="AG21" s="131">
        <f>+'Pi''s Calc'!AG16</f>
        <v>0.48498562048945398</v>
      </c>
      <c r="AH21" s="131">
        <f>+'Pi''s Calc'!AH16</f>
        <v>0.48498562048945398</v>
      </c>
      <c r="AI21" s="131">
        <f>+'Pi''s Calc'!AI16</f>
        <v>0.48498562048945398</v>
      </c>
      <c r="AJ21" s="131">
        <f>+'Pi''s Calc'!AJ16</f>
        <v>0.48498562048945398</v>
      </c>
      <c r="AK21" s="131">
        <f>+'Pi''s Calc'!AK16</f>
        <v>0.48498562048945398</v>
      </c>
      <c r="AL21" s="131">
        <f>+'Pi''s Calc'!AL16</f>
        <v>0.48498562048945398</v>
      </c>
      <c r="AM21" s="131">
        <f>+'Pi''s Calc'!AM16</f>
        <v>0.48498562048945398</v>
      </c>
    </row>
    <row r="22" spans="1:39" ht="15">
      <c r="A22" s="103" t="s">
        <v>286</v>
      </c>
      <c r="B22" s="115" t="s">
        <v>275</v>
      </c>
      <c r="C22" s="104" t="s">
        <v>177</v>
      </c>
      <c r="P22" s="131">
        <f>+'Pi''s Calc'!P17</f>
        <v>0.43648705844050861</v>
      </c>
      <c r="Q22" s="131">
        <f>+'Pi''s Calc'!Q17</f>
        <v>0.43648705844050861</v>
      </c>
      <c r="R22" s="131">
        <f>+'Pi''s Calc'!R17</f>
        <v>0.43648705844050861</v>
      </c>
      <c r="S22" s="131">
        <f>+'Pi''s Calc'!S17</f>
        <v>0.43648705844050861</v>
      </c>
      <c r="T22" s="131">
        <f>+'Pi''s Calc'!T17</f>
        <v>0.43648705844050861</v>
      </c>
      <c r="U22" s="131">
        <f>+'Pi''s Calc'!U17</f>
        <v>0.43648705844050861</v>
      </c>
      <c r="V22" s="131">
        <f>+'Pi''s Calc'!V17</f>
        <v>0.43648705844050861</v>
      </c>
      <c r="W22" s="131">
        <f>+'Pi''s Calc'!W17</f>
        <v>0.43648705844050861</v>
      </c>
      <c r="X22" s="131">
        <f>+'Pi''s Calc'!X17</f>
        <v>0.43648705844050861</v>
      </c>
      <c r="Y22" s="131">
        <f>+'Pi''s Calc'!Y17</f>
        <v>0.43648705844050861</v>
      </c>
      <c r="Z22" s="131">
        <f>+'Pi''s Calc'!Z17</f>
        <v>0.43648705844050861</v>
      </c>
      <c r="AA22" s="131">
        <f>+'Pi''s Calc'!AA17</f>
        <v>0.43648705844050861</v>
      </c>
      <c r="AB22" s="131">
        <f>+'Pi''s Calc'!AB17</f>
        <v>0.43648705844050861</v>
      </c>
      <c r="AC22" s="131">
        <f>+'Pi''s Calc'!AC17</f>
        <v>0.43648705844050861</v>
      </c>
      <c r="AD22" s="131">
        <f>+'Pi''s Calc'!AD17</f>
        <v>0.43648705844050861</v>
      </c>
      <c r="AE22" s="131">
        <f>+'Pi''s Calc'!AE17</f>
        <v>0.43648705844050861</v>
      </c>
      <c r="AF22" s="131">
        <f>+'Pi''s Calc'!AF17</f>
        <v>0.43648705844050861</v>
      </c>
      <c r="AG22" s="131">
        <f>+'Pi''s Calc'!AG17</f>
        <v>0.43648705844050861</v>
      </c>
      <c r="AH22" s="131">
        <f>+'Pi''s Calc'!AH17</f>
        <v>0.43648705844050861</v>
      </c>
      <c r="AI22" s="131">
        <f>+'Pi''s Calc'!AI17</f>
        <v>0.43648705844050861</v>
      </c>
      <c r="AJ22" s="131">
        <f>+'Pi''s Calc'!AJ17</f>
        <v>0.43648705844050861</v>
      </c>
      <c r="AK22" s="131">
        <f>+'Pi''s Calc'!AK17</f>
        <v>0.43648705844050861</v>
      </c>
      <c r="AL22" s="131">
        <f>+'Pi''s Calc'!AL17</f>
        <v>0.43648705844050861</v>
      </c>
      <c r="AM22" s="131">
        <f>+'Pi''s Calc'!AM17</f>
        <v>0.43648705844050861</v>
      </c>
    </row>
    <row r="23" spans="1:39" ht="15">
      <c r="A23" s="103" t="s">
        <v>286</v>
      </c>
      <c r="B23" s="115" t="s">
        <v>275</v>
      </c>
      <c r="C23" s="104" t="s">
        <v>178</v>
      </c>
      <c r="P23" s="131">
        <f>+'Pi''s Calc'!P18</f>
        <v>0.4111696904298684</v>
      </c>
      <c r="Q23" s="131">
        <f>+'Pi''s Calc'!Q18</f>
        <v>0.4111696904298684</v>
      </c>
      <c r="R23" s="131">
        <f>+'Pi''s Calc'!R18</f>
        <v>0.4111696904298684</v>
      </c>
      <c r="S23" s="131">
        <f>+'Pi''s Calc'!S18</f>
        <v>0.4111696904298684</v>
      </c>
      <c r="T23" s="131">
        <f>+'Pi''s Calc'!T18</f>
        <v>0.4111696904298684</v>
      </c>
      <c r="U23" s="131">
        <f>+'Pi''s Calc'!U18</f>
        <v>0.4111696904298684</v>
      </c>
      <c r="V23" s="131">
        <f>+'Pi''s Calc'!V18</f>
        <v>0.4111696904298684</v>
      </c>
      <c r="W23" s="131">
        <f>+'Pi''s Calc'!W18</f>
        <v>0.4111696904298684</v>
      </c>
      <c r="X23" s="131">
        <f>+'Pi''s Calc'!X18</f>
        <v>0.4111696904298684</v>
      </c>
      <c r="Y23" s="131">
        <f>+'Pi''s Calc'!Y18</f>
        <v>0.4111696904298684</v>
      </c>
      <c r="Z23" s="131">
        <f>+'Pi''s Calc'!Z18</f>
        <v>0.4111696904298684</v>
      </c>
      <c r="AA23" s="131">
        <f>+'Pi''s Calc'!AA18</f>
        <v>0.4111696904298684</v>
      </c>
      <c r="AB23" s="131">
        <f>+'Pi''s Calc'!AB18</f>
        <v>0.4111696904298684</v>
      </c>
      <c r="AC23" s="131">
        <f>+'Pi''s Calc'!AC18</f>
        <v>0.4111696904298684</v>
      </c>
      <c r="AD23" s="131">
        <f>+'Pi''s Calc'!AD18</f>
        <v>0.4111696904298684</v>
      </c>
      <c r="AE23" s="131">
        <f>+'Pi''s Calc'!AE18</f>
        <v>0.4111696904298684</v>
      </c>
      <c r="AF23" s="131">
        <f>+'Pi''s Calc'!AF18</f>
        <v>0.4111696904298684</v>
      </c>
      <c r="AG23" s="131">
        <f>+'Pi''s Calc'!AG18</f>
        <v>0.4111696904298684</v>
      </c>
      <c r="AH23" s="131">
        <f>+'Pi''s Calc'!AH18</f>
        <v>0.4111696904298684</v>
      </c>
      <c r="AI23" s="131">
        <f>+'Pi''s Calc'!AI18</f>
        <v>0.4111696904298684</v>
      </c>
      <c r="AJ23" s="131">
        <f>+'Pi''s Calc'!AJ18</f>
        <v>0.4111696904298684</v>
      </c>
      <c r="AK23" s="131">
        <f>+'Pi''s Calc'!AK18</f>
        <v>0.4111696904298684</v>
      </c>
      <c r="AL23" s="131">
        <f>+'Pi''s Calc'!AL18</f>
        <v>0.4111696904298684</v>
      </c>
      <c r="AM23" s="131">
        <f>+'Pi''s Calc'!AM18</f>
        <v>0.4111696904298684</v>
      </c>
    </row>
    <row r="24" spans="1:39" ht="15">
      <c r="A24" s="103" t="s">
        <v>286</v>
      </c>
      <c r="B24" s="115" t="s">
        <v>275</v>
      </c>
      <c r="C24" s="104" t="s">
        <v>179</v>
      </c>
      <c r="P24" s="131">
        <f>+'Pi''s Calc'!P19</f>
        <v>0.20684610193404426</v>
      </c>
      <c r="Q24" s="131">
        <f>+'Pi''s Calc'!Q19</f>
        <v>0.20684610193404426</v>
      </c>
      <c r="R24" s="131">
        <f>+'Pi''s Calc'!R19</f>
        <v>0.20684610193404426</v>
      </c>
      <c r="S24" s="131">
        <f>+'Pi''s Calc'!S19</f>
        <v>0.20684610193404426</v>
      </c>
      <c r="T24" s="131">
        <f>+'Pi''s Calc'!T19</f>
        <v>0.20684610193404426</v>
      </c>
      <c r="U24" s="131">
        <f>+'Pi''s Calc'!U19</f>
        <v>0.20684610193404426</v>
      </c>
      <c r="V24" s="131">
        <f>+'Pi''s Calc'!V19</f>
        <v>0.20684610193404426</v>
      </c>
      <c r="W24" s="131">
        <f>+'Pi''s Calc'!W19</f>
        <v>0.20684610193404426</v>
      </c>
      <c r="X24" s="131">
        <f>+'Pi''s Calc'!X19</f>
        <v>0.20684610193404426</v>
      </c>
      <c r="Y24" s="131">
        <f>+'Pi''s Calc'!Y19</f>
        <v>0.20684610193404426</v>
      </c>
      <c r="Z24" s="131">
        <f>+'Pi''s Calc'!Z19</f>
        <v>0.20684610193404426</v>
      </c>
      <c r="AA24" s="131">
        <f>+'Pi''s Calc'!AA19</f>
        <v>0.20684610193404426</v>
      </c>
      <c r="AB24" s="131">
        <f>+'Pi''s Calc'!AB19</f>
        <v>0.20684610193404426</v>
      </c>
      <c r="AC24" s="131">
        <f>+'Pi''s Calc'!AC19</f>
        <v>0.20684610193404426</v>
      </c>
      <c r="AD24" s="131">
        <f>+'Pi''s Calc'!AD19</f>
        <v>0.20684610193404426</v>
      </c>
      <c r="AE24" s="131">
        <f>+'Pi''s Calc'!AE19</f>
        <v>0.20684610193404426</v>
      </c>
      <c r="AF24" s="131">
        <f>+'Pi''s Calc'!AF19</f>
        <v>0.20684610193404426</v>
      </c>
      <c r="AG24" s="131">
        <f>+'Pi''s Calc'!AG19</f>
        <v>0.20684610193404426</v>
      </c>
      <c r="AH24" s="131">
        <f>+'Pi''s Calc'!AH19</f>
        <v>0.20684610193404426</v>
      </c>
      <c r="AI24" s="131">
        <f>+'Pi''s Calc'!AI19</f>
        <v>0.20684610193404426</v>
      </c>
      <c r="AJ24" s="131">
        <f>+'Pi''s Calc'!AJ19</f>
        <v>0.20684610193404426</v>
      </c>
      <c r="AK24" s="131">
        <f>+'Pi''s Calc'!AK19</f>
        <v>0.20684610193404426</v>
      </c>
      <c r="AL24" s="131">
        <f>+'Pi''s Calc'!AL19</f>
        <v>0.20684610193404426</v>
      </c>
      <c r="AM24" s="131">
        <f>+'Pi''s Calc'!AM19</f>
        <v>0.20684610193404426</v>
      </c>
    </row>
    <row r="25" spans="1:39" ht="15">
      <c r="A25" s="103" t="s">
        <v>287</v>
      </c>
      <c r="B25" s="115" t="s">
        <v>276</v>
      </c>
      <c r="P25" s="100">
        <f>+'Pi''s Calc'!P21</f>
        <v>67044.70991114447</v>
      </c>
      <c r="Q25" s="100">
        <f>+'Pi''s Calc'!Q21</f>
        <v>70097.006664968838</v>
      </c>
      <c r="R25" s="100">
        <f>+'Pi''s Calc'!R21</f>
        <v>73398.085256368504</v>
      </c>
      <c r="S25" s="100">
        <f>+'Pi''s Calc'!S21</f>
        <v>75376.413924226159</v>
      </c>
      <c r="T25" s="100">
        <f>+'Pi''s Calc'!T21</f>
        <v>76626.243086874121</v>
      </c>
      <c r="U25" s="100">
        <f>+'Pi''s Calc'!U21</f>
        <v>77853.414388403078</v>
      </c>
      <c r="V25" s="100">
        <f>+'Pi''s Calc'!V21</f>
        <v>78175.227865961773</v>
      </c>
      <c r="W25" s="100">
        <f>+'Pi''s Calc'!W21</f>
        <v>78439.734437115752</v>
      </c>
      <c r="X25" s="100">
        <f>+'Pi''s Calc'!X21</f>
        <v>78649.050725149777</v>
      </c>
      <c r="Y25" s="100">
        <f>+'Pi''s Calc'!Y21</f>
        <v>78805.483766047444</v>
      </c>
      <c r="Z25" s="100">
        <f>+'Pi''s Calc'!Z21</f>
        <v>78911.222347605144</v>
      </c>
      <c r="AA25" s="100">
        <f>+'Pi''s Calc'!AA21</f>
        <v>78968.342980021131</v>
      </c>
      <c r="AB25" s="100">
        <f>+'Pi''s Calc'!AB21</f>
        <v>78978.815568584032</v>
      </c>
      <c r="AC25" s="100">
        <f>+'Pi''s Calc'!AC21</f>
        <v>78937.827641273674</v>
      </c>
      <c r="AD25" s="100">
        <f>+'Pi''s Calc'!AD21</f>
        <v>78847.396225657489</v>
      </c>
      <c r="AE25" s="100">
        <f>+'Pi''s Calc'!AE21</f>
        <v>78715.96532542877</v>
      </c>
      <c r="AF25" s="100">
        <f>+'Pi''s Calc'!AF21</f>
        <v>78545.129695425916</v>
      </c>
      <c r="AG25" s="100">
        <f>+'Pi''s Calc'!AG21</f>
        <v>78336.401871204696</v>
      </c>
      <c r="AH25" s="100">
        <f>+'Pi''s Calc'!AH21</f>
        <v>78091.216339395163</v>
      </c>
      <c r="AI25" s="100">
        <f>+'Pi''s Calc'!AI21</f>
        <v>77810.933499220453</v>
      </c>
      <c r="AJ25" s="100">
        <f>+'Pi''s Calc'!AJ21</f>
        <v>77496.843425527943</v>
      </c>
      <c r="AK25" s="100">
        <f>+'Pi''s Calc'!AK21</f>
        <v>77150.169443174673</v>
      </c>
      <c r="AL25" s="100">
        <f>+'Pi''s Calc'!AL21</f>
        <v>76772.071522124941</v>
      </c>
      <c r="AM25" s="100">
        <f>+'Pi''s Calc'!AM21</f>
        <v>76363.649502157758</v>
      </c>
    </row>
    <row r="26" spans="1:39" ht="15">
      <c r="A26" s="103" t="s">
        <v>288</v>
      </c>
      <c r="B26" s="115" t="s">
        <v>277</v>
      </c>
      <c r="P26" s="100">
        <f>+'Pi''s Calc'!P31</f>
        <v>470415.91518743068</v>
      </c>
      <c r="Q26" s="100">
        <f>+'Pi''s Calc'!Q31</f>
        <v>465763.60995288705</v>
      </c>
      <c r="R26" s="100">
        <f>+'Pi''s Calc'!R31</f>
        <v>460595.02526829415</v>
      </c>
      <c r="S26" s="100">
        <f>+'Pi''s Calc'!S31</f>
        <v>454619.45180017315</v>
      </c>
      <c r="T26" s="100">
        <f>+'Pi''s Calc'!T31</f>
        <v>445527.25266743085</v>
      </c>
      <c r="U26" s="100">
        <f>+'Pi''s Calc'!U31</f>
        <v>434324.93500252662</v>
      </c>
      <c r="V26" s="100">
        <f>+'Pi''s Calc'!V31</f>
        <v>420861.72152200458</v>
      </c>
      <c r="W26" s="100">
        <f>+'Pi''s Calc'!W31</f>
        <v>406994.7114914126</v>
      </c>
      <c r="X26" s="100">
        <f>+'Pi''s Calc'!X31</f>
        <v>393271.03041764436</v>
      </c>
      <c r="Y26" s="100">
        <f>+'Pi''s Calc'!Y31</f>
        <v>379290.65965838445</v>
      </c>
      <c r="Z26" s="100">
        <f>+'Pi''s Calc'!Z31</f>
        <v>365319.83611005667</v>
      </c>
      <c r="AA26" s="100">
        <f>+'Pi''s Calc'!AA31</f>
        <v>350682.42363139399</v>
      </c>
      <c r="AB26" s="100">
        <f>+'Pi''s Calc'!AB31</f>
        <v>335614.39477308013</v>
      </c>
      <c r="AC26" s="100">
        <f>+'Pi''s Calc'!AC31</f>
        <v>320051.1712935422</v>
      </c>
      <c r="AD26" s="100">
        <f>+'Pi''s Calc'!AD31</f>
        <v>304766.26595724857</v>
      </c>
      <c r="AE26" s="100">
        <f>+'Pi''s Calc'!AE31</f>
        <v>290017.08116367512</v>
      </c>
      <c r="AF26" s="100">
        <f>+'Pi''s Calc'!AF31</f>
        <v>275071.70696614211</v>
      </c>
      <c r="AG26" s="100">
        <f>+'Pi''s Calc'!AG31</f>
        <v>258641.22820379445</v>
      </c>
      <c r="AH26" s="100">
        <f>+'Pi''s Calc'!AH31</f>
        <v>243376.68311038983</v>
      </c>
      <c r="AI26" s="100">
        <f>+'Pi''s Calc'!AI31</f>
        <v>227657.27621773505</v>
      </c>
      <c r="AJ26" s="100">
        <f>+'Pi''s Calc'!AJ31</f>
        <v>211202.27860833661</v>
      </c>
      <c r="AK26" s="100">
        <f>+'Pi''s Calc'!AK31</f>
        <v>194624.37282780631</v>
      </c>
      <c r="AL26" s="100">
        <f>+'Pi''s Calc'!AL31</f>
        <v>178016.17639999941</v>
      </c>
      <c r="AM26" s="100">
        <f>+'Pi''s Calc'!AM31</f>
        <v>175151.69375358062</v>
      </c>
    </row>
    <row r="27" spans="1:39" ht="15">
      <c r="A27" s="103" t="s">
        <v>289</v>
      </c>
      <c r="B27" s="115" t="s">
        <v>278</v>
      </c>
      <c r="U27" s="100">
        <f>+'Pi''s Calc'!U39</f>
        <v>606262.90398425853</v>
      </c>
      <c r="V27" s="100"/>
      <c r="W27" s="100"/>
      <c r="X27" s="100"/>
      <c r="Y27" s="100"/>
      <c r="Z27" s="100"/>
      <c r="AA27" s="100">
        <f>+'Pi''s Calc'!AA39</f>
        <v>497681.07555690734</v>
      </c>
      <c r="AB27" s="100"/>
      <c r="AC27" s="100"/>
      <c r="AD27" s="100"/>
      <c r="AE27" s="100"/>
      <c r="AF27" s="100"/>
      <c r="AG27" s="100">
        <f>+'Pi''s Calc'!AG39</f>
        <v>351397.77399471792</v>
      </c>
      <c r="AH27" s="100"/>
      <c r="AI27" s="100"/>
      <c r="AJ27" s="100"/>
      <c r="AK27" s="100"/>
      <c r="AL27" s="100"/>
      <c r="AM27" s="100">
        <f>+'Pi''s Calc'!AM39</f>
        <v>166268.20491166276</v>
      </c>
    </row>
    <row r="28" spans="1:39" ht="15">
      <c r="A28" s="103" t="s">
        <v>256</v>
      </c>
      <c r="B28" s="115" t="s">
        <v>279</v>
      </c>
      <c r="U28" s="100">
        <f>+'Pi''s Calc'!U46</f>
        <v>180768.74548723179</v>
      </c>
      <c r="V28" s="100"/>
      <c r="W28" s="100"/>
      <c r="X28" s="100"/>
      <c r="Y28" s="100"/>
      <c r="Z28" s="100"/>
      <c r="AA28" s="100">
        <f>+'Pi''s Calc'!AA46</f>
        <v>155418.66831844772</v>
      </c>
      <c r="AB28" s="100"/>
      <c r="AC28" s="100"/>
      <c r="AD28" s="100"/>
      <c r="AE28" s="100"/>
      <c r="AF28" s="100"/>
      <c r="AG28" s="100">
        <f>+'Pi''s Calc'!AG46</f>
        <v>101197.77494659863</v>
      </c>
      <c r="AH28" s="100"/>
      <c r="AI28" s="100"/>
      <c r="AJ28" s="100"/>
      <c r="AK28" s="100"/>
      <c r="AL28" s="100"/>
      <c r="AM28" s="100">
        <f>+'Pi''s Calc'!AM46</f>
        <v>2.0190782379359007E-10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</vt:lpstr>
      <vt:lpstr>Inputs</vt:lpstr>
      <vt:lpstr>DAV Inputs</vt:lpstr>
      <vt:lpstr>Retro DAV</vt:lpstr>
      <vt:lpstr>DAV Pi</vt:lpstr>
      <vt:lpstr>Pi's Calc</vt:lpstr>
      <vt:lpstr>UR Tax Calculation</vt:lpstr>
      <vt:lpstr>Financeability</vt:lpstr>
      <vt:lpstr>DP &amp; 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Craig, Alan</dc:creator>
  <cp:lastModifiedBy>Maeve McSparron</cp:lastModifiedBy>
  <dcterms:created xsi:type="dcterms:W3CDTF">2021-09-21T15:47:40Z</dcterms:created>
  <dcterms:modified xsi:type="dcterms:W3CDTF">2022-10-26T13:03:51Z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