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NETWORK GROUP\Price Controls\GDNs GD23\41= Final Determination\Final Determination Web Publication\"/>
    </mc:Choice>
  </mc:AlternateContent>
  <bookViews>
    <workbookView xWindow="0" yWindow="0" windowWidth="19200" windowHeight="7190"/>
  </bookViews>
  <sheets>
    <sheet name="Title" sheetId="61" r:id="rId1"/>
    <sheet name="Inputs" sheetId="55" r:id="rId2"/>
    <sheet name="DAV Inputs" sheetId="59" r:id="rId3"/>
    <sheet name="DAV Pi" sheetId="38" r:id="rId4"/>
    <sheet name="Pi's Calc" sheetId="41" r:id="rId5"/>
    <sheet name="UR Tax Calculation" sheetId="57" r:id="rId6"/>
    <sheet name="Financeability" sheetId="56" r:id="rId7"/>
    <sheet name="DP &amp; DV" sheetId="60" r:id="rId8"/>
  </sheets>
  <calcPr calcId="162913"/>
</workbook>
</file>

<file path=xl/calcChain.xml><?xml version="1.0" encoding="utf-8"?>
<calcChain xmlns="http://schemas.openxmlformats.org/spreadsheetml/2006/main">
  <c r="Q98" i="55" l="1"/>
  <c r="R98" i="55"/>
  <c r="S98" i="55"/>
  <c r="T98" i="55"/>
  <c r="U98" i="55"/>
  <c r="V98" i="55"/>
  <c r="W98" i="55"/>
  <c r="X98" i="55"/>
  <c r="Y98" i="55"/>
  <c r="Z98" i="55"/>
  <c r="AA98" i="55"/>
  <c r="AB98" i="55"/>
  <c r="AC98" i="55"/>
  <c r="AD98" i="55"/>
  <c r="AE98" i="55"/>
  <c r="AF98" i="55"/>
  <c r="AG98" i="55"/>
  <c r="AH98" i="55"/>
  <c r="AI98" i="55"/>
  <c r="AJ98" i="55"/>
  <c r="AK98" i="55"/>
  <c r="AL98" i="55"/>
  <c r="AM98" i="55"/>
  <c r="AN98" i="55"/>
  <c r="AO98" i="55"/>
  <c r="AP98" i="55"/>
  <c r="AQ98" i="55"/>
  <c r="AR98" i="55"/>
  <c r="AS98" i="55"/>
  <c r="AT98" i="55"/>
  <c r="AU98" i="55"/>
  <c r="AV98" i="55"/>
  <c r="AW98" i="55"/>
  <c r="AX98" i="55"/>
  <c r="P98" i="55"/>
  <c r="P3" i="41"/>
  <c r="P5" i="41"/>
  <c r="Q3" i="41"/>
  <c r="Q5" i="41"/>
  <c r="R3" i="41"/>
  <c r="R5" i="41"/>
  <c r="S3" i="41"/>
  <c r="S5" i="41"/>
  <c r="T3" i="41"/>
  <c r="T5" i="41"/>
  <c r="U3" i="41"/>
  <c r="U5" i="41"/>
  <c r="U45" i="41"/>
  <c r="P21" i="41"/>
  <c r="P22" i="41"/>
  <c r="P23" i="41"/>
  <c r="P36" i="60" s="1"/>
  <c r="P24" i="41"/>
  <c r="P37" i="60" s="1"/>
  <c r="P25" i="41"/>
  <c r="P26" i="41"/>
  <c r="Q3" i="60"/>
  <c r="R3" i="60"/>
  <c r="S3" i="60"/>
  <c r="T3" i="60"/>
  <c r="U3" i="60"/>
  <c r="Q4" i="60"/>
  <c r="R4" i="60"/>
  <c r="S4" i="60"/>
  <c r="T4" i="60"/>
  <c r="U4" i="60"/>
  <c r="P3" i="60"/>
  <c r="G53" i="55"/>
  <c r="G52" i="55"/>
  <c r="Q24" i="56"/>
  <c r="R24" i="56"/>
  <c r="S24" i="56"/>
  <c r="T24" i="56"/>
  <c r="U24" i="56"/>
  <c r="C7" i="60"/>
  <c r="O63" i="56"/>
  <c r="O64" i="56"/>
  <c r="O65" i="56"/>
  <c r="O66" i="56"/>
  <c r="O62" i="56"/>
  <c r="Q61" i="56"/>
  <c r="R61" i="56"/>
  <c r="S61" i="56"/>
  <c r="T61" i="56"/>
  <c r="U61" i="56"/>
  <c r="V61" i="56"/>
  <c r="W61" i="56"/>
  <c r="X61" i="56"/>
  <c r="Y61" i="56"/>
  <c r="Z61" i="56"/>
  <c r="AA61" i="56"/>
  <c r="AB61" i="56"/>
  <c r="AC61" i="56"/>
  <c r="AD61" i="56"/>
  <c r="AE61" i="56"/>
  <c r="AF61" i="56"/>
  <c r="AG61" i="56"/>
  <c r="AH61" i="56"/>
  <c r="AI61" i="56"/>
  <c r="AJ61" i="56"/>
  <c r="AK61" i="56"/>
  <c r="AL61" i="56"/>
  <c r="AM61" i="56"/>
  <c r="AN61" i="56"/>
  <c r="AO61" i="56"/>
  <c r="AP61" i="56"/>
  <c r="AQ61" i="56"/>
  <c r="AR61" i="56"/>
  <c r="AS61" i="56"/>
  <c r="AT61" i="56"/>
  <c r="AU61" i="56"/>
  <c r="AV61" i="56"/>
  <c r="AW61" i="56"/>
  <c r="AX61" i="56"/>
  <c r="P61" i="56"/>
  <c r="Q76" i="41"/>
  <c r="R76" i="41"/>
  <c r="R89" i="41" s="1"/>
  <c r="N38" i="55"/>
  <c r="O38" i="55"/>
  <c r="P38" i="55"/>
  <c r="Q38" i="55"/>
  <c r="R38" i="55"/>
  <c r="R83" i="41"/>
  <c r="S76" i="41"/>
  <c r="T76" i="41"/>
  <c r="T89" i="41" s="1"/>
  <c r="U76" i="41"/>
  <c r="U89" i="41" s="1"/>
  <c r="V76" i="41"/>
  <c r="V89" i="41" s="1"/>
  <c r="S38" i="55"/>
  <c r="T38" i="55"/>
  <c r="U38" i="55"/>
  <c r="V37" i="55"/>
  <c r="V38" i="55"/>
  <c r="V83" i="41"/>
  <c r="W76" i="41"/>
  <c r="W89" i="41" s="1"/>
  <c r="X76" i="41"/>
  <c r="Y76" i="41"/>
  <c r="Y89" i="41" s="1"/>
  <c r="Z76" i="41"/>
  <c r="Z89" i="41" s="1"/>
  <c r="AA76" i="41"/>
  <c r="AA89" i="41" s="1"/>
  <c r="AB76" i="41"/>
  <c r="AC76" i="41"/>
  <c r="AC89" i="41" s="1"/>
  <c r="AD76" i="41"/>
  <c r="AD89" i="41" s="1"/>
  <c r="W37" i="55"/>
  <c r="W38" i="55"/>
  <c r="X37" i="55"/>
  <c r="X38" i="55"/>
  <c r="Y37" i="55"/>
  <c r="Y38" i="55"/>
  <c r="Z37" i="55"/>
  <c r="Z38" i="55"/>
  <c r="AA37" i="55"/>
  <c r="AA38" i="55"/>
  <c r="AB37" i="55"/>
  <c r="AB38" i="55"/>
  <c r="AC37" i="55"/>
  <c r="AC38" i="55"/>
  <c r="AD37" i="55"/>
  <c r="AD38" i="55"/>
  <c r="AD83" i="41"/>
  <c r="AE76" i="41"/>
  <c r="AE89" i="41" s="1"/>
  <c r="AF76" i="41"/>
  <c r="AF89" i="41" s="1"/>
  <c r="AG76" i="41"/>
  <c r="AG89" i="41" s="1"/>
  <c r="AH76" i="41"/>
  <c r="AH89" i="41" s="1"/>
  <c r="AE37" i="55"/>
  <c r="AE38" i="55"/>
  <c r="AF37" i="55"/>
  <c r="AF38" i="55"/>
  <c r="AG37" i="55"/>
  <c r="AG38" i="55"/>
  <c r="AH37" i="55"/>
  <c r="AH38" i="55"/>
  <c r="AH83" i="41"/>
  <c r="AI76" i="41"/>
  <c r="AI89" i="41" s="1"/>
  <c r="AJ76" i="41"/>
  <c r="AK76" i="41"/>
  <c r="AK89" i="41" s="1"/>
  <c r="AL76" i="41"/>
  <c r="AL89" i="41" s="1"/>
  <c r="AI37" i="55"/>
  <c r="AI38" i="55"/>
  <c r="AJ37" i="55"/>
  <c r="AJ38" i="55"/>
  <c r="AK37" i="55"/>
  <c r="AK38" i="55"/>
  <c r="AL37" i="55"/>
  <c r="AL38" i="55"/>
  <c r="AL83" i="41"/>
  <c r="AM76" i="41"/>
  <c r="AM89" i="41" s="1"/>
  <c r="AN76" i="41"/>
  <c r="AO76" i="41"/>
  <c r="AO89" i="41" s="1"/>
  <c r="AP76" i="41"/>
  <c r="AP89" i="41" s="1"/>
  <c r="AQ76" i="41"/>
  <c r="AQ89" i="41" s="1"/>
  <c r="AR76" i="41"/>
  <c r="AS76" i="41"/>
  <c r="AT76" i="41"/>
  <c r="AT89" i="41" s="1"/>
  <c r="AM37" i="55"/>
  <c r="AM38" i="55"/>
  <c r="AN37" i="55"/>
  <c r="AN38" i="55"/>
  <c r="AO37" i="55"/>
  <c r="AO38" i="55"/>
  <c r="AP37" i="55"/>
  <c r="AP38" i="55"/>
  <c r="AQ37" i="55"/>
  <c r="AQ38" i="55"/>
  <c r="AR37" i="55"/>
  <c r="AR38" i="55"/>
  <c r="AS37" i="55"/>
  <c r="AS38" i="55"/>
  <c r="AT37" i="55"/>
  <c r="AT38" i="55"/>
  <c r="AT83" i="41"/>
  <c r="AU76" i="41"/>
  <c r="AV76" i="41"/>
  <c r="AV89" i="41" s="1"/>
  <c r="AW76" i="41"/>
  <c r="AW89" i="41" s="1"/>
  <c r="AX76" i="41"/>
  <c r="AX89" i="41" s="1"/>
  <c r="AU37" i="55"/>
  <c r="AU38" i="55"/>
  <c r="AV37" i="55"/>
  <c r="AV38" i="55"/>
  <c r="AW37" i="55"/>
  <c r="AW38" i="55"/>
  <c r="AX37" i="55"/>
  <c r="AX38" i="55"/>
  <c r="AX83" i="41"/>
  <c r="P76" i="41"/>
  <c r="P89" i="41" s="1"/>
  <c r="P39" i="38"/>
  <c r="P46" i="38"/>
  <c r="Q39" i="38"/>
  <c r="Q46" i="38"/>
  <c r="M34" i="55"/>
  <c r="K12" i="59"/>
  <c r="K20" i="59"/>
  <c r="K28" i="59"/>
  <c r="K9" i="38"/>
  <c r="K39" i="38"/>
  <c r="K46" i="38"/>
  <c r="L12" i="59"/>
  <c r="L20" i="59"/>
  <c r="L28" i="59"/>
  <c r="L9" i="38"/>
  <c r="L39" i="38"/>
  <c r="L46" i="38"/>
  <c r="M12" i="59"/>
  <c r="M20" i="59"/>
  <c r="M28" i="59"/>
  <c r="M9" i="38"/>
  <c r="M39" i="38"/>
  <c r="M46" i="38"/>
  <c r="N12" i="59"/>
  <c r="N20" i="59"/>
  <c r="N28" i="59"/>
  <c r="N9" i="38"/>
  <c r="N39" i="38"/>
  <c r="N46" i="38"/>
  <c r="O12" i="59"/>
  <c r="O20" i="59"/>
  <c r="O28" i="59"/>
  <c r="O9" i="38"/>
  <c r="O39" i="38"/>
  <c r="O46" i="38"/>
  <c r="Q54" i="38"/>
  <c r="P40" i="38"/>
  <c r="P47" i="38"/>
  <c r="Q40" i="38"/>
  <c r="Q47" i="38"/>
  <c r="K13" i="59"/>
  <c r="K21" i="59"/>
  <c r="K29" i="59"/>
  <c r="K10" i="38"/>
  <c r="K40" i="38"/>
  <c r="K47" i="38"/>
  <c r="L13" i="59"/>
  <c r="L21" i="59"/>
  <c r="L29" i="59"/>
  <c r="L10" i="38"/>
  <c r="L40" i="38"/>
  <c r="L47" i="38"/>
  <c r="M13" i="59"/>
  <c r="M21" i="59"/>
  <c r="M29" i="59"/>
  <c r="M10" i="38"/>
  <c r="M40" i="38"/>
  <c r="M47" i="38"/>
  <c r="N13" i="59"/>
  <c r="N21" i="59"/>
  <c r="N29" i="59"/>
  <c r="N10" i="38"/>
  <c r="N40" i="38"/>
  <c r="N47" i="38"/>
  <c r="O13" i="59"/>
  <c r="O21" i="59"/>
  <c r="O29" i="59"/>
  <c r="O10" i="38"/>
  <c r="O40" i="38"/>
  <c r="O47" i="38"/>
  <c r="Q55" i="38"/>
  <c r="P41" i="38"/>
  <c r="P48" i="38"/>
  <c r="Q41" i="38"/>
  <c r="Q48" i="38"/>
  <c r="M41" i="38"/>
  <c r="M48" i="38"/>
  <c r="N41" i="38"/>
  <c r="N48" i="38"/>
  <c r="O41" i="38"/>
  <c r="O48" i="38"/>
  <c r="Q56" i="38"/>
  <c r="M43" i="55"/>
  <c r="J31" i="38"/>
  <c r="J61" i="38"/>
  <c r="K35" i="38"/>
  <c r="Q53" i="38"/>
  <c r="Q59" i="38"/>
  <c r="Q74" i="41"/>
  <c r="R39" i="38"/>
  <c r="R46" i="38"/>
  <c r="R54" i="38"/>
  <c r="R40" i="38"/>
  <c r="R47" i="38"/>
  <c r="R55" i="38"/>
  <c r="R41" i="38"/>
  <c r="R48" i="38"/>
  <c r="R56" i="38"/>
  <c r="R53" i="38"/>
  <c r="R59" i="38"/>
  <c r="R74" i="41"/>
  <c r="S39" i="38"/>
  <c r="S46" i="38"/>
  <c r="S54" i="38"/>
  <c r="S40" i="38"/>
  <c r="S47" i="38"/>
  <c r="S55" i="38"/>
  <c r="S41" i="38"/>
  <c r="S48" i="38"/>
  <c r="S56" i="38"/>
  <c r="S53" i="38"/>
  <c r="S59" i="38"/>
  <c r="S74" i="41"/>
  <c r="T39" i="38"/>
  <c r="T46" i="38"/>
  <c r="T54" i="38"/>
  <c r="T40" i="38"/>
  <c r="T47" i="38"/>
  <c r="T55" i="38"/>
  <c r="T41" i="38"/>
  <c r="T48" i="38"/>
  <c r="T56" i="38"/>
  <c r="T53" i="38"/>
  <c r="T59" i="38"/>
  <c r="T74" i="41"/>
  <c r="U39" i="38"/>
  <c r="U46" i="38"/>
  <c r="U54" i="38"/>
  <c r="U40" i="38"/>
  <c r="U47" i="38"/>
  <c r="U55" i="38"/>
  <c r="U41" i="38"/>
  <c r="U48" i="38"/>
  <c r="U56" i="38"/>
  <c r="U53" i="38"/>
  <c r="U59" i="38"/>
  <c r="U74" i="41"/>
  <c r="V39" i="38"/>
  <c r="V46" i="38"/>
  <c r="V54" i="38"/>
  <c r="V40" i="38"/>
  <c r="V47" i="38"/>
  <c r="V55" i="38"/>
  <c r="V41" i="38"/>
  <c r="V48" i="38"/>
  <c r="V56" i="38"/>
  <c r="V53" i="38"/>
  <c r="V59" i="38"/>
  <c r="V74" i="41"/>
  <c r="W39" i="38"/>
  <c r="W46" i="38"/>
  <c r="W54" i="38"/>
  <c r="W40" i="38"/>
  <c r="W47" i="38"/>
  <c r="W55" i="38"/>
  <c r="W41" i="38"/>
  <c r="W48" i="38"/>
  <c r="W56" i="38"/>
  <c r="W53" i="38"/>
  <c r="W59" i="38"/>
  <c r="W74" i="41"/>
  <c r="X39" i="38"/>
  <c r="X46" i="38"/>
  <c r="X54" i="38"/>
  <c r="X40" i="38"/>
  <c r="X47" i="38"/>
  <c r="X55" i="38"/>
  <c r="X41" i="38"/>
  <c r="X48" i="38"/>
  <c r="X56" i="38"/>
  <c r="X53" i="38"/>
  <c r="X59" i="38"/>
  <c r="X74" i="41"/>
  <c r="Y39" i="38"/>
  <c r="Y46" i="38"/>
  <c r="Y54" i="38"/>
  <c r="Y40" i="38"/>
  <c r="Y47" i="38"/>
  <c r="Y55" i="38"/>
  <c r="Y41" i="38"/>
  <c r="Y48" i="38"/>
  <c r="Y56" i="38"/>
  <c r="Y53" i="38"/>
  <c r="Y59" i="38"/>
  <c r="Y74" i="41"/>
  <c r="Z39" i="38"/>
  <c r="Z46" i="38"/>
  <c r="Z54" i="38"/>
  <c r="Z40" i="38"/>
  <c r="Z47" i="38"/>
  <c r="Z55" i="38"/>
  <c r="Z41" i="38"/>
  <c r="Z48" i="38"/>
  <c r="Z56" i="38"/>
  <c r="Z53" i="38"/>
  <c r="Z59" i="38"/>
  <c r="Z74" i="41"/>
  <c r="AA39" i="38"/>
  <c r="AA46" i="38"/>
  <c r="AA54" i="38"/>
  <c r="AA40" i="38"/>
  <c r="AA47" i="38"/>
  <c r="AA55" i="38"/>
  <c r="AA41" i="38"/>
  <c r="AA48" i="38"/>
  <c r="AA56" i="38"/>
  <c r="AA53" i="38"/>
  <c r="AA59" i="38"/>
  <c r="AA74" i="41"/>
  <c r="AB39" i="38"/>
  <c r="AB46" i="38"/>
  <c r="AB54" i="38"/>
  <c r="AB40" i="38"/>
  <c r="AB47" i="38"/>
  <c r="AB55" i="38"/>
  <c r="AB41" i="38"/>
  <c r="AB48" i="38"/>
  <c r="AB56" i="38"/>
  <c r="AB53" i="38"/>
  <c r="AB59" i="38"/>
  <c r="AB74" i="41"/>
  <c r="AC39" i="38"/>
  <c r="AC46" i="38"/>
  <c r="AC54" i="38"/>
  <c r="AC40" i="38"/>
  <c r="AC47" i="38"/>
  <c r="AC55" i="38"/>
  <c r="AC41" i="38"/>
  <c r="AC48" i="38"/>
  <c r="AC56" i="38"/>
  <c r="AC53" i="38"/>
  <c r="AC59" i="38"/>
  <c r="AC74" i="41"/>
  <c r="AD39" i="38"/>
  <c r="AD46" i="38"/>
  <c r="AD54" i="38"/>
  <c r="AD40" i="38"/>
  <c r="AD47" i="38"/>
  <c r="AD55" i="38"/>
  <c r="AD41" i="38"/>
  <c r="AD48" i="38"/>
  <c r="AD56" i="38"/>
  <c r="AD53" i="38"/>
  <c r="AD59" i="38"/>
  <c r="AD74" i="41"/>
  <c r="AE39" i="38"/>
  <c r="AE46" i="38"/>
  <c r="AE54" i="38"/>
  <c r="AE40" i="38"/>
  <c r="AE47" i="38"/>
  <c r="AE55" i="38"/>
  <c r="AE41" i="38"/>
  <c r="AE48" i="38"/>
  <c r="AE56" i="38"/>
  <c r="AE53" i="38"/>
  <c r="AE59" i="38"/>
  <c r="AE74" i="41"/>
  <c r="AF39" i="38"/>
  <c r="AF46" i="38"/>
  <c r="AF54" i="38"/>
  <c r="AF40" i="38"/>
  <c r="AF47" i="38"/>
  <c r="AF55" i="38"/>
  <c r="AF41" i="38"/>
  <c r="AF48" i="38"/>
  <c r="AF56" i="38"/>
  <c r="AF53" i="38"/>
  <c r="AF59" i="38"/>
  <c r="AF74" i="41"/>
  <c r="AG39" i="38"/>
  <c r="AG46" i="38"/>
  <c r="AG54" i="38"/>
  <c r="AG40" i="38"/>
  <c r="AG47" i="38"/>
  <c r="AG55" i="38"/>
  <c r="AG41" i="38"/>
  <c r="AG48" i="38"/>
  <c r="AG56" i="38"/>
  <c r="AG53" i="38"/>
  <c r="AG59" i="38"/>
  <c r="AG74" i="41"/>
  <c r="AH39" i="38"/>
  <c r="AH46" i="38"/>
  <c r="AH54" i="38"/>
  <c r="AH40" i="38"/>
  <c r="AH47" i="38"/>
  <c r="AH55" i="38"/>
  <c r="AH41" i="38"/>
  <c r="AH48" i="38"/>
  <c r="AH56" i="38"/>
  <c r="AH53" i="38"/>
  <c r="AH59" i="38"/>
  <c r="AH74" i="41"/>
  <c r="AI39" i="38"/>
  <c r="AI46" i="38"/>
  <c r="AI54" i="38"/>
  <c r="AI40" i="38"/>
  <c r="AI47" i="38"/>
  <c r="AI55" i="38"/>
  <c r="AI41" i="38"/>
  <c r="AI48" i="38"/>
  <c r="AI56" i="38"/>
  <c r="AI53" i="38"/>
  <c r="AI59" i="38"/>
  <c r="AI74" i="41"/>
  <c r="AJ39" i="38"/>
  <c r="AJ46" i="38"/>
  <c r="AJ54" i="38"/>
  <c r="AJ40" i="38"/>
  <c r="AJ47" i="38"/>
  <c r="AJ55" i="38"/>
  <c r="AJ41" i="38"/>
  <c r="AJ48" i="38"/>
  <c r="AJ56" i="38"/>
  <c r="AJ53" i="38"/>
  <c r="AJ59" i="38"/>
  <c r="AJ74" i="41"/>
  <c r="AK39" i="38"/>
  <c r="AK46" i="38"/>
  <c r="AK54" i="38"/>
  <c r="AK40" i="38"/>
  <c r="AK47" i="38"/>
  <c r="AK55" i="38"/>
  <c r="AK41" i="38"/>
  <c r="AK48" i="38"/>
  <c r="AK56" i="38"/>
  <c r="AK53" i="38"/>
  <c r="AK59" i="38"/>
  <c r="AK74" i="41"/>
  <c r="AL39" i="38"/>
  <c r="AL46" i="38"/>
  <c r="AL54" i="38"/>
  <c r="AL40" i="38"/>
  <c r="AL47" i="38"/>
  <c r="AL55" i="38"/>
  <c r="AL41" i="38"/>
  <c r="AL48" i="38"/>
  <c r="AL56" i="38"/>
  <c r="AL53" i="38"/>
  <c r="AL59" i="38"/>
  <c r="AL74" i="41"/>
  <c r="AM39" i="38"/>
  <c r="AM46" i="38"/>
  <c r="AM54" i="38"/>
  <c r="AM40" i="38"/>
  <c r="AM47" i="38"/>
  <c r="AM55" i="38"/>
  <c r="AM41" i="38"/>
  <c r="AM48" i="38"/>
  <c r="AM56" i="38"/>
  <c r="AM53" i="38"/>
  <c r="AM59" i="38"/>
  <c r="AM74" i="41"/>
  <c r="AN39" i="38"/>
  <c r="AN46" i="38"/>
  <c r="AN54" i="38"/>
  <c r="AN40" i="38"/>
  <c r="AN47" i="38"/>
  <c r="AN55" i="38"/>
  <c r="AN41" i="38"/>
  <c r="AN48" i="38"/>
  <c r="AN56" i="38"/>
  <c r="AN53" i="38"/>
  <c r="AN59" i="38"/>
  <c r="AN74" i="41"/>
  <c r="AO39" i="38"/>
  <c r="AO46" i="38"/>
  <c r="AO54" i="38"/>
  <c r="AO40" i="38"/>
  <c r="AO47" i="38"/>
  <c r="AO55" i="38"/>
  <c r="AO41" i="38"/>
  <c r="AO48" i="38"/>
  <c r="AO56" i="38"/>
  <c r="AO53" i="38"/>
  <c r="AO59" i="38"/>
  <c r="AO74" i="41"/>
  <c r="AP39" i="38"/>
  <c r="AP46" i="38"/>
  <c r="AP54" i="38"/>
  <c r="AP40" i="38"/>
  <c r="AP47" i="38"/>
  <c r="AP55" i="38"/>
  <c r="AP41" i="38"/>
  <c r="AP48" i="38"/>
  <c r="AP56" i="38"/>
  <c r="AP53" i="38"/>
  <c r="AP59" i="38"/>
  <c r="AP74" i="41"/>
  <c r="AQ39" i="38"/>
  <c r="AQ46" i="38"/>
  <c r="AQ54" i="38"/>
  <c r="AQ40" i="38"/>
  <c r="AQ47" i="38"/>
  <c r="AQ55" i="38"/>
  <c r="AQ41" i="38"/>
  <c r="AQ48" i="38"/>
  <c r="AQ56" i="38"/>
  <c r="AQ53" i="38"/>
  <c r="AQ59" i="38"/>
  <c r="AQ74" i="41"/>
  <c r="AR39" i="38"/>
  <c r="AR46" i="38"/>
  <c r="AR54" i="38"/>
  <c r="AR40" i="38"/>
  <c r="AR47" i="38"/>
  <c r="AR55" i="38"/>
  <c r="AR41" i="38"/>
  <c r="AR48" i="38"/>
  <c r="AR56" i="38"/>
  <c r="AR53" i="38"/>
  <c r="AR59" i="38"/>
  <c r="AR74" i="41"/>
  <c r="AS39" i="38"/>
  <c r="AS46" i="38"/>
  <c r="AS54" i="38"/>
  <c r="AS40" i="38"/>
  <c r="AS47" i="38"/>
  <c r="AS55" i="38"/>
  <c r="AS41" i="38"/>
  <c r="AS48" i="38"/>
  <c r="AS56" i="38"/>
  <c r="AS53" i="38"/>
  <c r="AS59" i="38"/>
  <c r="AS74" i="41"/>
  <c r="AT39" i="38"/>
  <c r="AT46" i="38"/>
  <c r="AT54" i="38"/>
  <c r="AT40" i="38"/>
  <c r="AT47" i="38"/>
  <c r="AT55" i="38"/>
  <c r="AT41" i="38"/>
  <c r="AT48" i="38"/>
  <c r="AT56" i="38"/>
  <c r="AT53" i="38"/>
  <c r="AT59" i="38"/>
  <c r="AT74" i="41"/>
  <c r="AU39" i="38"/>
  <c r="AU46" i="38"/>
  <c r="AU54" i="38"/>
  <c r="AU40" i="38"/>
  <c r="AU47" i="38"/>
  <c r="AU55" i="38"/>
  <c r="AU41" i="38"/>
  <c r="AU48" i="38"/>
  <c r="AU56" i="38"/>
  <c r="AU53" i="38"/>
  <c r="AU59" i="38"/>
  <c r="AU74" i="41"/>
  <c r="AV39" i="38"/>
  <c r="AV46" i="38"/>
  <c r="AV54" i="38"/>
  <c r="AV40" i="38"/>
  <c r="AV47" i="38"/>
  <c r="AV55" i="38"/>
  <c r="AV41" i="38"/>
  <c r="AV48" i="38"/>
  <c r="AV56" i="38"/>
  <c r="AV53" i="38"/>
  <c r="AV59" i="38"/>
  <c r="AV74" i="41"/>
  <c r="AW39" i="38"/>
  <c r="AW46" i="38"/>
  <c r="AW54" i="38"/>
  <c r="AW40" i="38"/>
  <c r="AW47" i="38"/>
  <c r="AW55" i="38"/>
  <c r="AW41" i="38"/>
  <c r="AW48" i="38"/>
  <c r="AW56" i="38"/>
  <c r="AW53" i="38"/>
  <c r="AW59" i="38"/>
  <c r="AW74" i="41"/>
  <c r="AX39" i="38"/>
  <c r="AX46" i="38"/>
  <c r="AX54" i="38"/>
  <c r="AX40" i="38"/>
  <c r="AX47" i="38"/>
  <c r="AX55" i="38"/>
  <c r="AX41" i="38"/>
  <c r="AX48" i="38"/>
  <c r="AX56" i="38"/>
  <c r="AX53" i="38"/>
  <c r="AX59" i="38"/>
  <c r="AX74" i="41"/>
  <c r="P54" i="38"/>
  <c r="P55" i="38"/>
  <c r="L41" i="38"/>
  <c r="L48" i="38"/>
  <c r="P56" i="38"/>
  <c r="P53" i="38"/>
  <c r="P59" i="38"/>
  <c r="P74" i="41"/>
  <c r="B82" i="41"/>
  <c r="C82" i="41"/>
  <c r="D82" i="41"/>
  <c r="E82" i="41"/>
  <c r="F82" i="41"/>
  <c r="G82" i="41"/>
  <c r="H82" i="41"/>
  <c r="I82" i="41"/>
  <c r="J82" i="41"/>
  <c r="K82" i="41"/>
  <c r="L82" i="41"/>
  <c r="M82" i="41"/>
  <c r="N82" i="41"/>
  <c r="O82" i="41"/>
  <c r="P82" i="41"/>
  <c r="Q82" i="41"/>
  <c r="R82" i="41"/>
  <c r="S82" i="41"/>
  <c r="T82" i="41"/>
  <c r="U82" i="41"/>
  <c r="V82" i="41"/>
  <c r="W82" i="41"/>
  <c r="X82" i="41"/>
  <c r="Y82" i="41"/>
  <c r="Z82" i="41"/>
  <c r="AA82" i="41"/>
  <c r="AB82" i="41"/>
  <c r="AC82" i="41"/>
  <c r="AD82" i="41"/>
  <c r="AE82" i="41"/>
  <c r="AF82" i="41"/>
  <c r="AG82" i="41"/>
  <c r="AH82" i="41"/>
  <c r="AI82" i="41"/>
  <c r="AJ82" i="41"/>
  <c r="AK82" i="41"/>
  <c r="AL82" i="41"/>
  <c r="AM82" i="41"/>
  <c r="AN82" i="41"/>
  <c r="AO82" i="41"/>
  <c r="AP82" i="41"/>
  <c r="AQ82" i="41"/>
  <c r="AR82" i="41"/>
  <c r="AS82" i="41"/>
  <c r="AT82" i="41"/>
  <c r="AU82" i="41"/>
  <c r="AV82" i="41"/>
  <c r="AW82" i="41"/>
  <c r="AX82" i="41"/>
  <c r="B83" i="41"/>
  <c r="C83" i="41"/>
  <c r="D83" i="41"/>
  <c r="E83" i="41"/>
  <c r="F83" i="41"/>
  <c r="G83" i="41"/>
  <c r="H83" i="41"/>
  <c r="I83" i="41"/>
  <c r="J83" i="41"/>
  <c r="K83" i="41"/>
  <c r="L83" i="41"/>
  <c r="M83" i="41"/>
  <c r="N83" i="41"/>
  <c r="O83" i="41"/>
  <c r="P83" i="41"/>
  <c r="Q83" i="41"/>
  <c r="R87" i="41"/>
  <c r="S83" i="41"/>
  <c r="T83" i="41"/>
  <c r="U83" i="41"/>
  <c r="V87" i="41"/>
  <c r="W83" i="41"/>
  <c r="X83" i="41"/>
  <c r="Y83" i="41"/>
  <c r="Z83" i="41"/>
  <c r="Z91" i="41"/>
  <c r="AA83" i="41"/>
  <c r="AB83" i="41"/>
  <c r="AC83" i="41"/>
  <c r="AD91" i="41"/>
  <c r="AE83" i="41"/>
  <c r="AF83" i="41"/>
  <c r="AG83" i="41"/>
  <c r="AH87" i="41"/>
  <c r="AI83" i="41"/>
  <c r="AJ83" i="41"/>
  <c r="AK83" i="41"/>
  <c r="AL87" i="41"/>
  <c r="AM83" i="41"/>
  <c r="AN83" i="41"/>
  <c r="AO83" i="41"/>
  <c r="AP83" i="41"/>
  <c r="AP91" i="41"/>
  <c r="AQ83" i="41"/>
  <c r="AR83" i="41"/>
  <c r="AS83" i="41"/>
  <c r="AT91" i="41"/>
  <c r="AU83" i="41"/>
  <c r="AV83" i="41"/>
  <c r="AW83" i="41"/>
  <c r="AX87" i="41"/>
  <c r="A83" i="41"/>
  <c r="A82" i="41"/>
  <c r="AW91" i="41"/>
  <c r="AK91" i="41"/>
  <c r="AC91" i="41"/>
  <c r="Q89" i="41"/>
  <c r="Q91" i="41"/>
  <c r="AL91" i="41"/>
  <c r="V91" i="41"/>
  <c r="AT87" i="41"/>
  <c r="AD87" i="41"/>
  <c r="AV87" i="41"/>
  <c r="AV91" i="41"/>
  <c r="AR87" i="41"/>
  <c r="AR89" i="41"/>
  <c r="AR91" i="41"/>
  <c r="AN87" i="41"/>
  <c r="AN89" i="41"/>
  <c r="AN91" i="41"/>
  <c r="AJ87" i="41"/>
  <c r="AJ89" i="41"/>
  <c r="AJ91" i="41"/>
  <c r="AF87" i="41"/>
  <c r="AF91" i="41"/>
  <c r="AB87" i="41"/>
  <c r="AB89" i="41"/>
  <c r="AB91" i="41"/>
  <c r="X87" i="41"/>
  <c r="X89" i="41"/>
  <c r="X91" i="41"/>
  <c r="T87" i="41"/>
  <c r="T91" i="41"/>
  <c r="P91" i="41"/>
  <c r="P87" i="41"/>
  <c r="AW87" i="41"/>
  <c r="AS87" i="41"/>
  <c r="AO87" i="41"/>
  <c r="AK87" i="41"/>
  <c r="AG87" i="41"/>
  <c r="AC87" i="41"/>
  <c r="Y87" i="41"/>
  <c r="U87" i="41"/>
  <c r="Q87" i="41"/>
  <c r="AX91" i="41"/>
  <c r="AH91" i="41"/>
  <c r="R91" i="41"/>
  <c r="AP87" i="41"/>
  <c r="Z87" i="41"/>
  <c r="AS89" i="41"/>
  <c r="AS91" i="41"/>
  <c r="AG91" i="41"/>
  <c r="U91" i="41"/>
  <c r="AU87" i="41"/>
  <c r="AU89" i="41"/>
  <c r="AU91" i="41"/>
  <c r="AQ87" i="41"/>
  <c r="AQ91" i="41"/>
  <c r="AM87" i="41"/>
  <c r="AM91" i="41"/>
  <c r="AI87" i="41"/>
  <c r="AI91" i="41"/>
  <c r="AE87" i="41"/>
  <c r="AE91" i="41"/>
  <c r="AA87" i="41"/>
  <c r="AA91" i="41"/>
  <c r="W87" i="41"/>
  <c r="W91" i="41"/>
  <c r="S87" i="41"/>
  <c r="S89" i="41"/>
  <c r="S91" i="41"/>
  <c r="AO91" i="41"/>
  <c r="Y91" i="41"/>
  <c r="AV1" i="56"/>
  <c r="AW1" i="56"/>
  <c r="AX1" i="56"/>
  <c r="AV7" i="56"/>
  <c r="AW7" i="56"/>
  <c r="AX7" i="56"/>
  <c r="AV10" i="56"/>
  <c r="AW10" i="56"/>
  <c r="AX10" i="56"/>
  <c r="AV16" i="56"/>
  <c r="AV40" i="56"/>
  <c r="AX16" i="56"/>
  <c r="AX40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AQ1" i="56"/>
  <c r="AR1" i="56"/>
  <c r="AS1" i="56"/>
  <c r="AT1" i="56"/>
  <c r="AU1" i="56"/>
  <c r="V7" i="56"/>
  <c r="W7" i="56"/>
  <c r="W10" i="56"/>
  <c r="W16" i="56"/>
  <c r="W40" i="56"/>
  <c r="X7" i="56"/>
  <c r="Y7" i="56"/>
  <c r="Z7" i="56"/>
  <c r="AA7" i="56"/>
  <c r="AA10" i="56"/>
  <c r="AA16" i="56"/>
  <c r="AA40" i="56"/>
  <c r="AB7" i="56"/>
  <c r="AC7" i="56"/>
  <c r="AD7" i="56"/>
  <c r="AE7" i="56"/>
  <c r="AE10" i="56"/>
  <c r="AE16" i="56"/>
  <c r="AE40" i="56"/>
  <c r="AF7" i="56"/>
  <c r="AG7" i="56"/>
  <c r="AH7" i="56"/>
  <c r="AI7" i="56"/>
  <c r="AJ7" i="56"/>
  <c r="AK7" i="56"/>
  <c r="AL7" i="56"/>
  <c r="AM7" i="56"/>
  <c r="AM10" i="56"/>
  <c r="AM16" i="56"/>
  <c r="AM40" i="56"/>
  <c r="AN7" i="56"/>
  <c r="AO7" i="56"/>
  <c r="AP7" i="56"/>
  <c r="AQ7" i="56"/>
  <c r="AR7" i="56"/>
  <c r="AS7" i="56"/>
  <c r="AT7" i="56"/>
  <c r="AU7" i="56"/>
  <c r="AU10" i="56"/>
  <c r="AU16" i="56"/>
  <c r="AU40" i="56"/>
  <c r="V10" i="56"/>
  <c r="X10" i="56"/>
  <c r="Y10" i="56"/>
  <c r="Z10" i="56"/>
  <c r="AB10" i="56"/>
  <c r="AC10" i="56"/>
  <c r="AD10" i="56"/>
  <c r="AF10" i="56"/>
  <c r="AG10" i="56"/>
  <c r="AH10" i="56"/>
  <c r="AI10" i="56"/>
  <c r="AJ10" i="56"/>
  <c r="AK10" i="56"/>
  <c r="AL10" i="56"/>
  <c r="AN10" i="56"/>
  <c r="AO10" i="56"/>
  <c r="AP10" i="56"/>
  <c r="AQ10" i="56"/>
  <c r="AR10" i="56"/>
  <c r="AS10" i="56"/>
  <c r="AT10" i="56"/>
  <c r="V16" i="56"/>
  <c r="Z16" i="56"/>
  <c r="AB16" i="56"/>
  <c r="AB40" i="56"/>
  <c r="AD16" i="56"/>
  <c r="AH16" i="56"/>
  <c r="AH40" i="56"/>
  <c r="AI16" i="56"/>
  <c r="AI40" i="56"/>
  <c r="AL16" i="56"/>
  <c r="AP16" i="56"/>
  <c r="AQ16" i="56"/>
  <c r="AR16" i="56"/>
  <c r="AR40" i="56"/>
  <c r="AT16" i="56"/>
  <c r="V40" i="56"/>
  <c r="Z40" i="56"/>
  <c r="AD40" i="56"/>
  <c r="AL40" i="56"/>
  <c r="AP40" i="56"/>
  <c r="AQ40" i="56"/>
  <c r="AT40" i="56"/>
  <c r="AW16" i="56"/>
  <c r="AW40" i="56"/>
  <c r="AN16" i="56"/>
  <c r="AN40" i="56"/>
  <c r="AF16" i="56"/>
  <c r="AF40" i="56"/>
  <c r="X16" i="56"/>
  <c r="X40" i="56"/>
  <c r="AJ16" i="56"/>
  <c r="AJ40" i="56"/>
  <c r="AS16" i="56"/>
  <c r="AS40" i="56"/>
  <c r="AO16" i="56"/>
  <c r="AO40" i="56"/>
  <c r="AK16" i="56"/>
  <c r="AK40" i="56"/>
  <c r="AG16" i="56"/>
  <c r="AG40" i="56"/>
  <c r="AC16" i="56"/>
  <c r="AC40" i="56"/>
  <c r="Y16" i="56"/>
  <c r="Y40" i="56"/>
  <c r="M47" i="55"/>
  <c r="K5" i="38"/>
  <c r="K23" i="38"/>
  <c r="K16" i="38"/>
  <c r="K24" i="38"/>
  <c r="K17" i="38"/>
  <c r="K25" i="38"/>
  <c r="K29" i="38"/>
  <c r="L23" i="38"/>
  <c r="L16" i="38"/>
  <c r="L24" i="38"/>
  <c r="L17" i="38"/>
  <c r="L25" i="38"/>
  <c r="L29" i="38"/>
  <c r="M23" i="38"/>
  <c r="M16" i="38"/>
  <c r="M24" i="38"/>
  <c r="M17" i="38"/>
  <c r="M25" i="38"/>
  <c r="M29" i="38"/>
  <c r="N23" i="38"/>
  <c r="N16" i="38"/>
  <c r="N24" i="38"/>
  <c r="N17" i="38"/>
  <c r="N25" i="38"/>
  <c r="N29" i="38"/>
  <c r="O23" i="38"/>
  <c r="O16" i="38"/>
  <c r="O24" i="38"/>
  <c r="O17" i="38"/>
  <c r="O25" i="38"/>
  <c r="O29" i="38"/>
  <c r="M50" i="55"/>
  <c r="M52" i="55"/>
  <c r="M53" i="55"/>
  <c r="M49" i="55"/>
  <c r="O47" i="55"/>
  <c r="K7" i="38"/>
  <c r="K14" i="38"/>
  <c r="K31" i="38"/>
  <c r="L5" i="38"/>
  <c r="L7" i="38"/>
  <c r="L14" i="38"/>
  <c r="L31" i="38"/>
  <c r="M5" i="38"/>
  <c r="M7" i="38"/>
  <c r="M14" i="38"/>
  <c r="M31" i="38"/>
  <c r="N5" i="38"/>
  <c r="N7" i="38"/>
  <c r="N14" i="38"/>
  <c r="N31" i="38"/>
  <c r="O5" i="38"/>
  <c r="O7" i="38"/>
  <c r="O14" i="38"/>
  <c r="O31" i="38"/>
  <c r="M46" i="55"/>
  <c r="O46" i="55"/>
  <c r="O55" i="55"/>
  <c r="M55" i="55"/>
  <c r="Q31" i="60"/>
  <c r="R31" i="60"/>
  <c r="S31" i="60"/>
  <c r="T31" i="60"/>
  <c r="U31" i="60"/>
  <c r="V31" i="60"/>
  <c r="W31" i="60"/>
  <c r="X31" i="60"/>
  <c r="Y31" i="60"/>
  <c r="Z31" i="60"/>
  <c r="AA31" i="60"/>
  <c r="AB31" i="60"/>
  <c r="AC31" i="60"/>
  <c r="AD31" i="60"/>
  <c r="AE31" i="60"/>
  <c r="AF31" i="60"/>
  <c r="AG31" i="60"/>
  <c r="AH31" i="60"/>
  <c r="AI31" i="60"/>
  <c r="AJ31" i="60"/>
  <c r="AK31" i="60"/>
  <c r="AL31" i="60"/>
  <c r="AM31" i="60"/>
  <c r="AN31" i="60"/>
  <c r="AO31" i="60"/>
  <c r="AP31" i="60"/>
  <c r="AQ31" i="60"/>
  <c r="AR31" i="60"/>
  <c r="AS31" i="60"/>
  <c r="AT31" i="60"/>
  <c r="AU31" i="60"/>
  <c r="AV31" i="60"/>
  <c r="AW31" i="60"/>
  <c r="AX31" i="60"/>
  <c r="P31" i="60"/>
  <c r="AU20" i="60"/>
  <c r="AV20" i="60"/>
  <c r="AW20" i="60"/>
  <c r="AX20" i="60"/>
  <c r="AL20" i="60"/>
  <c r="AM20" i="60"/>
  <c r="AN20" i="60"/>
  <c r="AO20" i="60"/>
  <c r="AP20" i="60"/>
  <c r="AQ20" i="60"/>
  <c r="AR20" i="60"/>
  <c r="AS20" i="60"/>
  <c r="AT20" i="60"/>
  <c r="V20" i="60"/>
  <c r="W20" i="60"/>
  <c r="X20" i="60"/>
  <c r="Y20" i="60"/>
  <c r="Z20" i="60"/>
  <c r="AA20" i="60"/>
  <c r="AB20" i="60"/>
  <c r="AC20" i="60"/>
  <c r="AD20" i="60"/>
  <c r="AE20" i="60"/>
  <c r="AF20" i="60"/>
  <c r="AG20" i="60"/>
  <c r="AH20" i="60"/>
  <c r="AI20" i="60"/>
  <c r="AJ20" i="60"/>
  <c r="AK20" i="60"/>
  <c r="C8" i="60"/>
  <c r="N37" i="55"/>
  <c r="L43" i="38"/>
  <c r="K42" i="38"/>
  <c r="O42" i="38"/>
  <c r="L42" i="38"/>
  <c r="N43" i="38"/>
  <c r="N42" i="38"/>
  <c r="K43" i="38"/>
  <c r="M43" i="38"/>
  <c r="M42" i="38"/>
  <c r="AK44" i="38"/>
  <c r="O43" i="38"/>
  <c r="AG44" i="38"/>
  <c r="AQ44" i="38"/>
  <c r="W44" i="38"/>
  <c r="AW44" i="38"/>
  <c r="AM44" i="38"/>
  <c r="AA44" i="38"/>
  <c r="AP44" i="38"/>
  <c r="AH44" i="38"/>
  <c r="AU44" i="38"/>
  <c r="AI44" i="38"/>
  <c r="S44" i="38"/>
  <c r="AS44" i="38"/>
  <c r="AE44" i="38"/>
  <c r="AX44" i="38"/>
  <c r="AO44" i="38"/>
  <c r="AF44" i="38"/>
  <c r="AJ44" i="38"/>
  <c r="AN44" i="38"/>
  <c r="AR44" i="38"/>
  <c r="AV44" i="38"/>
  <c r="P44" i="38"/>
  <c r="T44" i="38"/>
  <c r="X44" i="38"/>
  <c r="AB44" i="38"/>
  <c r="Q44" i="38"/>
  <c r="Y44" i="38"/>
  <c r="R44" i="38"/>
  <c r="V44" i="38"/>
  <c r="Z44" i="38"/>
  <c r="AD44" i="38"/>
  <c r="AL44" i="38"/>
  <c r="AT44" i="38"/>
  <c r="U44" i="38"/>
  <c r="AC44" i="38"/>
  <c r="M48" i="55"/>
  <c r="B27" i="59"/>
  <c r="P14" i="57"/>
  <c r="Q14" i="57"/>
  <c r="R14" i="57"/>
  <c r="S14" i="57"/>
  <c r="T14" i="57"/>
  <c r="U14" i="57"/>
  <c r="V14" i="57"/>
  <c r="W14" i="57"/>
  <c r="X14" i="57"/>
  <c r="Y14" i="57"/>
  <c r="Z14" i="57"/>
  <c r="AA14" i="57"/>
  <c r="AB14" i="57"/>
  <c r="AC14" i="57"/>
  <c r="AD14" i="57"/>
  <c r="AE14" i="57"/>
  <c r="AF14" i="57"/>
  <c r="AG14" i="57"/>
  <c r="AH14" i="57"/>
  <c r="AI14" i="57"/>
  <c r="AJ14" i="57"/>
  <c r="AK14" i="57"/>
  <c r="AL14" i="57"/>
  <c r="AM14" i="57"/>
  <c r="AN14" i="57"/>
  <c r="AO14" i="57"/>
  <c r="AP14" i="57"/>
  <c r="AQ14" i="57"/>
  <c r="AR14" i="57"/>
  <c r="AS14" i="57"/>
  <c r="AT14" i="57"/>
  <c r="AU14" i="57"/>
  <c r="AV14" i="57"/>
  <c r="AW14" i="57"/>
  <c r="AX14" i="57"/>
  <c r="L79" i="55"/>
  <c r="M79" i="55"/>
  <c r="N79" i="55"/>
  <c r="O79" i="55"/>
  <c r="K79" i="55"/>
  <c r="L71" i="55"/>
  <c r="M71" i="55"/>
  <c r="N71" i="55"/>
  <c r="O71" i="55"/>
  <c r="K71" i="55"/>
  <c r="L14" i="59"/>
  <c r="M14" i="59"/>
  <c r="N14" i="59"/>
  <c r="O14" i="59"/>
  <c r="L15" i="59"/>
  <c r="M15" i="59"/>
  <c r="N15" i="59"/>
  <c r="O15" i="59"/>
  <c r="L16" i="59"/>
  <c r="M16" i="59"/>
  <c r="N16" i="59"/>
  <c r="O16" i="59"/>
  <c r="K14" i="59"/>
  <c r="K15" i="59"/>
  <c r="K16" i="59"/>
  <c r="L4" i="59"/>
  <c r="M4" i="59"/>
  <c r="N4" i="59"/>
  <c r="O4" i="59"/>
  <c r="L5" i="59"/>
  <c r="M5" i="59"/>
  <c r="N5" i="59"/>
  <c r="O5" i="59"/>
  <c r="L6" i="59"/>
  <c r="M6" i="59"/>
  <c r="N6" i="59"/>
  <c r="O6" i="59"/>
  <c r="L7" i="59"/>
  <c r="M7" i="59"/>
  <c r="N7" i="59"/>
  <c r="O7" i="59"/>
  <c r="L8" i="59"/>
  <c r="M8" i="59"/>
  <c r="N8" i="59"/>
  <c r="O8" i="59"/>
  <c r="K5" i="59"/>
  <c r="K6" i="59"/>
  <c r="K7" i="59"/>
  <c r="K8" i="59"/>
  <c r="K4" i="59"/>
  <c r="C17" i="38"/>
  <c r="C47" i="38"/>
  <c r="C18" i="38"/>
  <c r="C48" i="38"/>
  <c r="C19" i="38"/>
  <c r="C49" i="38"/>
  <c r="C20" i="38"/>
  <c r="C50" i="38"/>
  <c r="C23" i="38"/>
  <c r="C53" i="38"/>
  <c r="C16" i="38"/>
  <c r="C46" i="38"/>
  <c r="O22" i="41"/>
  <c r="O23" i="41"/>
  <c r="O24" i="41"/>
  <c r="O25" i="41"/>
  <c r="O26" i="41"/>
  <c r="O21" i="41"/>
  <c r="O5" i="41"/>
  <c r="O4" i="41"/>
  <c r="M51" i="55"/>
  <c r="AH49" i="38"/>
  <c r="Z49" i="38"/>
  <c r="AW49" i="38"/>
  <c r="AG49" i="38"/>
  <c r="Q49" i="38"/>
  <c r="AM49" i="38"/>
  <c r="W49" i="38"/>
  <c r="AV49" i="38"/>
  <c r="P49" i="38"/>
  <c r="AL49" i="38"/>
  <c r="AR49" i="38"/>
  <c r="AQ49" i="38"/>
  <c r="AT49" i="38"/>
  <c r="AS49" i="38"/>
  <c r="AC49" i="38"/>
  <c r="M49" i="38"/>
  <c r="AI49" i="38"/>
  <c r="S49" i="38"/>
  <c r="AN49" i="38"/>
  <c r="AJ49" i="38"/>
  <c r="AD49" i="38"/>
  <c r="AB49" i="38"/>
  <c r="U49" i="38"/>
  <c r="K49" i="38"/>
  <c r="N49" i="38"/>
  <c r="AP49" i="38"/>
  <c r="AO49" i="38"/>
  <c r="Y49" i="38"/>
  <c r="AU49" i="38"/>
  <c r="AE49" i="38"/>
  <c r="O49" i="38"/>
  <c r="AF49" i="38"/>
  <c r="T49" i="38"/>
  <c r="V49" i="38"/>
  <c r="L49" i="38"/>
  <c r="R49" i="38"/>
  <c r="AK49" i="38"/>
  <c r="AA49" i="38"/>
  <c r="X49" i="38"/>
  <c r="AX49" i="38"/>
  <c r="AQ50" i="38"/>
  <c r="AC50" i="38"/>
  <c r="U50" i="38"/>
  <c r="Q50" i="38"/>
  <c r="AS50" i="38"/>
  <c r="AK50" i="38"/>
  <c r="M50" i="38"/>
  <c r="O50" i="38"/>
  <c r="AU50" i="38"/>
  <c r="Y50" i="38"/>
  <c r="AA50" i="38"/>
  <c r="N50" i="38"/>
  <c r="AD50" i="38"/>
  <c r="AT50" i="38"/>
  <c r="T50" i="38"/>
  <c r="AJ50" i="38"/>
  <c r="R50" i="38"/>
  <c r="AX50" i="38"/>
  <c r="AN50" i="38"/>
  <c r="V50" i="38"/>
  <c r="L50" i="38"/>
  <c r="AR50" i="38"/>
  <c r="AV50" i="38"/>
  <c r="Z50" i="38"/>
  <c r="P50" i="38"/>
  <c r="W50" i="38"/>
  <c r="AW50" i="38"/>
  <c r="AG50" i="38"/>
  <c r="AI50" i="38"/>
  <c r="AH50" i="38"/>
  <c r="X50" i="38"/>
  <c r="AL50" i="38"/>
  <c r="AB50" i="38"/>
  <c r="S50" i="38"/>
  <c r="AF50" i="38"/>
  <c r="AE50" i="38"/>
  <c r="AO50" i="38"/>
  <c r="K50" i="38"/>
  <c r="AM50" i="38"/>
  <c r="AP50" i="38"/>
  <c r="AC51" i="38"/>
  <c r="AJ51" i="38"/>
  <c r="Z51" i="38"/>
  <c r="AQ51" i="38"/>
  <c r="AF51" i="38"/>
  <c r="V51" i="38"/>
  <c r="AS51" i="38"/>
  <c r="AW51" i="38"/>
  <c r="AU51" i="38"/>
  <c r="P51" i="38"/>
  <c r="AD51" i="38"/>
  <c r="Q51" i="38"/>
  <c r="AK51" i="38"/>
  <c r="X51" i="38"/>
  <c r="S51" i="38"/>
  <c r="AH51" i="38"/>
  <c r="R51" i="38"/>
  <c r="AV51" i="38"/>
  <c r="U51" i="38"/>
  <c r="AP51" i="38"/>
  <c r="AR51" i="38"/>
  <c r="AB51" i="38"/>
  <c r="AL51" i="38"/>
  <c r="AE51" i="38"/>
  <c r="AM51" i="38"/>
  <c r="AO51" i="38"/>
  <c r="Y51" i="38"/>
  <c r="AX51" i="38"/>
  <c r="AA51" i="38"/>
  <c r="W51" i="38"/>
  <c r="T51" i="38"/>
  <c r="AI51" i="38"/>
  <c r="AG51" i="38"/>
  <c r="AN51" i="38"/>
  <c r="AT51" i="38"/>
  <c r="K9" i="59"/>
  <c r="L9" i="59"/>
  <c r="M9" i="59"/>
  <c r="N9" i="59"/>
  <c r="O9" i="59"/>
  <c r="K22" i="59"/>
  <c r="L22" i="59"/>
  <c r="M22" i="59"/>
  <c r="N22" i="59"/>
  <c r="K23" i="59"/>
  <c r="L23" i="59"/>
  <c r="M23" i="59"/>
  <c r="N23" i="59"/>
  <c r="K24" i="59"/>
  <c r="L24" i="59"/>
  <c r="M24" i="59"/>
  <c r="N24" i="59"/>
  <c r="O22" i="59"/>
  <c r="O23" i="59"/>
  <c r="O24" i="59"/>
  <c r="O17" i="59"/>
  <c r="N17" i="59"/>
  <c r="M17" i="59"/>
  <c r="L17" i="59"/>
  <c r="K17" i="59"/>
  <c r="P38" i="60"/>
  <c r="P39" i="60"/>
  <c r="K37" i="38"/>
  <c r="O53" i="38"/>
  <c r="L53" i="38"/>
  <c r="M53" i="38"/>
  <c r="N53" i="38"/>
  <c r="K53" i="38"/>
  <c r="N91" i="55"/>
  <c r="N82" i="55"/>
  <c r="V99" i="55"/>
  <c r="W99" i="55"/>
  <c r="X99" i="55"/>
  <c r="X4" i="57"/>
  <c r="Y99" i="55"/>
  <c r="Y4" i="57"/>
  <c r="Z99" i="55"/>
  <c r="AA99" i="55"/>
  <c r="AA4" i="57"/>
  <c r="AB99" i="55"/>
  <c r="AB4" i="57"/>
  <c r="AC99" i="55"/>
  <c r="AC4" i="57"/>
  <c r="AD99" i="55"/>
  <c r="AE99" i="55"/>
  <c r="AF99" i="55"/>
  <c r="AG99" i="55"/>
  <c r="AG4" i="57"/>
  <c r="AH99" i="55"/>
  <c r="AI99" i="55"/>
  <c r="AJ99" i="55"/>
  <c r="AJ4" i="57"/>
  <c r="AK99" i="55"/>
  <c r="AK4" i="57"/>
  <c r="AL99" i="55"/>
  <c r="AM99" i="55"/>
  <c r="AM4" i="57"/>
  <c r="AN99" i="55"/>
  <c r="AN4" i="57"/>
  <c r="AO99" i="55"/>
  <c r="AO4" i="57"/>
  <c r="AP99" i="55"/>
  <c r="AQ99" i="55"/>
  <c r="AR99" i="55"/>
  <c r="AR4" i="57"/>
  <c r="AS99" i="55"/>
  <c r="AS4" i="57"/>
  <c r="AT99" i="55"/>
  <c r="AT4" i="57"/>
  <c r="AU99" i="55"/>
  <c r="AU4" i="57"/>
  <c r="AV99" i="55"/>
  <c r="AV4" i="57"/>
  <c r="AW99" i="55"/>
  <c r="AW4" i="57"/>
  <c r="AX99" i="55"/>
  <c r="U99" i="55"/>
  <c r="V4" i="57"/>
  <c r="AD4" i="57"/>
  <c r="AL4" i="57"/>
  <c r="V3" i="57"/>
  <c r="W3" i="57"/>
  <c r="X3" i="57"/>
  <c r="Y3" i="57"/>
  <c r="Z3" i="57"/>
  <c r="AA3" i="57"/>
  <c r="AB3" i="57"/>
  <c r="AC3" i="57"/>
  <c r="AD3" i="57"/>
  <c r="AE3" i="57"/>
  <c r="AF3" i="57"/>
  <c r="AG3" i="57"/>
  <c r="AH3" i="57"/>
  <c r="AI3" i="57"/>
  <c r="AJ3" i="57"/>
  <c r="AK3" i="57"/>
  <c r="AL3" i="57"/>
  <c r="AM3" i="57"/>
  <c r="AN3" i="57"/>
  <c r="AO3" i="57"/>
  <c r="AP3" i="57"/>
  <c r="AQ3" i="57"/>
  <c r="AR3" i="57"/>
  <c r="AS3" i="57"/>
  <c r="AT3" i="57"/>
  <c r="AU3" i="57"/>
  <c r="AV3" i="57"/>
  <c r="AW3" i="57"/>
  <c r="AX3" i="57"/>
  <c r="W4" i="57"/>
  <c r="Z4" i="57"/>
  <c r="AE4" i="57"/>
  <c r="AF4" i="57"/>
  <c r="AH4" i="57"/>
  <c r="AI4" i="57"/>
  <c r="AP4" i="57"/>
  <c r="AQ4" i="57"/>
  <c r="AX4" i="57"/>
  <c r="V76" i="57"/>
  <c r="W76" i="57"/>
  <c r="X76" i="57"/>
  <c r="Y76" i="57"/>
  <c r="Z76" i="57"/>
  <c r="AA76" i="57"/>
  <c r="AB76" i="57"/>
  <c r="AC76" i="57"/>
  <c r="AD76" i="57"/>
  <c r="AE76" i="57"/>
  <c r="AF76" i="57"/>
  <c r="AG76" i="57"/>
  <c r="AH76" i="57"/>
  <c r="AI76" i="57"/>
  <c r="AJ76" i="57"/>
  <c r="AK76" i="57"/>
  <c r="AL76" i="57"/>
  <c r="AM76" i="57"/>
  <c r="AN76" i="57"/>
  <c r="AO76" i="57"/>
  <c r="AP76" i="57"/>
  <c r="AQ76" i="57"/>
  <c r="AR76" i="57"/>
  <c r="AS76" i="57"/>
  <c r="AT76" i="57"/>
  <c r="AU76" i="57"/>
  <c r="AV76" i="57"/>
  <c r="AW76" i="57"/>
  <c r="AX76" i="57"/>
  <c r="V78" i="57"/>
  <c r="W78" i="57"/>
  <c r="X78" i="57"/>
  <c r="Y78" i="57"/>
  <c r="Z78" i="57"/>
  <c r="AA78" i="57"/>
  <c r="AB78" i="57"/>
  <c r="AC78" i="57"/>
  <c r="AD78" i="57"/>
  <c r="AE78" i="57"/>
  <c r="AF78" i="57"/>
  <c r="AG78" i="57"/>
  <c r="AH78" i="57"/>
  <c r="AI78" i="57"/>
  <c r="AJ78" i="57"/>
  <c r="AK78" i="57"/>
  <c r="AL78" i="57"/>
  <c r="AM78" i="57"/>
  <c r="AN78" i="57"/>
  <c r="AO78" i="57"/>
  <c r="AP78" i="57"/>
  <c r="AQ78" i="57"/>
  <c r="AR78" i="57"/>
  <c r="AS78" i="57"/>
  <c r="AT78" i="57"/>
  <c r="AU78" i="57"/>
  <c r="AV78" i="57"/>
  <c r="AW78" i="57"/>
  <c r="AX78" i="57"/>
  <c r="T62" i="57"/>
  <c r="U62" i="57"/>
  <c r="V62" i="57"/>
  <c r="V79" i="57"/>
  <c r="W62" i="57"/>
  <c r="W79" i="57"/>
  <c r="X62" i="57"/>
  <c r="X79" i="57"/>
  <c r="Y62" i="57"/>
  <c r="Y79" i="57"/>
  <c r="Z62" i="57"/>
  <c r="Z79" i="57"/>
  <c r="AA62" i="57"/>
  <c r="AA79" i="57"/>
  <c r="AB62" i="57"/>
  <c r="AB79" i="57"/>
  <c r="AC62" i="57"/>
  <c r="AC79" i="57"/>
  <c r="AD62" i="57"/>
  <c r="AD79" i="57"/>
  <c r="O33" i="57"/>
  <c r="P33" i="57"/>
  <c r="Q33" i="57"/>
  <c r="R33" i="57"/>
  <c r="S33" i="57"/>
  <c r="T33" i="57"/>
  <c r="U33" i="57"/>
  <c r="V33" i="57"/>
  <c r="W33" i="57"/>
  <c r="X33" i="57"/>
  <c r="Y33" i="57"/>
  <c r="Z33" i="57"/>
  <c r="AA33" i="57"/>
  <c r="AB33" i="57"/>
  <c r="AC33" i="57"/>
  <c r="AD33" i="57"/>
  <c r="AE33" i="57"/>
  <c r="AF33" i="57"/>
  <c r="AG33" i="57"/>
  <c r="AH33" i="57"/>
  <c r="AI33" i="57"/>
  <c r="AJ33" i="57"/>
  <c r="AK33" i="57"/>
  <c r="AL33" i="57"/>
  <c r="AM33" i="57"/>
  <c r="AN33" i="57"/>
  <c r="AO33" i="57"/>
  <c r="AP33" i="57"/>
  <c r="AQ33" i="57"/>
  <c r="AR33" i="57"/>
  <c r="AS33" i="57"/>
  <c r="AT33" i="57"/>
  <c r="AU33" i="57"/>
  <c r="AV33" i="57"/>
  <c r="AW33" i="57"/>
  <c r="AX33" i="57"/>
  <c r="N33" i="57"/>
  <c r="V31" i="57"/>
  <c r="W31" i="57"/>
  <c r="X31" i="57"/>
  <c r="Y31" i="57"/>
  <c r="Z31" i="57"/>
  <c r="AA31" i="57"/>
  <c r="AB31" i="57"/>
  <c r="AC31" i="57"/>
  <c r="AD31" i="57"/>
  <c r="AE31" i="57"/>
  <c r="AF31" i="57"/>
  <c r="AG31" i="57"/>
  <c r="AH31" i="57"/>
  <c r="AI31" i="57"/>
  <c r="AJ31" i="57"/>
  <c r="AK31" i="57"/>
  <c r="AL31" i="57"/>
  <c r="AM31" i="57"/>
  <c r="AN31" i="57"/>
  <c r="AO31" i="57"/>
  <c r="AP31" i="57"/>
  <c r="AQ31" i="57"/>
  <c r="AR31" i="57"/>
  <c r="AS31" i="57"/>
  <c r="AT31" i="57"/>
  <c r="AU31" i="57"/>
  <c r="AV31" i="57"/>
  <c r="AW31" i="57"/>
  <c r="AX31" i="57"/>
  <c r="V32" i="57"/>
  <c r="W32" i="57"/>
  <c r="X32" i="57"/>
  <c r="Y32" i="57"/>
  <c r="Z32" i="57"/>
  <c r="AA32" i="57"/>
  <c r="AB32" i="57"/>
  <c r="AC32" i="57"/>
  <c r="AD32" i="57"/>
  <c r="AE32" i="57"/>
  <c r="AF32" i="57"/>
  <c r="AG32" i="57"/>
  <c r="AH32" i="57"/>
  <c r="AI32" i="57"/>
  <c r="AJ32" i="57"/>
  <c r="AK32" i="57"/>
  <c r="AL32" i="57"/>
  <c r="AM32" i="57"/>
  <c r="AN32" i="57"/>
  <c r="AO32" i="57"/>
  <c r="AP32" i="57"/>
  <c r="AQ32" i="57"/>
  <c r="AR32" i="57"/>
  <c r="AS32" i="57"/>
  <c r="AT32" i="57"/>
  <c r="AU32" i="57"/>
  <c r="AV32" i="57"/>
  <c r="AW32" i="57"/>
  <c r="AX32" i="57"/>
  <c r="V34" i="57"/>
  <c r="W34" i="57"/>
  <c r="X34" i="57"/>
  <c r="Y34" i="57"/>
  <c r="Z34" i="57"/>
  <c r="AA34" i="57"/>
  <c r="AB34" i="57"/>
  <c r="AC34" i="57"/>
  <c r="AD34" i="57"/>
  <c r="AE34" i="57"/>
  <c r="AF34" i="57"/>
  <c r="AG34" i="57"/>
  <c r="AH34" i="57"/>
  <c r="AI34" i="57"/>
  <c r="AJ34" i="57"/>
  <c r="AK34" i="57"/>
  <c r="AL34" i="57"/>
  <c r="AM34" i="57"/>
  <c r="AN34" i="57"/>
  <c r="AO34" i="57"/>
  <c r="AP34" i="57"/>
  <c r="AQ34" i="57"/>
  <c r="AR34" i="57"/>
  <c r="AS34" i="57"/>
  <c r="AT34" i="57"/>
  <c r="AU34" i="57"/>
  <c r="AV34" i="57"/>
  <c r="AW34" i="57"/>
  <c r="AX34" i="57"/>
  <c r="AT35" i="57"/>
  <c r="AL35" i="57"/>
  <c r="AD35" i="57"/>
  <c r="V35" i="57"/>
  <c r="AU35" i="57"/>
  <c r="AM35" i="57"/>
  <c r="AE35" i="57"/>
  <c r="W35" i="57"/>
  <c r="AS35" i="57"/>
  <c r="AK35" i="57"/>
  <c r="AC35" i="57"/>
  <c r="AR35" i="57"/>
  <c r="AJ35" i="57"/>
  <c r="AB35" i="57"/>
  <c r="AQ35" i="57"/>
  <c r="AI35" i="57"/>
  <c r="AA35" i="57"/>
  <c r="AX35" i="57"/>
  <c r="AP35" i="57"/>
  <c r="AH35" i="57"/>
  <c r="Z35" i="57"/>
  <c r="AW35" i="57"/>
  <c r="AO35" i="57"/>
  <c r="AG35" i="57"/>
  <c r="Y35" i="57"/>
  <c r="AV35" i="57"/>
  <c r="AN35" i="57"/>
  <c r="AF35" i="57"/>
  <c r="X35" i="57"/>
  <c r="AE62" i="57"/>
  <c r="AE79" i="57"/>
  <c r="AF62" i="57"/>
  <c r="AF79" i="57"/>
  <c r="AN8" i="41"/>
  <c r="AO8" i="41"/>
  <c r="AP8" i="41"/>
  <c r="AQ8" i="41"/>
  <c r="AQ75" i="41"/>
  <c r="AQ88" i="41"/>
  <c r="AR8" i="41"/>
  <c r="AR75" i="41"/>
  <c r="AR88" i="41"/>
  <c r="AS8" i="41"/>
  <c r="AS29" i="60" s="1"/>
  <c r="AT8" i="41"/>
  <c r="AT75" i="41"/>
  <c r="AT88" i="41" s="1"/>
  <c r="AU8" i="41"/>
  <c r="AU75" i="41" s="1"/>
  <c r="AU88" i="41"/>
  <c r="AV8" i="41"/>
  <c r="AV75" i="41"/>
  <c r="AV88" i="41"/>
  <c r="AW8" i="41"/>
  <c r="AX8" i="41"/>
  <c r="AX75" i="41"/>
  <c r="AX88" i="41" s="1"/>
  <c r="AN10" i="41"/>
  <c r="AN21" i="60"/>
  <c r="AO10" i="41"/>
  <c r="AO21" i="60"/>
  <c r="AP10" i="41"/>
  <c r="AP21" i="60"/>
  <c r="AQ10" i="41"/>
  <c r="AQ21" i="60"/>
  <c r="AR10" i="41"/>
  <c r="AR21" i="60"/>
  <c r="AS10" i="41"/>
  <c r="AS21" i="60"/>
  <c r="AT10" i="41"/>
  <c r="AT21" i="60"/>
  <c r="AU10" i="41"/>
  <c r="AU21" i="60"/>
  <c r="AV10" i="41"/>
  <c r="AV21" i="60"/>
  <c r="AW10" i="41"/>
  <c r="AW21" i="60"/>
  <c r="AX10" i="41"/>
  <c r="AX21" i="60"/>
  <c r="AN11" i="41"/>
  <c r="AN22" i="60"/>
  <c r="AO11" i="41"/>
  <c r="AO22" i="60"/>
  <c r="AP11" i="41"/>
  <c r="AP22" i="60"/>
  <c r="AQ11" i="41"/>
  <c r="AQ22" i="60"/>
  <c r="AR11" i="41"/>
  <c r="AR22" i="60"/>
  <c r="AS11" i="41"/>
  <c r="AS22" i="60"/>
  <c r="AT11" i="41"/>
  <c r="AT22" i="60"/>
  <c r="AU11" i="41"/>
  <c r="AU22" i="60"/>
  <c r="AV11" i="41"/>
  <c r="AV22" i="60"/>
  <c r="AW11" i="41"/>
  <c r="AW22" i="60"/>
  <c r="AX11" i="41"/>
  <c r="AX22" i="60"/>
  <c r="AN12" i="41"/>
  <c r="AN23" i="60"/>
  <c r="AO12" i="41"/>
  <c r="AO23" i="60"/>
  <c r="AP12" i="41"/>
  <c r="AP23" i="60"/>
  <c r="AQ12" i="41"/>
  <c r="AQ23" i="60"/>
  <c r="AR12" i="41"/>
  <c r="AR23" i="60"/>
  <c r="AS12" i="41"/>
  <c r="AS23" i="60"/>
  <c r="AT12" i="41"/>
  <c r="AT23" i="60"/>
  <c r="AU12" i="41"/>
  <c r="AU23" i="60"/>
  <c r="AV12" i="41"/>
  <c r="AV23" i="60"/>
  <c r="AW12" i="41"/>
  <c r="AW23" i="60"/>
  <c r="AX12" i="41"/>
  <c r="AX23" i="60"/>
  <c r="AN13" i="41"/>
  <c r="AN24" i="60"/>
  <c r="AO13" i="41"/>
  <c r="AO24" i="60"/>
  <c r="AP13" i="41"/>
  <c r="AP24" i="60"/>
  <c r="AQ13" i="41"/>
  <c r="AQ24" i="60"/>
  <c r="AR13" i="41"/>
  <c r="AR24" i="60"/>
  <c r="AS13" i="41"/>
  <c r="AS24" i="60"/>
  <c r="AT13" i="41"/>
  <c r="AT24" i="60"/>
  <c r="AU13" i="41"/>
  <c r="AU24" i="60"/>
  <c r="AV13" i="41"/>
  <c r="AV24" i="60"/>
  <c r="AW13" i="41"/>
  <c r="AW24" i="60"/>
  <c r="AX13" i="41"/>
  <c r="AX24" i="60"/>
  <c r="AN14" i="41"/>
  <c r="AN25" i="60"/>
  <c r="AO14" i="41"/>
  <c r="AO25" i="60"/>
  <c r="AP14" i="41"/>
  <c r="AP25" i="60"/>
  <c r="AQ14" i="41"/>
  <c r="AQ25" i="60"/>
  <c r="AR14" i="41"/>
  <c r="AR25" i="60"/>
  <c r="AS14" i="41"/>
  <c r="AS25" i="60"/>
  <c r="AT14" i="41"/>
  <c r="AT25" i="60"/>
  <c r="AU14" i="41"/>
  <c r="AU25" i="60"/>
  <c r="AV14" i="41"/>
  <c r="AV25" i="60"/>
  <c r="AW14" i="41"/>
  <c r="AW25" i="60"/>
  <c r="AX14" i="41"/>
  <c r="AX25" i="60"/>
  <c r="AN15" i="41"/>
  <c r="AN26" i="60"/>
  <c r="AO15" i="41"/>
  <c r="AO26" i="60"/>
  <c r="AP15" i="41"/>
  <c r="AP26" i="60"/>
  <c r="AQ15" i="41"/>
  <c r="AQ26" i="60"/>
  <c r="AR15" i="41"/>
  <c r="AR26" i="60"/>
  <c r="AS15" i="41"/>
  <c r="AS26" i="60"/>
  <c r="AT15" i="41"/>
  <c r="AT26" i="60"/>
  <c r="AU15" i="41"/>
  <c r="AU26" i="60"/>
  <c r="AV15" i="41"/>
  <c r="AV26" i="60"/>
  <c r="AW15" i="41"/>
  <c r="AW26" i="60"/>
  <c r="AX15" i="41"/>
  <c r="AX26" i="60"/>
  <c r="AN16" i="41"/>
  <c r="AN27" i="60"/>
  <c r="AO16" i="41"/>
  <c r="AO27" i="60"/>
  <c r="AP16" i="41"/>
  <c r="AP27" i="60"/>
  <c r="AQ16" i="41"/>
  <c r="AQ27" i="60"/>
  <c r="AR16" i="41"/>
  <c r="AR27" i="60"/>
  <c r="AS16" i="41"/>
  <c r="AS27" i="60"/>
  <c r="AT16" i="41"/>
  <c r="AT27" i="60"/>
  <c r="AU16" i="41"/>
  <c r="AU27" i="60"/>
  <c r="AV16" i="41"/>
  <c r="AV27" i="60"/>
  <c r="AW16" i="41"/>
  <c r="AW27" i="60"/>
  <c r="AX16" i="41"/>
  <c r="AX27" i="60"/>
  <c r="AN30" i="41"/>
  <c r="AP30" i="41"/>
  <c r="Q26" i="41"/>
  <c r="Q39" i="60" s="1"/>
  <c r="P15" i="41"/>
  <c r="P26" i="60"/>
  <c r="Q14" i="41"/>
  <c r="Q25" i="60"/>
  <c r="R14" i="41"/>
  <c r="R25" i="60"/>
  <c r="S14" i="41"/>
  <c r="S25" i="60"/>
  <c r="T14" i="41"/>
  <c r="T25" i="60"/>
  <c r="U14" i="41"/>
  <c r="U25" i="60"/>
  <c r="V14" i="41"/>
  <c r="V25" i="60"/>
  <c r="W14" i="41"/>
  <c r="W25" i="60"/>
  <c r="X14" i="41"/>
  <c r="X25" i="60"/>
  <c r="Y14" i="41"/>
  <c r="Y25" i="60"/>
  <c r="Z14" i="41"/>
  <c r="Z25" i="60"/>
  <c r="AA14" i="41"/>
  <c r="AA25" i="60"/>
  <c r="AB14" i="41"/>
  <c r="AB25" i="60"/>
  <c r="AC14" i="41"/>
  <c r="AC25" i="60"/>
  <c r="AD14" i="41"/>
  <c r="AD25" i="60"/>
  <c r="AE14" i="41"/>
  <c r="AE25" i="60"/>
  <c r="AF14" i="41"/>
  <c r="AF25" i="60"/>
  <c r="AG14" i="41"/>
  <c r="AG25" i="60"/>
  <c r="AH14" i="41"/>
  <c r="AH25" i="60"/>
  <c r="AI14" i="41"/>
  <c r="AI25" i="60"/>
  <c r="AJ14" i="41"/>
  <c r="AJ25" i="60"/>
  <c r="AK14" i="41"/>
  <c r="AK25" i="60"/>
  <c r="AL14" i="41"/>
  <c r="AL25" i="60"/>
  <c r="AM14" i="41"/>
  <c r="AM25" i="60"/>
  <c r="Q15" i="41"/>
  <c r="Q26" i="60"/>
  <c r="R15" i="41"/>
  <c r="R26" i="60"/>
  <c r="S15" i="41"/>
  <c r="S26" i="60"/>
  <c r="T15" i="41"/>
  <c r="T26" i="60"/>
  <c r="U15" i="41"/>
  <c r="U26" i="60"/>
  <c r="V15" i="41"/>
  <c r="V26" i="60"/>
  <c r="W15" i="41"/>
  <c r="W26" i="60"/>
  <c r="X15" i="41"/>
  <c r="X26" i="60"/>
  <c r="Y15" i="41"/>
  <c r="Y26" i="60"/>
  <c r="Z15" i="41"/>
  <c r="Z26" i="60"/>
  <c r="AA15" i="41"/>
  <c r="AA26" i="60"/>
  <c r="AB15" i="41"/>
  <c r="AB26" i="60"/>
  <c r="AC15" i="41"/>
  <c r="AC26" i="60"/>
  <c r="AD15" i="41"/>
  <c r="AD26" i="60"/>
  <c r="AE15" i="41"/>
  <c r="AE26" i="60"/>
  <c r="AF15" i="41"/>
  <c r="AF26" i="60"/>
  <c r="AG15" i="41"/>
  <c r="AG26" i="60"/>
  <c r="AH15" i="41"/>
  <c r="AH26" i="60"/>
  <c r="AI15" i="41"/>
  <c r="AI26" i="60"/>
  <c r="AJ15" i="41"/>
  <c r="AJ26" i="60"/>
  <c r="AK15" i="41"/>
  <c r="AK26" i="60"/>
  <c r="AL15" i="41"/>
  <c r="AL26" i="60"/>
  <c r="AM15" i="41"/>
  <c r="AM26" i="60"/>
  <c r="Q16" i="41"/>
  <c r="Q27" i="60"/>
  <c r="R16" i="41"/>
  <c r="R27" i="60"/>
  <c r="S16" i="41"/>
  <c r="S27" i="60"/>
  <c r="T16" i="41"/>
  <c r="T27" i="60"/>
  <c r="U16" i="41"/>
  <c r="U27" i="60"/>
  <c r="V16" i="41"/>
  <c r="V27" i="60"/>
  <c r="W16" i="41"/>
  <c r="W27" i="60"/>
  <c r="X16" i="41"/>
  <c r="X27" i="60"/>
  <c r="Y16" i="41"/>
  <c r="Y27" i="60"/>
  <c r="Z16" i="41"/>
  <c r="Z27" i="60"/>
  <c r="AA16" i="41"/>
  <c r="AA27" i="60"/>
  <c r="AB16" i="41"/>
  <c r="AB27" i="60"/>
  <c r="AC16" i="41"/>
  <c r="AC27" i="60"/>
  <c r="AD16" i="41"/>
  <c r="AD27" i="60"/>
  <c r="AE16" i="41"/>
  <c r="AE27" i="60"/>
  <c r="AF16" i="41"/>
  <c r="AF27" i="60"/>
  <c r="AG16" i="41"/>
  <c r="AG27" i="60"/>
  <c r="AH16" i="41"/>
  <c r="AH27" i="60"/>
  <c r="AI16" i="41"/>
  <c r="AI27" i="60"/>
  <c r="AJ16" i="41"/>
  <c r="AJ27" i="60"/>
  <c r="AK16" i="41"/>
  <c r="AK27" i="60"/>
  <c r="AL16" i="41"/>
  <c r="AL27" i="60"/>
  <c r="AM16" i="41"/>
  <c r="AM27" i="60"/>
  <c r="P14" i="41"/>
  <c r="P25" i="60"/>
  <c r="P16" i="41"/>
  <c r="P27" i="60"/>
  <c r="P13" i="41"/>
  <c r="P24" i="60"/>
  <c r="Q25" i="41"/>
  <c r="Q38" i="60" s="1"/>
  <c r="AP29" i="60"/>
  <c r="AP75" i="41"/>
  <c r="AP88" i="41" s="1"/>
  <c r="AN29" i="60"/>
  <c r="AN75" i="41"/>
  <c r="AN88" i="41" s="1"/>
  <c r="AX30" i="41"/>
  <c r="AX6" i="56" s="1"/>
  <c r="AX15" i="56" s="1"/>
  <c r="AX28" i="56" s="1"/>
  <c r="AX29" i="60"/>
  <c r="AT30" i="41"/>
  <c r="AT6" i="56"/>
  <c r="AT15" i="56" s="1"/>
  <c r="AT28" i="56" s="1"/>
  <c r="AT29" i="60"/>
  <c r="AV30" i="41"/>
  <c r="AV6" i="56" s="1"/>
  <c r="AV15" i="56" s="1"/>
  <c r="AV28" i="56" s="1"/>
  <c r="AV29" i="60"/>
  <c r="AR30" i="41"/>
  <c r="AR6" i="56"/>
  <c r="AR15" i="56" s="1"/>
  <c r="AR28" i="56" s="1"/>
  <c r="AR29" i="60"/>
  <c r="AU30" i="41"/>
  <c r="AU29" i="60"/>
  <c r="AQ30" i="41"/>
  <c r="AQ6" i="56"/>
  <c r="AQ15" i="56" s="1"/>
  <c r="AQ28" i="56" s="1"/>
  <c r="AQ29" i="60"/>
  <c r="AG62" i="57"/>
  <c r="AG79" i="57"/>
  <c r="Q20" i="41"/>
  <c r="R20" i="41" s="1"/>
  <c r="AH62" i="57"/>
  <c r="AH79" i="57"/>
  <c r="L19" i="38"/>
  <c r="M19" i="38"/>
  <c r="N19" i="38"/>
  <c r="O19" i="38"/>
  <c r="L20" i="38"/>
  <c r="M20" i="38"/>
  <c r="N20" i="38"/>
  <c r="O20" i="38"/>
  <c r="AI62" i="57"/>
  <c r="AI79" i="57"/>
  <c r="AJ62" i="57"/>
  <c r="AJ79" i="57"/>
  <c r="AK62" i="57"/>
  <c r="AK79" i="57"/>
  <c r="Y26" i="55"/>
  <c r="V26" i="55"/>
  <c r="AD26" i="55"/>
  <c r="AL26" i="55"/>
  <c r="AT26" i="55"/>
  <c r="AT17" i="41"/>
  <c r="T26" i="55"/>
  <c r="AJ26" i="55"/>
  <c r="AR26" i="55"/>
  <c r="AR17" i="41"/>
  <c r="R26" i="55"/>
  <c r="Z26" i="55"/>
  <c r="AH26" i="55"/>
  <c r="AP26" i="55"/>
  <c r="AP17" i="41"/>
  <c r="AX26" i="55"/>
  <c r="AX17" i="41"/>
  <c r="Q26" i="55"/>
  <c r="S26" i="55"/>
  <c r="U26" i="55"/>
  <c r="W26" i="55"/>
  <c r="X26" i="55"/>
  <c r="AA26" i="55"/>
  <c r="AC26" i="55"/>
  <c r="AE26" i="55"/>
  <c r="AF26" i="55"/>
  <c r="AG26" i="55"/>
  <c r="AI26" i="55"/>
  <c r="AK26" i="55"/>
  <c r="AM26" i="55"/>
  <c r="AN26" i="55"/>
  <c r="AN17" i="41"/>
  <c r="AO26" i="55"/>
  <c r="AO17" i="41"/>
  <c r="AQ26" i="55"/>
  <c r="AQ17" i="41"/>
  <c r="AS26" i="55"/>
  <c r="AS17" i="41"/>
  <c r="AU26" i="55"/>
  <c r="AU17" i="41"/>
  <c r="AV26" i="55"/>
  <c r="AV17" i="41"/>
  <c r="AW26" i="55"/>
  <c r="AW17" i="41"/>
  <c r="P26" i="55"/>
  <c r="P17" i="41"/>
  <c r="AL62" i="57"/>
  <c r="AL79" i="57"/>
  <c r="AB26" i="55"/>
  <c r="AM62" i="57"/>
  <c r="AM79" i="57"/>
  <c r="AN62" i="57"/>
  <c r="AN79" i="57"/>
  <c r="E1" i="55"/>
  <c r="E1" i="59"/>
  <c r="D1" i="59"/>
  <c r="AO62" i="57"/>
  <c r="AO79" i="57"/>
  <c r="O62" i="57"/>
  <c r="P62" i="57"/>
  <c r="Q62" i="57"/>
  <c r="R62" i="57"/>
  <c r="S62" i="57"/>
  <c r="N62" i="57"/>
  <c r="O34" i="57"/>
  <c r="P34" i="57"/>
  <c r="Q34" i="57"/>
  <c r="R34" i="57"/>
  <c r="S34" i="57"/>
  <c r="T34" i="57"/>
  <c r="U34" i="57"/>
  <c r="N34" i="57"/>
  <c r="O32" i="57"/>
  <c r="P32" i="57"/>
  <c r="Q32" i="57"/>
  <c r="R32" i="57"/>
  <c r="S32" i="57"/>
  <c r="T32" i="57"/>
  <c r="U32" i="57"/>
  <c r="N32" i="57"/>
  <c r="O31" i="57"/>
  <c r="P31" i="57"/>
  <c r="P35" i="57"/>
  <c r="Q31" i="57"/>
  <c r="R31" i="57"/>
  <c r="S31" i="57"/>
  <c r="T31" i="57"/>
  <c r="U31" i="57"/>
  <c r="N31" i="57"/>
  <c r="N35" i="57"/>
  <c r="O35" i="57"/>
  <c r="AP62" i="57"/>
  <c r="AP79" i="57"/>
  <c r="P24" i="56"/>
  <c r="P22" i="56"/>
  <c r="AQ62" i="57"/>
  <c r="AQ79" i="57"/>
  <c r="P34" i="60"/>
  <c r="P35" i="60"/>
  <c r="P33" i="60"/>
  <c r="AR62" i="57"/>
  <c r="AR79" i="57"/>
  <c r="Q22" i="56"/>
  <c r="R22" i="56"/>
  <c r="V24" i="56"/>
  <c r="W24" i="56"/>
  <c r="X24" i="56"/>
  <c r="Y24" i="56"/>
  <c r="Z24" i="56"/>
  <c r="AA24" i="56"/>
  <c r="AB24" i="56"/>
  <c r="AC24" i="56"/>
  <c r="AD24" i="56"/>
  <c r="AE24" i="56"/>
  <c r="AF24" i="56"/>
  <c r="AG24" i="56"/>
  <c r="AH24" i="56"/>
  <c r="AI24" i="56"/>
  <c r="AJ24" i="56"/>
  <c r="AK24" i="56"/>
  <c r="AL24" i="56"/>
  <c r="AM24" i="56"/>
  <c r="AN24" i="56"/>
  <c r="AO24" i="56"/>
  <c r="AP24" i="56"/>
  <c r="AQ24" i="56"/>
  <c r="AR24" i="56"/>
  <c r="AS24" i="56"/>
  <c r="AT24" i="56"/>
  <c r="AU24" i="56"/>
  <c r="AV24" i="56"/>
  <c r="AW24" i="56"/>
  <c r="AX24" i="56"/>
  <c r="AS62" i="57"/>
  <c r="AS79" i="57"/>
  <c r="S22" i="56"/>
  <c r="AT62" i="57"/>
  <c r="AT79" i="57"/>
  <c r="T22" i="56"/>
  <c r="AU62" i="57"/>
  <c r="AU79" i="57"/>
  <c r="U22" i="56"/>
  <c r="V22" i="56"/>
  <c r="W22" i="56"/>
  <c r="X22" i="56"/>
  <c r="AV62" i="57"/>
  <c r="AV79" i="57"/>
  <c r="B19" i="59"/>
  <c r="O25" i="59"/>
  <c r="N25" i="59"/>
  <c r="M25" i="59"/>
  <c r="L25" i="59"/>
  <c r="K25" i="59"/>
  <c r="P99" i="55"/>
  <c r="Q99" i="55"/>
  <c r="R99" i="55"/>
  <c r="S99" i="55"/>
  <c r="T99" i="55"/>
  <c r="P3" i="57"/>
  <c r="Q3" i="57"/>
  <c r="R3" i="57"/>
  <c r="S3" i="57"/>
  <c r="T3" i="57"/>
  <c r="U3" i="57"/>
  <c r="Y22" i="56"/>
  <c r="K31" i="59"/>
  <c r="O31" i="59"/>
  <c r="L31" i="59"/>
  <c r="M31" i="59"/>
  <c r="N31" i="59"/>
  <c r="M32" i="59"/>
  <c r="K30" i="59"/>
  <c r="K11" i="38"/>
  <c r="N32" i="59"/>
  <c r="L32" i="59"/>
  <c r="M30" i="59"/>
  <c r="M11" i="38"/>
  <c r="N30" i="59"/>
  <c r="N11" i="38"/>
  <c r="L30" i="59"/>
  <c r="L11" i="38"/>
  <c r="K32" i="59"/>
  <c r="O32" i="59"/>
  <c r="O30" i="59"/>
  <c r="O11" i="38"/>
  <c r="AW62" i="57"/>
  <c r="AW79" i="57"/>
  <c r="N6" i="57"/>
  <c r="Z22" i="56"/>
  <c r="M18" i="38"/>
  <c r="K18" i="38"/>
  <c r="K26" i="38"/>
  <c r="K41" i="38"/>
  <c r="K48" i="38"/>
  <c r="O18" i="38"/>
  <c r="L18" i="38"/>
  <c r="N18" i="38"/>
  <c r="P6" i="57"/>
  <c r="O10" i="56"/>
  <c r="AX62" i="57"/>
  <c r="M33" i="59"/>
  <c r="O33" i="59"/>
  <c r="K20" i="38"/>
  <c r="K33" i="59"/>
  <c r="N33" i="59"/>
  <c r="L33" i="59"/>
  <c r="O6" i="57"/>
  <c r="AA22" i="56"/>
  <c r="O21" i="38"/>
  <c r="N21" i="38"/>
  <c r="P19" i="57"/>
  <c r="P28" i="57"/>
  <c r="O51" i="38"/>
  <c r="L21" i="38"/>
  <c r="M54" i="38"/>
  <c r="L54" i="38"/>
  <c r="O54" i="38"/>
  <c r="K54" i="38"/>
  <c r="N54" i="38"/>
  <c r="K51" i="38"/>
  <c r="K44" i="38"/>
  <c r="M44" i="38"/>
  <c r="L51" i="38"/>
  <c r="O56" i="38"/>
  <c r="K56" i="38"/>
  <c r="N56" i="38"/>
  <c r="M56" i="38"/>
  <c r="L56" i="38"/>
  <c r="N44" i="38"/>
  <c r="N28" i="57"/>
  <c r="N55" i="57"/>
  <c r="N56" i="57"/>
  <c r="L55" i="38"/>
  <c r="O55" i="38"/>
  <c r="K55" i="38"/>
  <c r="N55" i="38"/>
  <c r="M55" i="38"/>
  <c r="M21" i="38"/>
  <c r="M51" i="38"/>
  <c r="L44" i="38"/>
  <c r="O44" i="38"/>
  <c r="O28" i="57"/>
  <c r="N51" i="38"/>
  <c r="P10" i="56"/>
  <c r="O38" i="57"/>
  <c r="N38" i="57"/>
  <c r="AX79" i="57"/>
  <c r="Q6" i="57"/>
  <c r="Q28" i="57"/>
  <c r="AB22" i="56"/>
  <c r="AL30" i="60"/>
  <c r="AV30" i="60"/>
  <c r="AE30" i="60"/>
  <c r="AP30" i="60"/>
  <c r="AM30" i="60"/>
  <c r="AC30" i="60"/>
  <c r="AT30" i="60"/>
  <c r="AH30" i="60"/>
  <c r="AI30" i="60"/>
  <c r="AD30" i="60"/>
  <c r="AJ30" i="60"/>
  <c r="AS30" i="60"/>
  <c r="AG30" i="60"/>
  <c r="AX30" i="60"/>
  <c r="AU30" i="60"/>
  <c r="AO30" i="60"/>
  <c r="AN30" i="60"/>
  <c r="AK30" i="60"/>
  <c r="AR30" i="60"/>
  <c r="AQ30" i="60"/>
  <c r="AF30" i="60"/>
  <c r="AW30" i="60"/>
  <c r="O59" i="38"/>
  <c r="N59" i="38"/>
  <c r="M59" i="38"/>
  <c r="L59" i="38"/>
  <c r="K59" i="38"/>
  <c r="K61" i="38"/>
  <c r="L35" i="38"/>
  <c r="L37" i="38"/>
  <c r="Q10" i="56"/>
  <c r="R10" i="56"/>
  <c r="K28" i="38"/>
  <c r="K19" i="38"/>
  <c r="K21" i="38"/>
  <c r="R6" i="57"/>
  <c r="R28" i="57"/>
  <c r="AC22" i="56"/>
  <c r="U7" i="56"/>
  <c r="U30" i="60"/>
  <c r="Z30" i="60"/>
  <c r="X30" i="60"/>
  <c r="AA30" i="60"/>
  <c r="Y30" i="60"/>
  <c r="V30" i="60"/>
  <c r="Q7" i="56"/>
  <c r="Q16" i="56"/>
  <c r="Q40" i="56"/>
  <c r="Q30" i="60"/>
  <c r="P7" i="56"/>
  <c r="P16" i="56"/>
  <c r="P40" i="56"/>
  <c r="P30" i="60"/>
  <c r="T7" i="56"/>
  <c r="T30" i="60"/>
  <c r="S7" i="56"/>
  <c r="S30" i="60"/>
  <c r="W30" i="60"/>
  <c r="R7" i="56"/>
  <c r="R16" i="56"/>
  <c r="R40" i="56"/>
  <c r="R30" i="60"/>
  <c r="AB30" i="60"/>
  <c r="L61" i="38"/>
  <c r="M35" i="38"/>
  <c r="M37" i="38"/>
  <c r="M61" i="38"/>
  <c r="N35" i="38"/>
  <c r="N37" i="38"/>
  <c r="N61" i="38"/>
  <c r="O35" i="38"/>
  <c r="O37" i="38"/>
  <c r="O61" i="38"/>
  <c r="P35" i="38"/>
  <c r="P37" i="38"/>
  <c r="P61" i="38"/>
  <c r="S10" i="56"/>
  <c r="M28" i="38"/>
  <c r="L28" i="38"/>
  <c r="N28" i="38"/>
  <c r="O28" i="38"/>
  <c r="M27" i="38"/>
  <c r="N27" i="38"/>
  <c r="O27" i="38"/>
  <c r="L27" i="38"/>
  <c r="K27" i="38"/>
  <c r="S6" i="57"/>
  <c r="S28" i="57"/>
  <c r="AD22" i="56"/>
  <c r="S16" i="56"/>
  <c r="S40" i="56"/>
  <c r="Q35" i="38"/>
  <c r="Q37" i="38"/>
  <c r="Q61" i="38"/>
  <c r="R35" i="38"/>
  <c r="R37" i="38"/>
  <c r="R61" i="38"/>
  <c r="P36" i="41"/>
  <c r="T10" i="56"/>
  <c r="T6" i="57"/>
  <c r="T28" i="57"/>
  <c r="AE22" i="56"/>
  <c r="T16" i="56"/>
  <c r="T40" i="56"/>
  <c r="Q36" i="41"/>
  <c r="S35" i="38"/>
  <c r="S37" i="38"/>
  <c r="S61" i="38"/>
  <c r="R36" i="41"/>
  <c r="U10" i="56"/>
  <c r="U6" i="57"/>
  <c r="U28" i="57"/>
  <c r="AF22" i="56"/>
  <c r="U16" i="56"/>
  <c r="U40" i="56"/>
  <c r="T35" i="38"/>
  <c r="T37" i="38"/>
  <c r="T61" i="38"/>
  <c r="S36" i="41"/>
  <c r="V6" i="57"/>
  <c r="V28" i="57"/>
  <c r="AG22" i="56"/>
  <c r="U35" i="38"/>
  <c r="U37" i="38"/>
  <c r="U61" i="38"/>
  <c r="T36" i="41"/>
  <c r="W6" i="57"/>
  <c r="W28" i="57"/>
  <c r="AH22" i="56"/>
  <c r="V35" i="38"/>
  <c r="V37" i="38"/>
  <c r="V61" i="38"/>
  <c r="U36" i="41"/>
  <c r="X6" i="57"/>
  <c r="X28" i="57"/>
  <c r="AI22" i="56"/>
  <c r="W35" i="38"/>
  <c r="W37" i="38"/>
  <c r="W61" i="38"/>
  <c r="V36" i="41"/>
  <c r="V41" i="60"/>
  <c r="Y6" i="57"/>
  <c r="Y28" i="57"/>
  <c r="AJ22" i="56"/>
  <c r="X35" i="38"/>
  <c r="X37" i="38"/>
  <c r="X61" i="38"/>
  <c r="W36" i="41"/>
  <c r="W41" i="60"/>
  <c r="Z6" i="57"/>
  <c r="Z28" i="57"/>
  <c r="AK22" i="56"/>
  <c r="Y35" i="38"/>
  <c r="Y37" i="38"/>
  <c r="Y61" i="38"/>
  <c r="X36" i="41"/>
  <c r="X41" i="60"/>
  <c r="AA6" i="57"/>
  <c r="AA28" i="57"/>
  <c r="AL22" i="56"/>
  <c r="Z35" i="38"/>
  <c r="Z37" i="38"/>
  <c r="Z61" i="38"/>
  <c r="Y36" i="41"/>
  <c r="Y41" i="60"/>
  <c r="AB6" i="57"/>
  <c r="AB28" i="57"/>
  <c r="AM22" i="56"/>
  <c r="AA35" i="38"/>
  <c r="AA37" i="38"/>
  <c r="AA61" i="38"/>
  <c r="Z36" i="41"/>
  <c r="Z41" i="60"/>
  <c r="AC6" i="57"/>
  <c r="AC28" i="57"/>
  <c r="AN22" i="56"/>
  <c r="AB35" i="38"/>
  <c r="AB37" i="38"/>
  <c r="AB61" i="38"/>
  <c r="AA36" i="41"/>
  <c r="AA41" i="60"/>
  <c r="AD6" i="57"/>
  <c r="AD28" i="57"/>
  <c r="AO22" i="56"/>
  <c r="AC35" i="38"/>
  <c r="AC37" i="38"/>
  <c r="AC61" i="38"/>
  <c r="AB36" i="41"/>
  <c r="AB41" i="60"/>
  <c r="AE6" i="57"/>
  <c r="AE28" i="57"/>
  <c r="AP22" i="56"/>
  <c r="AD35" i="38"/>
  <c r="AD37" i="38"/>
  <c r="AD61" i="38"/>
  <c r="AC36" i="41"/>
  <c r="AC41" i="60"/>
  <c r="AF6" i="57"/>
  <c r="AF28" i="57"/>
  <c r="AQ22" i="56"/>
  <c r="AE35" i="38"/>
  <c r="AE37" i="38"/>
  <c r="AE61" i="38"/>
  <c r="AD36" i="41"/>
  <c r="AD41" i="60"/>
  <c r="AG6" i="57"/>
  <c r="AG28" i="57"/>
  <c r="AR22" i="56"/>
  <c r="AF35" i="38"/>
  <c r="AF37" i="38"/>
  <c r="AF61" i="38"/>
  <c r="AE36" i="41"/>
  <c r="AE41" i="60"/>
  <c r="AH6" i="57"/>
  <c r="AH28" i="57"/>
  <c r="AS22" i="56"/>
  <c r="AG35" i="38"/>
  <c r="AG37" i="38"/>
  <c r="AG61" i="38"/>
  <c r="AF36" i="41"/>
  <c r="AF41" i="60"/>
  <c r="AI6" i="57"/>
  <c r="AI28" i="57"/>
  <c r="AT22" i="56"/>
  <c r="AH35" i="38"/>
  <c r="AH37" i="38"/>
  <c r="AH61" i="38"/>
  <c r="AG36" i="41"/>
  <c r="AG41" i="60"/>
  <c r="AJ6" i="57"/>
  <c r="AJ28" i="57"/>
  <c r="AU22" i="56"/>
  <c r="AI35" i="38"/>
  <c r="AI37" i="38"/>
  <c r="AI61" i="38"/>
  <c r="AH36" i="41"/>
  <c r="AH41" i="60"/>
  <c r="AK6" i="57"/>
  <c r="AK28" i="57"/>
  <c r="AV22" i="56"/>
  <c r="AJ35" i="38"/>
  <c r="AJ37" i="38"/>
  <c r="AJ61" i="38"/>
  <c r="AI36" i="41"/>
  <c r="AI41" i="60"/>
  <c r="AL6" i="57"/>
  <c r="AL28" i="57"/>
  <c r="AW22" i="56"/>
  <c r="AK35" i="38"/>
  <c r="AK37" i="38"/>
  <c r="AK61" i="38"/>
  <c r="AJ36" i="41"/>
  <c r="AJ41" i="60"/>
  <c r="AM6" i="57"/>
  <c r="AM28" i="57"/>
  <c r="AX22" i="56"/>
  <c r="AL35" i="38"/>
  <c r="AL37" i="38"/>
  <c r="AL61" i="38"/>
  <c r="AK36" i="41"/>
  <c r="AK41" i="60"/>
  <c r="AN6" i="57"/>
  <c r="AN28" i="57"/>
  <c r="AM35" i="38"/>
  <c r="AM37" i="38"/>
  <c r="AM61" i="38"/>
  <c r="AL36" i="41"/>
  <c r="AL41" i="60"/>
  <c r="AO6" i="57"/>
  <c r="AO28" i="57"/>
  <c r="AN35" i="38"/>
  <c r="AN37" i="38"/>
  <c r="AN61" i="38"/>
  <c r="AM36" i="41"/>
  <c r="AM41" i="60"/>
  <c r="AP6" i="57"/>
  <c r="AP28" i="57"/>
  <c r="AO35" i="38"/>
  <c r="AO37" i="38"/>
  <c r="AO61" i="38"/>
  <c r="AN36" i="41"/>
  <c r="AN41" i="60"/>
  <c r="AQ6" i="57"/>
  <c r="AQ9" i="57"/>
  <c r="AQ28" i="57"/>
  <c r="AP35" i="38"/>
  <c r="AP37" i="38"/>
  <c r="AP61" i="38"/>
  <c r="AO36" i="41"/>
  <c r="AO41" i="60"/>
  <c r="AR6" i="57"/>
  <c r="AR28" i="57"/>
  <c r="AQ35" i="38"/>
  <c r="AQ37" i="38"/>
  <c r="AQ61" i="38"/>
  <c r="AP36" i="41"/>
  <c r="AP41" i="60"/>
  <c r="AR9" i="57"/>
  <c r="AS6" i="57"/>
  <c r="AS28" i="57"/>
  <c r="AR35" i="38"/>
  <c r="AR37" i="38"/>
  <c r="AR61" i="38"/>
  <c r="AQ36" i="41"/>
  <c r="AQ41" i="60"/>
  <c r="AT6" i="57"/>
  <c r="AT28" i="57"/>
  <c r="AR44" i="57"/>
  <c r="AR61" i="57"/>
  <c r="AR63" i="57"/>
  <c r="AS35" i="38"/>
  <c r="AS37" i="38"/>
  <c r="AS61" i="38"/>
  <c r="AR36" i="41"/>
  <c r="AR41" i="60"/>
  <c r="AU6" i="57"/>
  <c r="AU28" i="57"/>
  <c r="AS61" i="57"/>
  <c r="AS63" i="57"/>
  <c r="AS44" i="57"/>
  <c r="AT9" i="57"/>
  <c r="AT35" i="38"/>
  <c r="AT37" i="38"/>
  <c r="AT61" i="38"/>
  <c r="AS36" i="41"/>
  <c r="AS41" i="60"/>
  <c r="AT61" i="57"/>
  <c r="AT63" i="57"/>
  <c r="AT44" i="57"/>
  <c r="AV6" i="57"/>
  <c r="AV28" i="57"/>
  <c r="AU35" i="38"/>
  <c r="AU37" i="38"/>
  <c r="AU61" i="38"/>
  <c r="AT36" i="41"/>
  <c r="AT41" i="60"/>
  <c r="AV9" i="57"/>
  <c r="AX6" i="57"/>
  <c r="AX28" i="57"/>
  <c r="AW6" i="57"/>
  <c r="AW28" i="57"/>
  <c r="AU44" i="57"/>
  <c r="AU61" i="57"/>
  <c r="AU63" i="57"/>
  <c r="AV35" i="38"/>
  <c r="AV37" i="38"/>
  <c r="AV61" i="38"/>
  <c r="AU36" i="41"/>
  <c r="AU41" i="60"/>
  <c r="AV61" i="57"/>
  <c r="AV63" i="57"/>
  <c r="AV44" i="57"/>
  <c r="AX9" i="57"/>
  <c r="AW35" i="38"/>
  <c r="AW37" i="38"/>
  <c r="AW61" i="38"/>
  <c r="AV36" i="41"/>
  <c r="AV41" i="60"/>
  <c r="AX44" i="57"/>
  <c r="AX61" i="57"/>
  <c r="AX63" i="57"/>
  <c r="AW44" i="57"/>
  <c r="AW61" i="57"/>
  <c r="AW63" i="57"/>
  <c r="AX35" i="38"/>
  <c r="AX37" i="38"/>
  <c r="AX61" i="38"/>
  <c r="AX36" i="41"/>
  <c r="AX41" i="60"/>
  <c r="AW36" i="41"/>
  <c r="AW41" i="60"/>
  <c r="U4" i="57"/>
  <c r="T4" i="57"/>
  <c r="S4" i="57"/>
  <c r="R4" i="57"/>
  <c r="Q4" i="57"/>
  <c r="P4" i="57"/>
  <c r="P78" i="57"/>
  <c r="Q78" i="57"/>
  <c r="R78" i="57"/>
  <c r="S78" i="57"/>
  <c r="T78" i="57"/>
  <c r="U78" i="57"/>
  <c r="P76" i="57"/>
  <c r="Q76" i="57"/>
  <c r="R76" i="57"/>
  <c r="S76" i="57"/>
  <c r="T76" i="57"/>
  <c r="U76" i="57"/>
  <c r="N60" i="57"/>
  <c r="O79" i="57"/>
  <c r="P79" i="57"/>
  <c r="Q79" i="57"/>
  <c r="R79" i="57"/>
  <c r="S79" i="57"/>
  <c r="T79" i="57"/>
  <c r="U79" i="57"/>
  <c r="N79" i="57"/>
  <c r="N43" i="57"/>
  <c r="R35" i="57"/>
  <c r="Q35" i="57"/>
  <c r="S35" i="57"/>
  <c r="T35" i="57"/>
  <c r="U35" i="57"/>
  <c r="Q10" i="41"/>
  <c r="Q21" i="60"/>
  <c r="R10" i="41"/>
  <c r="R21" i="60"/>
  <c r="S10" i="41"/>
  <c r="S21" i="60"/>
  <c r="T10" i="41"/>
  <c r="T21" i="60"/>
  <c r="U10" i="41"/>
  <c r="U21" i="60"/>
  <c r="V10" i="41"/>
  <c r="V21" i="60"/>
  <c r="W10" i="41"/>
  <c r="W21" i="60"/>
  <c r="X10" i="41"/>
  <c r="X21" i="60"/>
  <c r="Y10" i="41"/>
  <c r="Y21" i="60"/>
  <c r="Z10" i="41"/>
  <c r="Z21" i="60"/>
  <c r="AA10" i="41"/>
  <c r="AA21" i="60"/>
  <c r="AB10" i="41"/>
  <c r="AB21" i="60"/>
  <c r="AC10" i="41"/>
  <c r="AC21" i="60"/>
  <c r="AD10" i="41"/>
  <c r="AD21" i="60"/>
  <c r="AE10" i="41"/>
  <c r="AE21" i="60"/>
  <c r="AF10" i="41"/>
  <c r="AF21" i="60"/>
  <c r="AG10" i="41"/>
  <c r="AG21" i="60"/>
  <c r="AH10" i="41"/>
  <c r="AH21" i="60"/>
  <c r="AI10" i="41"/>
  <c r="AI21" i="60"/>
  <c r="AJ10" i="41"/>
  <c r="AJ21" i="60"/>
  <c r="AK10" i="41"/>
  <c r="AK21" i="60"/>
  <c r="AL10" i="41"/>
  <c r="AL21" i="60"/>
  <c r="AM10" i="41"/>
  <c r="AM21" i="60"/>
  <c r="Q11" i="41"/>
  <c r="Q22" i="60"/>
  <c r="R11" i="41"/>
  <c r="R22" i="60"/>
  <c r="S11" i="41"/>
  <c r="S22" i="60"/>
  <c r="T11" i="41"/>
  <c r="T22" i="60"/>
  <c r="U11" i="41"/>
  <c r="U22" i="60"/>
  <c r="V11" i="41"/>
  <c r="V22" i="60"/>
  <c r="W11" i="41"/>
  <c r="W22" i="60"/>
  <c r="X11" i="41"/>
  <c r="X22" i="60"/>
  <c r="Y11" i="41"/>
  <c r="Y22" i="60"/>
  <c r="Z11" i="41"/>
  <c r="Z22" i="60"/>
  <c r="AA11" i="41"/>
  <c r="AA22" i="60"/>
  <c r="AB11" i="41"/>
  <c r="AB22" i="60"/>
  <c r="AC11" i="41"/>
  <c r="AC22" i="60"/>
  <c r="AD11" i="41"/>
  <c r="AD22" i="60"/>
  <c r="AE11" i="41"/>
  <c r="AE22" i="60"/>
  <c r="AF11" i="41"/>
  <c r="AF22" i="60"/>
  <c r="AG11" i="41"/>
  <c r="AG22" i="60"/>
  <c r="AH11" i="41"/>
  <c r="AH22" i="60"/>
  <c r="AI11" i="41"/>
  <c r="AI22" i="60"/>
  <c r="AJ11" i="41"/>
  <c r="AJ22" i="60"/>
  <c r="AK11" i="41"/>
  <c r="AK22" i="60"/>
  <c r="AL11" i="41"/>
  <c r="AL22" i="60"/>
  <c r="AM11" i="41"/>
  <c r="AM22" i="60"/>
  <c r="Q12" i="41"/>
  <c r="Q23" i="60"/>
  <c r="R12" i="41"/>
  <c r="R23" i="60"/>
  <c r="S12" i="41"/>
  <c r="S23" i="60"/>
  <c r="T12" i="41"/>
  <c r="T23" i="60"/>
  <c r="U12" i="41"/>
  <c r="U23" i="60"/>
  <c r="V12" i="41"/>
  <c r="V23" i="60"/>
  <c r="W12" i="41"/>
  <c r="W23" i="60"/>
  <c r="X12" i="41"/>
  <c r="X23" i="60"/>
  <c r="Y12" i="41"/>
  <c r="Y23" i="60"/>
  <c r="Z12" i="41"/>
  <c r="Z23" i="60"/>
  <c r="AA12" i="41"/>
  <c r="AA23" i="60"/>
  <c r="AB12" i="41"/>
  <c r="AB23" i="60"/>
  <c r="AC12" i="41"/>
  <c r="AC23" i="60"/>
  <c r="AD12" i="41"/>
  <c r="AD23" i="60"/>
  <c r="AE12" i="41"/>
  <c r="AE23" i="60"/>
  <c r="AF12" i="41"/>
  <c r="AF23" i="60"/>
  <c r="AG12" i="41"/>
  <c r="AG23" i="60"/>
  <c r="AH12" i="41"/>
  <c r="AH23" i="60"/>
  <c r="AI12" i="41"/>
  <c r="AI23" i="60"/>
  <c r="AJ12" i="41"/>
  <c r="AJ23" i="60"/>
  <c r="AK12" i="41"/>
  <c r="AK23" i="60"/>
  <c r="AL12" i="41"/>
  <c r="AL23" i="60"/>
  <c r="AM12" i="41"/>
  <c r="AM23" i="60"/>
  <c r="Q13" i="41"/>
  <c r="Q24" i="60"/>
  <c r="R13" i="41"/>
  <c r="R24" i="60"/>
  <c r="S13" i="41"/>
  <c r="S24" i="60"/>
  <c r="T13" i="41"/>
  <c r="T24" i="60"/>
  <c r="U13" i="41"/>
  <c r="U24" i="60"/>
  <c r="V13" i="41"/>
  <c r="V24" i="60"/>
  <c r="W13" i="41"/>
  <c r="W24" i="60"/>
  <c r="X13" i="41"/>
  <c r="X24" i="60"/>
  <c r="Y13" i="41"/>
  <c r="Y24" i="60"/>
  <c r="Z13" i="41"/>
  <c r="Z24" i="60"/>
  <c r="AA13" i="41"/>
  <c r="AA24" i="60"/>
  <c r="AB13" i="41"/>
  <c r="AB24" i="60"/>
  <c r="AC13" i="41"/>
  <c r="AC24" i="60"/>
  <c r="AD13" i="41"/>
  <c r="AD24" i="60"/>
  <c r="AE13" i="41"/>
  <c r="AE24" i="60"/>
  <c r="AF13" i="41"/>
  <c r="AF24" i="60"/>
  <c r="AG13" i="41"/>
  <c r="AG24" i="60"/>
  <c r="AH13" i="41"/>
  <c r="AH24" i="60"/>
  <c r="AI13" i="41"/>
  <c r="AI24" i="60"/>
  <c r="AJ13" i="41"/>
  <c r="AJ24" i="60"/>
  <c r="AK13" i="41"/>
  <c r="AK24" i="60"/>
  <c r="AL13" i="41"/>
  <c r="AL24" i="60"/>
  <c r="AM13" i="41"/>
  <c r="AM24" i="60"/>
  <c r="P11" i="41"/>
  <c r="P22" i="60"/>
  <c r="P12" i="41"/>
  <c r="P23" i="60"/>
  <c r="P10" i="41"/>
  <c r="AD17" i="41"/>
  <c r="AE17" i="41"/>
  <c r="AF17" i="41"/>
  <c r="AG17" i="41"/>
  <c r="AH17" i="41"/>
  <c r="AI17" i="41"/>
  <c r="AJ17" i="41"/>
  <c r="AK17" i="41"/>
  <c r="AL17" i="41"/>
  <c r="AM17" i="41"/>
  <c r="Q8" i="41"/>
  <c r="R8" i="41"/>
  <c r="S8" i="41"/>
  <c r="T8" i="41"/>
  <c r="U8" i="41"/>
  <c r="V8" i="41"/>
  <c r="W8" i="41"/>
  <c r="X8" i="41"/>
  <c r="Y8" i="41"/>
  <c r="Z8" i="41"/>
  <c r="AA8" i="41"/>
  <c r="AB8" i="41"/>
  <c r="AC8" i="41"/>
  <c r="AD8" i="41"/>
  <c r="AE8" i="41"/>
  <c r="AF8" i="41"/>
  <c r="AG8" i="41"/>
  <c r="AH8" i="41"/>
  <c r="AI8" i="41"/>
  <c r="AI29" i="60" s="1"/>
  <c r="AJ8" i="41"/>
  <c r="AK8" i="41"/>
  <c r="AL8" i="41"/>
  <c r="AM8" i="41"/>
  <c r="P8" i="41"/>
  <c r="AC17" i="41"/>
  <c r="AB17" i="41"/>
  <c r="AA17" i="41"/>
  <c r="Z17" i="41"/>
  <c r="X17" i="41"/>
  <c r="W17" i="41"/>
  <c r="V17" i="41"/>
  <c r="U17" i="41"/>
  <c r="T17" i="41"/>
  <c r="S17" i="41"/>
  <c r="R17" i="41"/>
  <c r="Q17" i="41"/>
  <c r="W29" i="60"/>
  <c r="AH29" i="60"/>
  <c r="AH75" i="41"/>
  <c r="AH88" i="41" s="1"/>
  <c r="Z29" i="60"/>
  <c r="Z75" i="41"/>
  <c r="Z88" i="41"/>
  <c r="R29" i="60"/>
  <c r="R75" i="41"/>
  <c r="R88" i="41" s="1"/>
  <c r="AK29" i="60"/>
  <c r="AK75" i="41"/>
  <c r="AK88" i="41"/>
  <c r="AC29" i="60"/>
  <c r="AC75" i="41"/>
  <c r="AC88" i="41" s="1"/>
  <c r="Y29" i="60"/>
  <c r="Y75" i="41"/>
  <c r="Y88" i="41"/>
  <c r="U29" i="60"/>
  <c r="U75" i="41"/>
  <c r="U88" i="41" s="1"/>
  <c r="Q29" i="60"/>
  <c r="Q75" i="41"/>
  <c r="Q88" i="41"/>
  <c r="AL29" i="60"/>
  <c r="AL75" i="41"/>
  <c r="AL88" i="41"/>
  <c r="AD29" i="60"/>
  <c r="AD75" i="41"/>
  <c r="AD88" i="41" s="1"/>
  <c r="V29" i="60"/>
  <c r="V75" i="41"/>
  <c r="V88" i="41"/>
  <c r="AG29" i="60"/>
  <c r="AG75" i="41"/>
  <c r="AG88" i="41" s="1"/>
  <c r="P29" i="60"/>
  <c r="P75" i="41"/>
  <c r="P88" i="41"/>
  <c r="AJ29" i="60"/>
  <c r="AJ75" i="41"/>
  <c r="AJ88" i="41" s="1"/>
  <c r="AF29" i="60"/>
  <c r="AF75" i="41"/>
  <c r="AF88" i="41"/>
  <c r="AB29" i="60"/>
  <c r="AB75" i="41"/>
  <c r="AB88" i="41" s="1"/>
  <c r="X29" i="60"/>
  <c r="X75" i="41"/>
  <c r="X88" i="41"/>
  <c r="T29" i="60"/>
  <c r="T75" i="41"/>
  <c r="T88" i="41" s="1"/>
  <c r="P21" i="60"/>
  <c r="Y17" i="41"/>
  <c r="P4" i="41"/>
  <c r="P60" i="41"/>
  <c r="P4" i="60"/>
  <c r="F1" i="55"/>
  <c r="F1" i="59"/>
  <c r="G1" i="55"/>
  <c r="G1" i="59"/>
  <c r="H1" i="55"/>
  <c r="H1" i="59"/>
  <c r="I1" i="55"/>
  <c r="J1" i="55"/>
  <c r="J1" i="59"/>
  <c r="I1" i="59"/>
  <c r="K1" i="55"/>
  <c r="K1" i="59"/>
  <c r="J1" i="38"/>
  <c r="K1" i="38"/>
  <c r="L1" i="55"/>
  <c r="L1" i="59"/>
  <c r="L1" i="38"/>
  <c r="M1" i="55"/>
  <c r="M1" i="59"/>
  <c r="M1" i="38"/>
  <c r="N1" i="55"/>
  <c r="N1" i="59"/>
  <c r="N1" i="38"/>
  <c r="N1" i="57"/>
  <c r="O1" i="55"/>
  <c r="O1" i="59"/>
  <c r="O1" i="56"/>
  <c r="O1" i="38"/>
  <c r="O1" i="57"/>
  <c r="O1" i="41"/>
  <c r="C6" i="60"/>
  <c r="P1" i="55"/>
  <c r="P1" i="59"/>
  <c r="P1" i="38"/>
  <c r="P1" i="56"/>
  <c r="P1" i="57"/>
  <c r="P20" i="60"/>
  <c r="P1" i="41"/>
  <c r="Q1" i="55"/>
  <c r="Q1" i="59"/>
  <c r="Q1" i="38"/>
  <c r="Q1" i="56"/>
  <c r="Q20" i="60"/>
  <c r="Q1" i="57"/>
  <c r="Q1" i="41"/>
  <c r="R1" i="55"/>
  <c r="R1" i="59"/>
  <c r="R1" i="38"/>
  <c r="R1" i="57"/>
  <c r="R20" i="60"/>
  <c r="R1" i="56"/>
  <c r="R1" i="41"/>
  <c r="S1" i="55"/>
  <c r="S1" i="59"/>
  <c r="S1" i="38"/>
  <c r="S20" i="60"/>
  <c r="S1" i="57"/>
  <c r="S1" i="56"/>
  <c r="S1" i="41"/>
  <c r="T1" i="55"/>
  <c r="T1" i="59"/>
  <c r="T1" i="38"/>
  <c r="T1" i="56"/>
  <c r="T20" i="60"/>
  <c r="T1" i="57"/>
  <c r="T1" i="41"/>
  <c r="U1" i="55"/>
  <c r="U1" i="59"/>
  <c r="U1" i="38"/>
  <c r="U20" i="60"/>
  <c r="U1" i="57"/>
  <c r="U1" i="56"/>
  <c r="U1" i="41"/>
  <c r="C5" i="60"/>
  <c r="V1" i="55"/>
  <c r="V1" i="59"/>
  <c r="V1" i="57"/>
  <c r="V1" i="38"/>
  <c r="V1" i="41"/>
  <c r="W1" i="55"/>
  <c r="W1" i="59"/>
  <c r="W1" i="57"/>
  <c r="W1" i="38"/>
  <c r="W1" i="41"/>
  <c r="X1" i="55"/>
  <c r="X1" i="59"/>
  <c r="X1" i="57"/>
  <c r="X1" i="38"/>
  <c r="X1" i="41"/>
  <c r="Y1" i="55"/>
  <c r="Y1" i="59"/>
  <c r="Y1" i="57"/>
  <c r="Y1" i="38"/>
  <c r="Y1" i="41"/>
  <c r="Z1" i="55"/>
  <c r="Z1" i="59"/>
  <c r="Z1" i="57"/>
  <c r="Z1" i="38"/>
  <c r="Z1" i="41"/>
  <c r="AA1" i="55"/>
  <c r="AA1" i="59"/>
  <c r="AA1" i="57"/>
  <c r="AA1" i="38"/>
  <c r="AA1" i="41"/>
  <c r="AB1" i="55"/>
  <c r="AB1" i="59"/>
  <c r="AB1" i="57"/>
  <c r="AB1" i="38"/>
  <c r="AB1" i="41"/>
  <c r="AC1" i="55"/>
  <c r="AC1" i="59"/>
  <c r="AC1" i="57"/>
  <c r="AC1" i="38"/>
  <c r="AC1" i="41"/>
  <c r="AD1" i="55"/>
  <c r="AD1" i="59"/>
  <c r="AD1" i="57"/>
  <c r="AD1" i="38"/>
  <c r="AD1" i="41"/>
  <c r="AE1" i="55"/>
  <c r="AE1" i="59"/>
  <c r="AE1" i="57"/>
  <c r="AE1" i="38"/>
  <c r="AE1" i="41"/>
  <c r="AF1" i="55"/>
  <c r="AF1" i="59"/>
  <c r="AF1" i="57"/>
  <c r="AF1" i="38"/>
  <c r="AF1" i="41"/>
  <c r="AG1" i="55"/>
  <c r="AG1" i="59"/>
  <c r="AG1" i="57"/>
  <c r="AG1" i="38"/>
  <c r="AG1" i="41"/>
  <c r="AH1" i="55"/>
  <c r="AH1" i="59"/>
  <c r="AH1" i="57"/>
  <c r="AH1" i="38"/>
  <c r="AH1" i="41"/>
  <c r="AI1" i="55"/>
  <c r="AI1" i="59"/>
  <c r="AI1" i="57"/>
  <c r="AI1" i="38"/>
  <c r="AI1" i="41"/>
  <c r="AJ1" i="55"/>
  <c r="AJ1" i="59"/>
  <c r="AJ1" i="57"/>
  <c r="AJ1" i="38"/>
  <c r="AJ1" i="41"/>
  <c r="AK1" i="55"/>
  <c r="AK1" i="59"/>
  <c r="AK1" i="57"/>
  <c r="AK1" i="38"/>
  <c r="AK1" i="41"/>
  <c r="AL1" i="55"/>
  <c r="AL1" i="59"/>
  <c r="AL1" i="57"/>
  <c r="AL1" i="38"/>
  <c r="AL1" i="41"/>
  <c r="AM1" i="55"/>
  <c r="AM1" i="59"/>
  <c r="AM1" i="38"/>
  <c r="AM1" i="57"/>
  <c r="AN1" i="55"/>
  <c r="AM1" i="41"/>
  <c r="Q22" i="41"/>
  <c r="R22" i="41" s="1"/>
  <c r="AN1" i="41"/>
  <c r="AN1" i="59"/>
  <c r="AO1" i="55"/>
  <c r="AN1" i="38"/>
  <c r="AN1" i="57"/>
  <c r="P30" i="41"/>
  <c r="AO1" i="41"/>
  <c r="AO1" i="59"/>
  <c r="AO1" i="38"/>
  <c r="AP1" i="55"/>
  <c r="AO1" i="57"/>
  <c r="Q21" i="41"/>
  <c r="R21" i="41" s="1"/>
  <c r="Q33" i="60"/>
  <c r="AP1" i="41"/>
  <c r="AP1" i="59"/>
  <c r="AP1" i="38"/>
  <c r="AQ1" i="55"/>
  <c r="AP1" i="57"/>
  <c r="V3" i="41"/>
  <c r="W3" i="41"/>
  <c r="X3" i="41"/>
  <c r="Y3" i="41"/>
  <c r="Z3" i="41"/>
  <c r="AA3" i="41"/>
  <c r="AB3" i="41"/>
  <c r="AC3" i="41"/>
  <c r="AD3" i="41"/>
  <c r="AE3" i="41"/>
  <c r="AF3" i="41"/>
  <c r="AG3" i="41"/>
  <c r="AH3" i="41"/>
  <c r="AI3" i="41"/>
  <c r="AJ3" i="41"/>
  <c r="AK3" i="41"/>
  <c r="AL3" i="41"/>
  <c r="AM3" i="41"/>
  <c r="AQ1" i="41"/>
  <c r="AQ1" i="59"/>
  <c r="AN3" i="41"/>
  <c r="AQ1" i="38"/>
  <c r="AQ1" i="57"/>
  <c r="AR1" i="55"/>
  <c r="AR1" i="41"/>
  <c r="AR1" i="59"/>
  <c r="Q4" i="41"/>
  <c r="AO3" i="41"/>
  <c r="AR1" i="38"/>
  <c r="AR1" i="57"/>
  <c r="AS1" i="55"/>
  <c r="AS1" i="41"/>
  <c r="AS1" i="59"/>
  <c r="R4" i="41"/>
  <c r="AP3" i="41"/>
  <c r="AS1" i="38"/>
  <c r="AT1" i="55"/>
  <c r="AS1" i="57"/>
  <c r="AT1" i="41"/>
  <c r="AT1" i="59"/>
  <c r="S4" i="41"/>
  <c r="AQ3" i="41"/>
  <c r="AT1" i="38"/>
  <c r="AU1" i="55"/>
  <c r="AT1" i="57"/>
  <c r="AU1" i="41"/>
  <c r="AU1" i="59"/>
  <c r="T4" i="41"/>
  <c r="AR3" i="41"/>
  <c r="AV1" i="55"/>
  <c r="AU1" i="38"/>
  <c r="AU1" i="57"/>
  <c r="AV1" i="41"/>
  <c r="AV1" i="59"/>
  <c r="V5" i="41"/>
  <c r="U4" i="41"/>
  <c r="AS3" i="41"/>
  <c r="AT3" i="41"/>
  <c r="AU3" i="41"/>
  <c r="AV3" i="41"/>
  <c r="AW3" i="41"/>
  <c r="AX3" i="41"/>
  <c r="AW1" i="55"/>
  <c r="AV1" i="38"/>
  <c r="AV1" i="57"/>
  <c r="AW1" i="41"/>
  <c r="AW1" i="59"/>
  <c r="V4" i="41"/>
  <c r="W5" i="41"/>
  <c r="AX1" i="55"/>
  <c r="AW1" i="38"/>
  <c r="AW1" i="57"/>
  <c r="AX1" i="41"/>
  <c r="AX1" i="59"/>
  <c r="W4" i="41"/>
  <c r="X5" i="41"/>
  <c r="AX1" i="38"/>
  <c r="AX1" i="57"/>
  <c r="X4" i="41"/>
  <c r="Y5" i="41"/>
  <c r="Y4" i="41"/>
  <c r="Z5" i="41"/>
  <c r="Z4" i="41"/>
  <c r="AA5" i="41"/>
  <c r="AA4" i="41"/>
  <c r="AB5" i="41"/>
  <c r="AB4" i="41"/>
  <c r="AC5" i="41"/>
  <c r="AC4" i="41"/>
  <c r="AD5" i="41"/>
  <c r="AD4" i="41"/>
  <c r="AE5" i="41"/>
  <c r="AE4" i="41"/>
  <c r="AF5" i="41"/>
  <c r="AF4" i="41"/>
  <c r="AG5" i="41"/>
  <c r="AG4" i="41"/>
  <c r="AH5" i="41"/>
  <c r="AH4" i="41"/>
  <c r="AI5" i="41"/>
  <c r="AI4" i="41"/>
  <c r="AJ5" i="41"/>
  <c r="AJ4" i="41"/>
  <c r="AK5" i="41"/>
  <c r="AK4" i="41"/>
  <c r="AL5" i="41"/>
  <c r="Q30" i="41"/>
  <c r="Q6" i="56" s="1"/>
  <c r="Q15" i="56" s="1"/>
  <c r="Q28" i="56" s="1"/>
  <c r="Q9" i="57"/>
  <c r="AL4" i="41"/>
  <c r="AM5" i="41"/>
  <c r="R30" i="41"/>
  <c r="AN5" i="41"/>
  <c r="AM4" i="41"/>
  <c r="AN4" i="41"/>
  <c r="AO5" i="41"/>
  <c r="T30" i="41"/>
  <c r="T9" i="57" s="1"/>
  <c r="T6" i="56"/>
  <c r="T15" i="56" s="1"/>
  <c r="T28" i="56" s="1"/>
  <c r="AO4" i="41"/>
  <c r="AP5" i="41"/>
  <c r="U30" i="41"/>
  <c r="U6" i="56" s="1"/>
  <c r="U15" i="56" s="1"/>
  <c r="U28" i="56" s="1"/>
  <c r="U9" i="57"/>
  <c r="AP4" i="41"/>
  <c r="AQ5" i="41"/>
  <c r="V30" i="41"/>
  <c r="V6" i="56" s="1"/>
  <c r="V15" i="56" s="1"/>
  <c r="V28" i="56" s="1"/>
  <c r="V9" i="57"/>
  <c r="AQ4" i="41"/>
  <c r="AR5" i="41"/>
  <c r="X30" i="41"/>
  <c r="X6" i="56"/>
  <c r="X15" i="56" s="1"/>
  <c r="X28" i="56" s="1"/>
  <c r="X9" i="57"/>
  <c r="AR4" i="41"/>
  <c r="AS5" i="41"/>
  <c r="Y30" i="41"/>
  <c r="Y6" i="56"/>
  <c r="Y15" i="56" s="1"/>
  <c r="Y28" i="56" s="1"/>
  <c r="Y9" i="57"/>
  <c r="AS4" i="41"/>
  <c r="AT5" i="41"/>
  <c r="Z30" i="41"/>
  <c r="Z9" i="57" s="1"/>
  <c r="Z6" i="56"/>
  <c r="Z15" i="56" s="1"/>
  <c r="Z28" i="56" s="1"/>
  <c r="AT4" i="41"/>
  <c r="AU5" i="41"/>
  <c r="AU4" i="41"/>
  <c r="AV5" i="41"/>
  <c r="AB30" i="41"/>
  <c r="AB9" i="57"/>
  <c r="AV4" i="41"/>
  <c r="AW5" i="41"/>
  <c r="AC30" i="41"/>
  <c r="AC6" i="56"/>
  <c r="AC15" i="56" s="1"/>
  <c r="AC28" i="56" s="1"/>
  <c r="AC9" i="57"/>
  <c r="AW4" i="41"/>
  <c r="AX5" i="41"/>
  <c r="AX4" i="41"/>
  <c r="AD30" i="41"/>
  <c r="AD6" i="56"/>
  <c r="AD15" i="56" s="1"/>
  <c r="AD28" i="56" s="1"/>
  <c r="AD9" i="57"/>
  <c r="AE30" i="41"/>
  <c r="AF30" i="41"/>
  <c r="AF6" i="56"/>
  <c r="AF15" i="56" s="1"/>
  <c r="AF28" i="56" s="1"/>
  <c r="AG30" i="41"/>
  <c r="AG6" i="56"/>
  <c r="AG15" i="56" s="1"/>
  <c r="AG28" i="56" s="1"/>
  <c r="AG9" i="57"/>
  <c r="AF9" i="57"/>
  <c r="AH30" i="41"/>
  <c r="AH6" i="56"/>
  <c r="AH15" i="56" s="1"/>
  <c r="AH28" i="56" s="1"/>
  <c r="AH9" i="57"/>
  <c r="AI30" i="41"/>
  <c r="AJ30" i="41"/>
  <c r="AJ6" i="56"/>
  <c r="AJ15" i="56" s="1"/>
  <c r="AJ28" i="56" s="1"/>
  <c r="AJ9" i="57"/>
  <c r="AK30" i="41"/>
  <c r="AK6" i="56" s="1"/>
  <c r="AK15" i="56" s="1"/>
  <c r="AK28" i="56" s="1"/>
  <c r="AK9" i="57"/>
  <c r="AL30" i="41"/>
  <c r="AL6" i="56"/>
  <c r="AL15" i="56" s="1"/>
  <c r="AL28" i="56" s="1"/>
  <c r="AL9" i="57"/>
  <c r="L26" i="38"/>
  <c r="M26" i="38"/>
  <c r="N26" i="38"/>
  <c r="O26" i="38"/>
  <c r="P15" i="55"/>
  <c r="R15" i="55"/>
  <c r="P7" i="41"/>
  <c r="P68" i="41"/>
  <c r="P28" i="60"/>
  <c r="P29" i="41"/>
  <c r="R7" i="41"/>
  <c r="R68" i="41"/>
  <c r="Q15" i="55"/>
  <c r="Q7" i="41"/>
  <c r="Q68" i="41"/>
  <c r="R28" i="60"/>
  <c r="R29" i="41"/>
  <c r="S15" i="55"/>
  <c r="S7" i="41"/>
  <c r="Q28" i="60"/>
  <c r="Q29" i="41"/>
  <c r="S28" i="60"/>
  <c r="S29" i="41"/>
  <c r="T15" i="55"/>
  <c r="T7" i="41"/>
  <c r="T68" i="41"/>
  <c r="U15" i="55"/>
  <c r="V15" i="55"/>
  <c r="N71" i="57"/>
  <c r="N72" i="57"/>
  <c r="N67" i="57"/>
  <c r="T28" i="60"/>
  <c r="T29" i="41"/>
  <c r="N39" i="57"/>
  <c r="N51" i="57"/>
  <c r="N52" i="57"/>
  <c r="N76" i="57"/>
  <c r="N57" i="57"/>
  <c r="W15" i="55"/>
  <c r="V7" i="41"/>
  <c r="U7" i="41"/>
  <c r="U68" i="41"/>
  <c r="N40" i="57"/>
  <c r="N44" i="57"/>
  <c r="N46" i="57"/>
  <c r="N78" i="57"/>
  <c r="O55" i="57"/>
  <c r="V29" i="41"/>
  <c r="V28" i="60"/>
  <c r="N61" i="57"/>
  <c r="N63" i="57"/>
  <c r="N65" i="57"/>
  <c r="N66" i="57"/>
  <c r="N68" i="57"/>
  <c r="N47" i="57"/>
  <c r="N48" i="57"/>
  <c r="V44" i="57"/>
  <c r="V61" i="57"/>
  <c r="V63" i="57"/>
  <c r="U28" i="60"/>
  <c r="U29" i="41"/>
  <c r="O39" i="57"/>
  <c r="O51" i="57"/>
  <c r="O52" i="57"/>
  <c r="O76" i="57"/>
  <c r="O56" i="57"/>
  <c r="O71" i="57"/>
  <c r="Q61" i="57"/>
  <c r="Q63" i="57"/>
  <c r="Q44" i="57"/>
  <c r="W7" i="41"/>
  <c r="X15" i="55"/>
  <c r="Y15" i="55"/>
  <c r="P44" i="57"/>
  <c r="P61" i="57"/>
  <c r="P63" i="57"/>
  <c r="W29" i="41"/>
  <c r="W28" i="60"/>
  <c r="P47" i="55"/>
  <c r="N75" i="57"/>
  <c r="O60" i="57"/>
  <c r="W44" i="57"/>
  <c r="W61" i="57"/>
  <c r="W63" i="57"/>
  <c r="O43" i="57"/>
  <c r="O57" i="57"/>
  <c r="O61" i="57"/>
  <c r="O63" i="57"/>
  <c r="O72" i="57"/>
  <c r="O67" i="57"/>
  <c r="O40" i="57"/>
  <c r="O44" i="57"/>
  <c r="AA15" i="55"/>
  <c r="Y7" i="41"/>
  <c r="X7" i="41"/>
  <c r="Z15" i="55"/>
  <c r="R61" i="57"/>
  <c r="R63" i="57"/>
  <c r="R44" i="57"/>
  <c r="O53" i="41"/>
  <c r="O8" i="56"/>
  <c r="P46" i="55"/>
  <c r="P55" i="55"/>
  <c r="X29" i="41"/>
  <c r="X28" i="60"/>
  <c r="Y29" i="41"/>
  <c r="Y28" i="60"/>
  <c r="N77" i="57"/>
  <c r="N80" i="57"/>
  <c r="Y61" i="57"/>
  <c r="Y63" i="57"/>
  <c r="Y44" i="57"/>
  <c r="X44" i="57"/>
  <c r="X61" i="57"/>
  <c r="X63" i="57"/>
  <c r="O46" i="57"/>
  <c r="O65" i="57"/>
  <c r="O66" i="57"/>
  <c r="O78" i="57"/>
  <c r="T44" i="57"/>
  <c r="T61" i="57"/>
  <c r="T63" i="57"/>
  <c r="AA7" i="41"/>
  <c r="Z7" i="41"/>
  <c r="S44" i="57"/>
  <c r="S61" i="57"/>
  <c r="S63" i="57"/>
  <c r="AA29" i="41"/>
  <c r="AA28" i="60"/>
  <c r="Z29" i="41"/>
  <c r="Z28" i="60"/>
  <c r="O38" i="41"/>
  <c r="O45" i="41"/>
  <c r="O52" i="41"/>
  <c r="O47" i="57"/>
  <c r="O75" i="57"/>
  <c r="O68" i="57"/>
  <c r="AA61" i="57"/>
  <c r="AA63" i="57"/>
  <c r="AA44" i="57"/>
  <c r="Z61" i="57"/>
  <c r="Z63" i="57"/>
  <c r="Z44" i="57"/>
  <c r="AB15" i="55"/>
  <c r="U44" i="57"/>
  <c r="U61" i="57"/>
  <c r="U63" i="57"/>
  <c r="O48" i="57"/>
  <c r="P43" i="57"/>
  <c r="P46" i="57"/>
  <c r="P47" i="57"/>
  <c r="P75" i="57"/>
  <c r="O77" i="57"/>
  <c r="O80" i="57"/>
  <c r="P60" i="57"/>
  <c r="P65" i="57"/>
  <c r="P66" i="57"/>
  <c r="P77" i="57"/>
  <c r="AC15" i="55"/>
  <c r="AB7" i="41"/>
  <c r="AB29" i="41"/>
  <c r="AB28" i="60"/>
  <c r="P48" i="57"/>
  <c r="Q43" i="57"/>
  <c r="Q46" i="57"/>
  <c r="P80" i="57"/>
  <c r="P11" i="57"/>
  <c r="P68" i="57"/>
  <c r="Q60" i="57"/>
  <c r="Q65" i="57"/>
  <c r="Q66" i="57"/>
  <c r="Q77" i="57"/>
  <c r="AB44" i="57"/>
  <c r="AB61" i="57"/>
  <c r="AB63" i="57"/>
  <c r="AC7" i="41"/>
  <c r="AD15" i="55"/>
  <c r="AC29" i="41"/>
  <c r="AC28" i="60"/>
  <c r="Q68" i="57"/>
  <c r="R60" i="57"/>
  <c r="R65" i="57"/>
  <c r="R66" i="57"/>
  <c r="R77" i="57"/>
  <c r="AC44" i="57"/>
  <c r="AC61" i="57"/>
  <c r="AC63" i="57"/>
  <c r="AD7" i="41"/>
  <c r="AE15" i="55"/>
  <c r="Q47" i="57"/>
  <c r="Q75" i="57"/>
  <c r="Q80" i="57"/>
  <c r="Q11" i="57"/>
  <c r="AD29" i="41"/>
  <c r="AD28" i="60"/>
  <c r="AD44" i="57"/>
  <c r="AD61" i="57"/>
  <c r="AD63" i="57"/>
  <c r="Q48" i="57"/>
  <c r="R43" i="57"/>
  <c r="R46" i="57"/>
  <c r="R47" i="57"/>
  <c r="R68" i="57"/>
  <c r="S60" i="57"/>
  <c r="S65" i="57"/>
  <c r="AE7" i="41"/>
  <c r="AE29" i="41"/>
  <c r="AE28" i="60"/>
  <c r="AE44" i="57"/>
  <c r="AE61" i="57"/>
  <c r="AE63" i="57"/>
  <c r="AG15" i="55"/>
  <c r="AF15" i="55"/>
  <c r="S66" i="57"/>
  <c r="S77" i="57"/>
  <c r="R48" i="57"/>
  <c r="S43" i="57"/>
  <c r="S46" i="57"/>
  <c r="R75" i="57"/>
  <c r="R80" i="57"/>
  <c r="R11" i="57"/>
  <c r="AF7" i="41"/>
  <c r="S47" i="57"/>
  <c r="S75" i="57"/>
  <c r="S80" i="57"/>
  <c r="S11" i="57"/>
  <c r="AG7" i="41"/>
  <c r="S68" i="57"/>
  <c r="T60" i="57"/>
  <c r="T65" i="57"/>
  <c r="AH15" i="55"/>
  <c r="AF29" i="41"/>
  <c r="AF28" i="60"/>
  <c r="AG29" i="41"/>
  <c r="AG28" i="60"/>
  <c r="AG61" i="57"/>
  <c r="AG63" i="57"/>
  <c r="AG44" i="57"/>
  <c r="AF44" i="57"/>
  <c r="AF61" i="57"/>
  <c r="AF63" i="57"/>
  <c r="S48" i="57"/>
  <c r="T43" i="57"/>
  <c r="T46" i="57"/>
  <c r="T47" i="57"/>
  <c r="T75" i="57"/>
  <c r="AH7" i="41"/>
  <c r="T66" i="57"/>
  <c r="T77" i="57"/>
  <c r="AI15" i="55"/>
  <c r="AH29" i="41"/>
  <c r="AH28" i="60"/>
  <c r="AH61" i="57"/>
  <c r="AH63" i="57"/>
  <c r="AH44" i="57"/>
  <c r="AN51" i="41"/>
  <c r="AO51" i="41"/>
  <c r="AP51" i="41"/>
  <c r="AQ51" i="41"/>
  <c r="AR51" i="41"/>
  <c r="AS51" i="41"/>
  <c r="AT51" i="41"/>
  <c r="AU51" i="41"/>
  <c r="AV51" i="41"/>
  <c r="AW51" i="41"/>
  <c r="AX51" i="41"/>
  <c r="T48" i="57"/>
  <c r="U43" i="57"/>
  <c r="U46" i="57"/>
  <c r="AI7" i="41"/>
  <c r="AF51" i="41"/>
  <c r="T51" i="41"/>
  <c r="R51" i="41"/>
  <c r="AB51" i="41"/>
  <c r="O55" i="41"/>
  <c r="O4" i="56"/>
  <c r="O13" i="56"/>
  <c r="O20" i="56"/>
  <c r="AJ51" i="41"/>
  <c r="AH51" i="41"/>
  <c r="AM51" i="41"/>
  <c r="Z51" i="41"/>
  <c r="Y51" i="41"/>
  <c r="AK51" i="41"/>
  <c r="AC51" i="41"/>
  <c r="AD51" i="41"/>
  <c r="U51" i="41"/>
  <c r="AE51" i="41"/>
  <c r="V51" i="41"/>
  <c r="AL51" i="41"/>
  <c r="W51" i="41"/>
  <c r="X51" i="41"/>
  <c r="AI51" i="41"/>
  <c r="Q51" i="41"/>
  <c r="S51" i="41"/>
  <c r="P51" i="41"/>
  <c r="AG51" i="41"/>
  <c r="AA51" i="41"/>
  <c r="P52" i="41"/>
  <c r="P41" i="60"/>
  <c r="T68" i="57"/>
  <c r="U60" i="57"/>
  <c r="U65" i="57"/>
  <c r="T80" i="57"/>
  <c r="T11" i="57"/>
  <c r="AI29" i="41"/>
  <c r="AI28" i="60"/>
  <c r="O66" i="41"/>
  <c r="P63" i="41"/>
  <c r="P48" i="56"/>
  <c r="AI61" i="57"/>
  <c r="AI63" i="57"/>
  <c r="AI44" i="57"/>
  <c r="U47" i="57"/>
  <c r="U75" i="57"/>
  <c r="AK15" i="55"/>
  <c r="U66" i="57"/>
  <c r="U77" i="57"/>
  <c r="P64" i="41"/>
  <c r="U48" i="57"/>
  <c r="V43" i="57"/>
  <c r="V46" i="57"/>
  <c r="V47" i="57"/>
  <c r="U68" i="57"/>
  <c r="V60" i="57"/>
  <c r="V65" i="57"/>
  <c r="V66" i="57"/>
  <c r="U80" i="57"/>
  <c r="U11" i="57"/>
  <c r="AK7" i="41"/>
  <c r="AL15" i="55"/>
  <c r="Q52" i="41"/>
  <c r="Q41" i="60"/>
  <c r="AK29" i="41"/>
  <c r="AK28" i="60"/>
  <c r="AK44" i="57"/>
  <c r="AK61" i="57"/>
  <c r="AK63" i="57"/>
  <c r="V48" i="57"/>
  <c r="W43" i="57"/>
  <c r="W46" i="57"/>
  <c r="V75" i="57"/>
  <c r="V68" i="57"/>
  <c r="W60" i="57"/>
  <c r="W65" i="57"/>
  <c r="W66" i="57"/>
  <c r="V77" i="57"/>
  <c r="AL7" i="41"/>
  <c r="AM15" i="55"/>
  <c r="AJ15" i="55"/>
  <c r="AL29" i="41"/>
  <c r="AL28" i="60"/>
  <c r="V80" i="57"/>
  <c r="V11" i="57"/>
  <c r="AL44" i="57"/>
  <c r="AL61" i="57"/>
  <c r="AL63" i="57"/>
  <c r="W47" i="57"/>
  <c r="W75" i="57"/>
  <c r="W68" i="57"/>
  <c r="X60" i="57"/>
  <c r="X65" i="57"/>
  <c r="X66" i="57"/>
  <c r="W77" i="57"/>
  <c r="AJ7" i="41"/>
  <c r="AN15" i="55"/>
  <c r="AN7" i="41"/>
  <c r="R41" i="60"/>
  <c r="R52" i="41"/>
  <c r="AM7" i="41"/>
  <c r="AM29" i="41"/>
  <c r="AM28" i="60"/>
  <c r="AJ29" i="41"/>
  <c r="AJ28" i="60"/>
  <c r="AN29" i="41"/>
  <c r="AN28" i="60"/>
  <c r="W80" i="57"/>
  <c r="W11" i="57"/>
  <c r="W48" i="57"/>
  <c r="X43" i="57"/>
  <c r="X46" i="57"/>
  <c r="X47" i="57"/>
  <c r="X75" i="57"/>
  <c r="AM44" i="57"/>
  <c r="AM61" i="57"/>
  <c r="AM63" i="57"/>
  <c r="AJ44" i="57"/>
  <c r="AJ61" i="57"/>
  <c r="AJ63" i="57"/>
  <c r="X68" i="57"/>
  <c r="Y60" i="57"/>
  <c r="Y65" i="57"/>
  <c r="Y66" i="57"/>
  <c r="X77" i="57"/>
  <c r="AO15" i="55"/>
  <c r="AO7" i="41"/>
  <c r="AO29" i="41"/>
  <c r="AO28" i="60"/>
  <c r="X48" i="57"/>
  <c r="Y43" i="57"/>
  <c r="Y46" i="57"/>
  <c r="Y47" i="57"/>
  <c r="Y75" i="57"/>
  <c r="X80" i="57"/>
  <c r="X11" i="57"/>
  <c r="AN44" i="57"/>
  <c r="AN61" i="57"/>
  <c r="AN63" i="57"/>
  <c r="Y68" i="57"/>
  <c r="Z60" i="57"/>
  <c r="Z65" i="57"/>
  <c r="Z66" i="57"/>
  <c r="Y77" i="57"/>
  <c r="S52" i="41"/>
  <c r="S41" i="60"/>
  <c r="AP15" i="55"/>
  <c r="AP7" i="41"/>
  <c r="AP29" i="41"/>
  <c r="AP28" i="60"/>
  <c r="Y80" i="57"/>
  <c r="Y11" i="57"/>
  <c r="AO61" i="57"/>
  <c r="AO63" i="57"/>
  <c r="AO44" i="57"/>
  <c r="Y48" i="57"/>
  <c r="Z43" i="57"/>
  <c r="Z46" i="57"/>
  <c r="Z68" i="57"/>
  <c r="AA60" i="57"/>
  <c r="AA65" i="57"/>
  <c r="AA66" i="57"/>
  <c r="Z77" i="57"/>
  <c r="AR15" i="55"/>
  <c r="AR7" i="41"/>
  <c r="AQ15" i="55"/>
  <c r="AQ7" i="41"/>
  <c r="AQ29" i="41"/>
  <c r="AQ28" i="60"/>
  <c r="AR29" i="41"/>
  <c r="AR28" i="60"/>
  <c r="AP61" i="57"/>
  <c r="AP63" i="57"/>
  <c r="AP44" i="57"/>
  <c r="Z47" i="57"/>
  <c r="Z75" i="57"/>
  <c r="Z80" i="57"/>
  <c r="Z11" i="57"/>
  <c r="AA68" i="57"/>
  <c r="AB60" i="57"/>
  <c r="AB65" i="57"/>
  <c r="AB66" i="57"/>
  <c r="AA77" i="57"/>
  <c r="AS15" i="55"/>
  <c r="AS7" i="41"/>
  <c r="AS29" i="41"/>
  <c r="AS28" i="60"/>
  <c r="AQ61" i="57"/>
  <c r="AQ63" i="57"/>
  <c r="AQ44" i="57"/>
  <c r="Z48" i="57"/>
  <c r="AA43" i="57"/>
  <c r="AA46" i="57"/>
  <c r="AB68" i="57"/>
  <c r="AC60" i="57"/>
  <c r="AC65" i="57"/>
  <c r="AC66" i="57"/>
  <c r="AB77" i="57"/>
  <c r="T41" i="60"/>
  <c r="T52" i="41"/>
  <c r="AU15" i="55"/>
  <c r="AU7" i="41"/>
  <c r="AT15" i="55"/>
  <c r="AT7" i="41"/>
  <c r="AU29" i="41"/>
  <c r="AU28" i="60"/>
  <c r="AT29" i="41"/>
  <c r="AT28" i="60"/>
  <c r="AA47" i="57"/>
  <c r="AA75" i="57"/>
  <c r="AA80" i="57"/>
  <c r="AA11" i="57"/>
  <c r="AC68" i="57"/>
  <c r="AD60" i="57"/>
  <c r="AD65" i="57"/>
  <c r="AD66" i="57"/>
  <c r="AC77" i="57"/>
  <c r="AA48" i="57"/>
  <c r="AB43" i="57"/>
  <c r="AB46" i="57"/>
  <c r="AB47" i="57"/>
  <c r="AD68" i="57"/>
  <c r="AE60" i="57"/>
  <c r="AE65" i="57"/>
  <c r="AE66" i="57"/>
  <c r="AD77" i="57"/>
  <c r="AV15" i="55"/>
  <c r="AV7" i="41"/>
  <c r="AV29" i="41"/>
  <c r="AV28" i="60"/>
  <c r="AB48" i="57"/>
  <c r="AC43" i="57"/>
  <c r="AC46" i="57"/>
  <c r="AC47" i="57"/>
  <c r="AB75" i="57"/>
  <c r="AB80" i="57"/>
  <c r="AB11" i="57"/>
  <c r="AE68" i="57"/>
  <c r="AF60" i="57"/>
  <c r="AF65" i="57"/>
  <c r="AF66" i="57"/>
  <c r="AE77" i="57"/>
  <c r="U41" i="60"/>
  <c r="U52" i="41"/>
  <c r="U46" i="41"/>
  <c r="AW15" i="55"/>
  <c r="AW7" i="41"/>
  <c r="AW29" i="41"/>
  <c r="AW28" i="60"/>
  <c r="AC48" i="57"/>
  <c r="AD43" i="57"/>
  <c r="AD46" i="57"/>
  <c r="AD47" i="57"/>
  <c r="AC75" i="57"/>
  <c r="AC80" i="57"/>
  <c r="AC11" i="57"/>
  <c r="AF68" i="57"/>
  <c r="AG60" i="57"/>
  <c r="AG65" i="57"/>
  <c r="AG66" i="57"/>
  <c r="AF77" i="57"/>
  <c r="V52" i="41"/>
  <c r="AD48" i="57"/>
  <c r="AE43" i="57"/>
  <c r="AE46" i="57"/>
  <c r="AE47" i="57"/>
  <c r="AD75" i="57"/>
  <c r="AD80" i="57"/>
  <c r="AD11" i="57"/>
  <c r="AG68" i="57"/>
  <c r="AH60" i="57"/>
  <c r="AH65" i="57"/>
  <c r="AH66" i="57"/>
  <c r="AG77" i="57"/>
  <c r="AE48" i="57"/>
  <c r="AF43" i="57"/>
  <c r="AF46" i="57"/>
  <c r="AF47" i="57"/>
  <c r="AE75" i="57"/>
  <c r="AE80" i="57"/>
  <c r="AE11" i="57"/>
  <c r="AH68" i="57"/>
  <c r="AI60" i="57"/>
  <c r="AI65" i="57"/>
  <c r="AI66" i="57"/>
  <c r="AH77" i="57"/>
  <c r="W52" i="41"/>
  <c r="AX15" i="55"/>
  <c r="AX7" i="41"/>
  <c r="AX29" i="41"/>
  <c r="AX28" i="60"/>
  <c r="AF48" i="57"/>
  <c r="AG43" i="57"/>
  <c r="AG46" i="57"/>
  <c r="AG47" i="57"/>
  <c r="AF75" i="57"/>
  <c r="AF80" i="57"/>
  <c r="AF11" i="57"/>
  <c r="AI68" i="57"/>
  <c r="AJ60" i="57"/>
  <c r="AJ65" i="57"/>
  <c r="AJ66" i="57"/>
  <c r="AI77" i="57"/>
  <c r="AG48" i="57"/>
  <c r="AH43" i="57"/>
  <c r="AH46" i="57"/>
  <c r="AH47" i="57"/>
  <c r="AG75" i="57"/>
  <c r="AG80" i="57"/>
  <c r="AG11" i="57"/>
  <c r="AJ68" i="57"/>
  <c r="AK60" i="57"/>
  <c r="AK65" i="57"/>
  <c r="AK66" i="57"/>
  <c r="AJ77" i="57"/>
  <c r="X52" i="41"/>
  <c r="AH48" i="57"/>
  <c r="AI43" i="57"/>
  <c r="AI46" i="57"/>
  <c r="AI47" i="57"/>
  <c r="AH75" i="57"/>
  <c r="AH80" i="57"/>
  <c r="AH11" i="57"/>
  <c r="AK68" i="57"/>
  <c r="AL60" i="57"/>
  <c r="AL65" i="57"/>
  <c r="AL66" i="57"/>
  <c r="AK77" i="57"/>
  <c r="AI48" i="57"/>
  <c r="AJ43" i="57"/>
  <c r="AJ46" i="57"/>
  <c r="AJ47" i="57"/>
  <c r="AI75" i="57"/>
  <c r="AI80" i="57"/>
  <c r="AI11" i="57"/>
  <c r="AL68" i="57"/>
  <c r="AM60" i="57"/>
  <c r="AM65" i="57"/>
  <c r="AM66" i="57"/>
  <c r="AL77" i="57"/>
  <c r="Y52" i="41"/>
  <c r="AJ48" i="57"/>
  <c r="AK43" i="57"/>
  <c r="AK46" i="57"/>
  <c r="AK47" i="57"/>
  <c r="AJ75" i="57"/>
  <c r="AJ80" i="57"/>
  <c r="AJ11" i="57"/>
  <c r="AM68" i="57"/>
  <c r="AN60" i="57"/>
  <c r="AN65" i="57"/>
  <c r="AM77" i="57"/>
  <c r="AK48" i="57"/>
  <c r="AL43" i="57"/>
  <c r="AL46" i="57"/>
  <c r="AK75" i="57"/>
  <c r="AK80" i="57"/>
  <c r="AK11" i="57"/>
  <c r="AN66" i="57"/>
  <c r="AN77" i="57"/>
  <c r="Z52" i="41"/>
  <c r="AL47" i="57"/>
  <c r="AL75" i="57"/>
  <c r="AL80" i="57"/>
  <c r="AL11" i="57"/>
  <c r="AN68" i="57"/>
  <c r="AO60" i="57"/>
  <c r="AO65" i="57"/>
  <c r="AO66" i="57"/>
  <c r="AO77" i="57"/>
  <c r="AL48" i="57"/>
  <c r="AM43" i="57"/>
  <c r="AM46" i="57"/>
  <c r="AO68" i="57"/>
  <c r="AP60" i="57"/>
  <c r="AP65" i="57"/>
  <c r="AP66" i="57"/>
  <c r="AP77" i="57"/>
  <c r="AM47" i="57"/>
  <c r="AM75" i="57"/>
  <c r="AM80" i="57"/>
  <c r="AM11" i="57"/>
  <c r="AP68" i="57"/>
  <c r="AQ60" i="57"/>
  <c r="AQ65" i="57"/>
  <c r="AQ66" i="57"/>
  <c r="AQ68" i="57"/>
  <c r="AR60" i="57"/>
  <c r="AR65" i="57"/>
  <c r="AR66" i="57"/>
  <c r="AA52" i="41"/>
  <c r="AA46" i="41"/>
  <c r="AQ77" i="57"/>
  <c r="AM48" i="57"/>
  <c r="AN43" i="57"/>
  <c r="AN46" i="57"/>
  <c r="AR68" i="57"/>
  <c r="AS60" i="57"/>
  <c r="AS65" i="57"/>
  <c r="AS66" i="57"/>
  <c r="AR77" i="57"/>
  <c r="AB52" i="41"/>
  <c r="AN47" i="57"/>
  <c r="AN75" i="57"/>
  <c r="AN80" i="57"/>
  <c r="AN11" i="57"/>
  <c r="AS68" i="57"/>
  <c r="AT60" i="57"/>
  <c r="AT65" i="57"/>
  <c r="AS77" i="57"/>
  <c r="AN48" i="57"/>
  <c r="AO43" i="57"/>
  <c r="AO46" i="57"/>
  <c r="AO47" i="57"/>
  <c r="AT66" i="57"/>
  <c r="AT77" i="57"/>
  <c r="AC52" i="41"/>
  <c r="AT68" i="57"/>
  <c r="AU60" i="57"/>
  <c r="AU65" i="57"/>
  <c r="AU66" i="57"/>
  <c r="AU68" i="57"/>
  <c r="AV60" i="57"/>
  <c r="AV65" i="57"/>
  <c r="AV66" i="57"/>
  <c r="AO48" i="57"/>
  <c r="AP43" i="57"/>
  <c r="AP46" i="57"/>
  <c r="AP47" i="57"/>
  <c r="AO75" i="57"/>
  <c r="AO80" i="57"/>
  <c r="AO11" i="57"/>
  <c r="AU77" i="57"/>
  <c r="AP48" i="57"/>
  <c r="AQ43" i="57"/>
  <c r="AQ46" i="57"/>
  <c r="AQ47" i="57"/>
  <c r="AP75" i="57"/>
  <c r="AP80" i="57"/>
  <c r="AP11" i="57"/>
  <c r="AV68" i="57"/>
  <c r="AW60" i="57"/>
  <c r="AW65" i="57"/>
  <c r="AW66" i="57"/>
  <c r="AV77" i="57"/>
  <c r="AD52" i="41"/>
  <c r="AQ48" i="57"/>
  <c r="AR43" i="57"/>
  <c r="AR46" i="57"/>
  <c r="AR47" i="57"/>
  <c r="AQ75" i="57"/>
  <c r="AQ80" i="57"/>
  <c r="AQ11" i="57"/>
  <c r="AW68" i="57"/>
  <c r="AX60" i="57"/>
  <c r="AX65" i="57"/>
  <c r="AW77" i="57"/>
  <c r="AR48" i="57"/>
  <c r="AS43" i="57"/>
  <c r="AS46" i="57"/>
  <c r="AS47" i="57"/>
  <c r="AR75" i="57"/>
  <c r="AR80" i="57"/>
  <c r="AR11" i="57"/>
  <c r="AX66" i="57"/>
  <c r="AX77" i="57"/>
  <c r="AE52" i="41"/>
  <c r="AS48" i="57"/>
  <c r="AT43" i="57"/>
  <c r="AT46" i="57"/>
  <c r="AS75" i="57"/>
  <c r="AS80" i="57"/>
  <c r="AS11" i="57"/>
  <c r="AX68" i="57"/>
  <c r="AT47" i="57"/>
  <c r="AT75" i="57"/>
  <c r="AT80" i="57"/>
  <c r="AT11" i="57"/>
  <c r="AF52" i="41"/>
  <c r="AT48" i="57"/>
  <c r="AU43" i="57"/>
  <c r="AU46" i="57"/>
  <c r="AU47" i="57"/>
  <c r="AU75" i="57"/>
  <c r="AU80" i="57"/>
  <c r="AU11" i="57"/>
  <c r="AU48" i="57"/>
  <c r="AV43" i="57"/>
  <c r="AV46" i="57"/>
  <c r="AV47" i="57"/>
  <c r="AV75" i="57"/>
  <c r="AV80" i="57"/>
  <c r="AV11" i="57"/>
  <c r="AG52" i="41"/>
  <c r="AG46" i="41"/>
  <c r="AV48" i="57"/>
  <c r="AW43" i="57"/>
  <c r="AW46" i="57"/>
  <c r="AW47" i="57"/>
  <c r="AH52" i="41"/>
  <c r="AW48" i="57"/>
  <c r="AX43" i="57"/>
  <c r="AX46" i="57"/>
  <c r="AX47" i="57"/>
  <c r="AW75" i="57"/>
  <c r="AW80" i="57"/>
  <c r="AW11" i="57"/>
  <c r="AX48" i="57"/>
  <c r="AX75" i="57"/>
  <c r="AX80" i="57"/>
  <c r="AX11" i="57"/>
  <c r="AI52" i="41"/>
  <c r="AJ52" i="41"/>
  <c r="AK52" i="41"/>
  <c r="AL52" i="41"/>
  <c r="AM52" i="41"/>
  <c r="AM46" i="41"/>
  <c r="AN52" i="41"/>
  <c r="AT52" i="41"/>
  <c r="AO52" i="41"/>
  <c r="AU52" i="41"/>
  <c r="AP52" i="41"/>
  <c r="AV52" i="41"/>
  <c r="AQ52" i="41"/>
  <c r="AW52" i="41"/>
  <c r="AR52" i="41"/>
  <c r="O39" i="41"/>
  <c r="AX52" i="41"/>
  <c r="AX46" i="41"/>
  <c r="AS52" i="41"/>
  <c r="AS46" i="41"/>
  <c r="Q23" i="41" l="1"/>
  <c r="Q36" i="60" s="1"/>
  <c r="P28" i="41"/>
  <c r="P32" i="41" s="1"/>
  <c r="P44" i="41" s="1"/>
  <c r="Q35" i="60"/>
  <c r="R25" i="41"/>
  <c r="S25" i="41" s="1"/>
  <c r="S38" i="60" s="1"/>
  <c r="Q24" i="41"/>
  <c r="Q28" i="41" s="1"/>
  <c r="Q32" i="41" s="1"/>
  <c r="Q32" i="60" s="1"/>
  <c r="R26" i="41"/>
  <c r="S26" i="41" s="1"/>
  <c r="S39" i="60" s="1"/>
  <c r="Q34" i="60"/>
  <c r="R33" i="60"/>
  <c r="S20" i="41"/>
  <c r="S21" i="41"/>
  <c r="R34" i="60"/>
  <c r="R23" i="41"/>
  <c r="S22" i="41"/>
  <c r="R35" i="60"/>
  <c r="AI6" i="56"/>
  <c r="AI15" i="56" s="1"/>
  <c r="AI28" i="56" s="1"/>
  <c r="AI9" i="57"/>
  <c r="AW75" i="41"/>
  <c r="AW88" i="41" s="1"/>
  <c r="AW30" i="41"/>
  <c r="AW29" i="60"/>
  <c r="AS75" i="41"/>
  <c r="AS88" i="41" s="1"/>
  <c r="AS30" i="41"/>
  <c r="AO75" i="41"/>
  <c r="AO88" i="41" s="1"/>
  <c r="AO30" i="41"/>
  <c r="AO29" i="60"/>
  <c r="AE6" i="56"/>
  <c r="AE15" i="56" s="1"/>
  <c r="AE28" i="56" s="1"/>
  <c r="AE9" i="57"/>
  <c r="R9" i="57"/>
  <c r="R6" i="56"/>
  <c r="R15" i="56" s="1"/>
  <c r="R28" i="56" s="1"/>
  <c r="AM29" i="60"/>
  <c r="AM75" i="41"/>
  <c r="AM88" i="41" s="1"/>
  <c r="AM30" i="41"/>
  <c r="AE29" i="60"/>
  <c r="AE75" i="41"/>
  <c r="AE88" i="41" s="1"/>
  <c r="AA29" i="60"/>
  <c r="AA75" i="41"/>
  <c r="AA88" i="41" s="1"/>
  <c r="AA30" i="41"/>
  <c r="W75" i="41"/>
  <c r="W88" i="41" s="1"/>
  <c r="W30" i="41"/>
  <c r="S29" i="60"/>
  <c r="S30" i="41"/>
  <c r="S75" i="41"/>
  <c r="S88" i="41" s="1"/>
  <c r="S68" i="41"/>
  <c r="AP6" i="56"/>
  <c r="AP15" i="56" s="1"/>
  <c r="AP28" i="56" s="1"/>
  <c r="AP9" i="57"/>
  <c r="AI75" i="41"/>
  <c r="AI88" i="41" s="1"/>
  <c r="AB6" i="56"/>
  <c r="AB15" i="56" s="1"/>
  <c r="AB28" i="56" s="1"/>
  <c r="AU6" i="56"/>
  <c r="AU15" i="56" s="1"/>
  <c r="AU28" i="56" s="1"/>
  <c r="AU9" i="57"/>
  <c r="P9" i="57"/>
  <c r="P6" i="56"/>
  <c r="P15" i="56" s="1"/>
  <c r="P28" i="56" s="1"/>
  <c r="AN6" i="56"/>
  <c r="AN15" i="56" s="1"/>
  <c r="AN28" i="56" s="1"/>
  <c r="AN9" i="57"/>
  <c r="P5" i="56" l="1"/>
  <c r="P14" i="56" s="1"/>
  <c r="P27" i="56" s="1"/>
  <c r="P40" i="60"/>
  <c r="P34" i="41"/>
  <c r="P58" i="41"/>
  <c r="P59" i="41" s="1"/>
  <c r="P73" i="41" s="1"/>
  <c r="P86" i="41" s="1"/>
  <c r="P8" i="57"/>
  <c r="P32" i="60"/>
  <c r="T26" i="41"/>
  <c r="T39" i="60" s="1"/>
  <c r="R38" i="60"/>
  <c r="R39" i="60"/>
  <c r="Q34" i="41"/>
  <c r="Q37" i="60"/>
  <c r="R24" i="41"/>
  <c r="T25" i="41"/>
  <c r="T38" i="60" s="1"/>
  <c r="Q40" i="60"/>
  <c r="Q58" i="41"/>
  <c r="Q59" i="41" s="1"/>
  <c r="Q65" i="41" s="1"/>
  <c r="Q8" i="57"/>
  <c r="T20" i="41"/>
  <c r="S33" i="60"/>
  <c r="Q44" i="41"/>
  <c r="Q5" i="56"/>
  <c r="Q14" i="56" s="1"/>
  <c r="Q27" i="56" s="1"/>
  <c r="S23" i="41"/>
  <c r="R36" i="60"/>
  <c r="T21" i="41"/>
  <c r="S34" i="60"/>
  <c r="T22" i="41"/>
  <c r="S35" i="60"/>
  <c r="AS6" i="56"/>
  <c r="AS15" i="56" s="1"/>
  <c r="AS28" i="56" s="1"/>
  <c r="AS9" i="57"/>
  <c r="S9" i="57"/>
  <c r="S6" i="56"/>
  <c r="S15" i="56" s="1"/>
  <c r="S28" i="56" s="1"/>
  <c r="AA6" i="56"/>
  <c r="AA15" i="56" s="1"/>
  <c r="AA28" i="56" s="1"/>
  <c r="AA9" i="57"/>
  <c r="AM9" i="57"/>
  <c r="AM6" i="56"/>
  <c r="AM15" i="56" s="1"/>
  <c r="AM28" i="56" s="1"/>
  <c r="AO6" i="56"/>
  <c r="AO15" i="56" s="1"/>
  <c r="AO28" i="56" s="1"/>
  <c r="AO9" i="57"/>
  <c r="W6" i="56"/>
  <c r="W15" i="56" s="1"/>
  <c r="W28" i="56" s="1"/>
  <c r="W9" i="57"/>
  <c r="AW9" i="57"/>
  <c r="AW6" i="56"/>
  <c r="AW15" i="56" s="1"/>
  <c r="AW28" i="56" s="1"/>
  <c r="P65" i="41" l="1"/>
  <c r="P66" i="41" s="1"/>
  <c r="Q63" i="41" s="1"/>
  <c r="Q64" i="41" s="1"/>
  <c r="Q66" i="41" s="1"/>
  <c r="R63" i="41" s="1"/>
  <c r="P61" i="41"/>
  <c r="U26" i="41"/>
  <c r="V26" i="41" s="1"/>
  <c r="U25" i="41"/>
  <c r="U38" i="60" s="1"/>
  <c r="S24" i="41"/>
  <c r="R37" i="60"/>
  <c r="R28" i="41"/>
  <c r="U20" i="41"/>
  <c r="T33" i="60"/>
  <c r="S36" i="60"/>
  <c r="T23" i="41"/>
  <c r="T34" i="60"/>
  <c r="U21" i="41"/>
  <c r="U22" i="41"/>
  <c r="T35" i="60"/>
  <c r="U39" i="60"/>
  <c r="Q73" i="41"/>
  <c r="P50" i="41"/>
  <c r="P53" i="41" s="1"/>
  <c r="Q57" i="41"/>
  <c r="V25" i="41" l="1"/>
  <c r="V38" i="60" s="1"/>
  <c r="R8" i="57"/>
  <c r="R5" i="56"/>
  <c r="R14" i="56" s="1"/>
  <c r="R27" i="56" s="1"/>
  <c r="R40" i="60"/>
  <c r="R32" i="41"/>
  <c r="T24" i="41"/>
  <c r="S37" i="60"/>
  <c r="S28" i="41"/>
  <c r="U33" i="60"/>
  <c r="V20" i="41"/>
  <c r="V21" i="41"/>
  <c r="U34" i="60"/>
  <c r="U23" i="41"/>
  <c r="T36" i="60"/>
  <c r="W26" i="41"/>
  <c r="V39" i="60"/>
  <c r="V22" i="41"/>
  <c r="U35" i="60"/>
  <c r="R64" i="41"/>
  <c r="Q60" i="41"/>
  <c r="Q61" i="41" s="1"/>
  <c r="Q86" i="41"/>
  <c r="P55" i="41"/>
  <c r="P8" i="56"/>
  <c r="P17" i="56" s="1"/>
  <c r="P41" i="56" s="1"/>
  <c r="P77" i="41"/>
  <c r="W25" i="41" l="1"/>
  <c r="S32" i="41"/>
  <c r="S8" i="57"/>
  <c r="S40" i="60"/>
  <c r="S5" i="56"/>
  <c r="S14" i="56" s="1"/>
  <c r="S27" i="56" s="1"/>
  <c r="T37" i="60"/>
  <c r="U24" i="41"/>
  <c r="R58" i="41"/>
  <c r="R59" i="41" s="1"/>
  <c r="R32" i="60"/>
  <c r="R34" i="41"/>
  <c r="R44" i="41"/>
  <c r="T28" i="41"/>
  <c r="V33" i="60"/>
  <c r="W20" i="41"/>
  <c r="X25" i="41"/>
  <c r="W38" i="60"/>
  <c r="U36" i="60"/>
  <c r="V23" i="41"/>
  <c r="W21" i="41"/>
  <c r="V34" i="60"/>
  <c r="V35" i="60"/>
  <c r="W22" i="41"/>
  <c r="X26" i="41"/>
  <c r="W39" i="60"/>
  <c r="P90" i="41"/>
  <c r="P92" i="41" s="1"/>
  <c r="P93" i="41" s="1"/>
  <c r="P79" i="41"/>
  <c r="P80" i="41" s="1"/>
  <c r="P4" i="56"/>
  <c r="P13" i="56" s="1"/>
  <c r="P20" i="56" s="1"/>
  <c r="P69" i="41"/>
  <c r="P70" i="41" s="1"/>
  <c r="R57" i="41"/>
  <c r="Q50" i="41"/>
  <c r="Q53" i="41" s="1"/>
  <c r="T5" i="56" l="1"/>
  <c r="T14" i="56" s="1"/>
  <c r="T27" i="56" s="1"/>
  <c r="T32" i="41"/>
  <c r="T8" i="57"/>
  <c r="T40" i="60"/>
  <c r="R65" i="41"/>
  <c r="R66" i="41" s="1"/>
  <c r="S63" i="41" s="1"/>
  <c r="R73" i="41"/>
  <c r="R86" i="41" s="1"/>
  <c r="V24" i="41"/>
  <c r="V28" i="41" s="1"/>
  <c r="U37" i="60"/>
  <c r="U28" i="41"/>
  <c r="S34" i="41"/>
  <c r="S32" i="60"/>
  <c r="S44" i="41"/>
  <c r="S58" i="41"/>
  <c r="S59" i="41" s="1"/>
  <c r="S65" i="41" s="1"/>
  <c r="X20" i="41"/>
  <c r="W33" i="60"/>
  <c r="Y25" i="41"/>
  <c r="X38" i="60"/>
  <c r="V36" i="60"/>
  <c r="W23" i="41"/>
  <c r="X21" i="41"/>
  <c r="W34" i="60"/>
  <c r="Y26" i="41"/>
  <c r="X39" i="60"/>
  <c r="X22" i="41"/>
  <c r="W35" i="60"/>
  <c r="Q48" i="56"/>
  <c r="P21" i="56"/>
  <c r="Q55" i="41"/>
  <c r="Q77" i="41"/>
  <c r="Q8" i="56"/>
  <c r="Q17" i="56" s="1"/>
  <c r="Q41" i="56" s="1"/>
  <c r="R60" i="41"/>
  <c r="R61" i="41" s="1"/>
  <c r="V40" i="60" l="1"/>
  <c r="V5" i="56"/>
  <c r="V14" i="56" s="1"/>
  <c r="V27" i="56" s="1"/>
  <c r="V8" i="57"/>
  <c r="V32" i="41"/>
  <c r="V34" i="41" s="1"/>
  <c r="U32" i="41"/>
  <c r="U40" i="60"/>
  <c r="U8" i="57"/>
  <c r="U5" i="56"/>
  <c r="U14" i="56" s="1"/>
  <c r="U27" i="56" s="1"/>
  <c r="T58" i="41"/>
  <c r="T59" i="41" s="1"/>
  <c r="T65" i="41" s="1"/>
  <c r="T32" i="60"/>
  <c r="T34" i="41"/>
  <c r="T44" i="41"/>
  <c r="V37" i="60"/>
  <c r="W24" i="41"/>
  <c r="S64" i="41"/>
  <c r="S66" i="41" s="1"/>
  <c r="T63" i="41" s="1"/>
  <c r="S73" i="41"/>
  <c r="S86" i="41" s="1"/>
  <c r="X33" i="60"/>
  <c r="Y20" i="41"/>
  <c r="Z25" i="41"/>
  <c r="Y38" i="60"/>
  <c r="X23" i="41"/>
  <c r="W36" i="60"/>
  <c r="W28" i="41"/>
  <c r="W8" i="57" s="1"/>
  <c r="Y21" i="41"/>
  <c r="X34" i="60"/>
  <c r="Y22" i="41"/>
  <c r="X35" i="60"/>
  <c r="V58" i="41"/>
  <c r="Z26" i="41"/>
  <c r="Y39" i="60"/>
  <c r="S57" i="41"/>
  <c r="R50" i="41"/>
  <c r="R53" i="41" s="1"/>
  <c r="P23" i="56"/>
  <c r="P58" i="56"/>
  <c r="Q90" i="41"/>
  <c r="Q92" i="41" s="1"/>
  <c r="Q93" i="41" s="1"/>
  <c r="Q79" i="41"/>
  <c r="Q80" i="41" s="1"/>
  <c r="Q69" i="41"/>
  <c r="Q70" i="41" s="1"/>
  <c r="Q4" i="56"/>
  <c r="Q13" i="56" s="1"/>
  <c r="Q20" i="56" s="1"/>
  <c r="T73" i="41" l="1"/>
  <c r="T86" i="41" s="1"/>
  <c r="T64" i="41"/>
  <c r="T66" i="41" s="1"/>
  <c r="U63" i="41" s="1"/>
  <c r="V32" i="60"/>
  <c r="V44" i="41"/>
  <c r="X24" i="41"/>
  <c r="W37" i="60"/>
  <c r="U34" i="41"/>
  <c r="U32" i="60"/>
  <c r="U44" i="41"/>
  <c r="U47" i="41" s="1"/>
  <c r="U58" i="41"/>
  <c r="U59" i="41" s="1"/>
  <c r="U65" i="41" s="1"/>
  <c r="W32" i="41"/>
  <c r="W32" i="60" s="1"/>
  <c r="Z20" i="41"/>
  <c r="Y33" i="60"/>
  <c r="W5" i="56"/>
  <c r="W14" i="56" s="1"/>
  <c r="W27" i="56" s="1"/>
  <c r="W40" i="60"/>
  <c r="Z38" i="60"/>
  <c r="AA25" i="41"/>
  <c r="X36" i="60"/>
  <c r="Y23" i="41"/>
  <c r="Z21" i="41"/>
  <c r="Y34" i="60"/>
  <c r="Y35" i="60"/>
  <c r="Z22" i="41"/>
  <c r="V59" i="41"/>
  <c r="V65" i="41" s="1"/>
  <c r="AA26" i="41"/>
  <c r="Z39" i="60"/>
  <c r="W44" i="41"/>
  <c r="R48" i="56"/>
  <c r="Q21" i="56"/>
  <c r="P25" i="56"/>
  <c r="P54" i="56"/>
  <c r="P57" i="56" s="1"/>
  <c r="P59" i="56" s="1"/>
  <c r="P66" i="56" s="1"/>
  <c r="R77" i="41"/>
  <c r="R55" i="41"/>
  <c r="R8" i="56"/>
  <c r="R17" i="56" s="1"/>
  <c r="R41" i="56" s="1"/>
  <c r="S60" i="41"/>
  <c r="S61" i="41" s="1"/>
  <c r="W58" i="41" l="1"/>
  <c r="W59" i="41" s="1"/>
  <c r="W65" i="41" s="1"/>
  <c r="W34" i="41"/>
  <c r="U64" i="41"/>
  <c r="U66" i="41" s="1"/>
  <c r="V63" i="41" s="1"/>
  <c r="V64" i="41" s="1"/>
  <c r="U73" i="41"/>
  <c r="U86" i="41" s="1"/>
  <c r="U42" i="41"/>
  <c r="U43" i="60"/>
  <c r="Y24" i="41"/>
  <c r="Y28" i="41" s="1"/>
  <c r="Y5" i="56" s="1"/>
  <c r="Y14" i="56" s="1"/>
  <c r="Y27" i="56" s="1"/>
  <c r="X37" i="60"/>
  <c r="X28" i="41"/>
  <c r="AA20" i="41"/>
  <c r="Z33" i="60"/>
  <c r="AA38" i="60"/>
  <c r="AB25" i="41"/>
  <c r="Z34" i="60"/>
  <c r="AA21" i="41"/>
  <c r="Y36" i="60"/>
  <c r="Z23" i="41"/>
  <c r="AA22" i="41"/>
  <c r="Z35" i="60"/>
  <c r="V66" i="41"/>
  <c r="W63" i="41" s="1"/>
  <c r="W73" i="41" s="1"/>
  <c r="AB26" i="41"/>
  <c r="AA39" i="60"/>
  <c r="R69" i="41"/>
  <c r="R70" i="41" s="1"/>
  <c r="R4" i="56"/>
  <c r="R13" i="56" s="1"/>
  <c r="R20" i="56" s="1"/>
  <c r="Q58" i="56"/>
  <c r="Q23" i="56"/>
  <c r="T57" i="41"/>
  <c r="S50" i="41"/>
  <c r="S53" i="41" s="1"/>
  <c r="R90" i="41"/>
  <c r="R92" i="41" s="1"/>
  <c r="R93" i="41" s="1"/>
  <c r="R79" i="41"/>
  <c r="R80" i="41" s="1"/>
  <c r="P10" i="57"/>
  <c r="P12" i="57" s="1"/>
  <c r="P30" i="56"/>
  <c r="Y32" i="41" l="1"/>
  <c r="Y32" i="60" s="1"/>
  <c r="Y8" i="57"/>
  <c r="Y37" i="60"/>
  <c r="Z24" i="41"/>
  <c r="Y40" i="60"/>
  <c r="V73" i="41"/>
  <c r="V86" i="41" s="1"/>
  <c r="X32" i="41"/>
  <c r="X5" i="56"/>
  <c r="X14" i="56" s="1"/>
  <c r="X27" i="56" s="1"/>
  <c r="X40" i="60"/>
  <c r="X8" i="57"/>
  <c r="U42" i="60"/>
  <c r="AA45" i="41"/>
  <c r="AB20" i="41"/>
  <c r="AA33" i="60"/>
  <c r="W64" i="41"/>
  <c r="W66" i="41" s="1"/>
  <c r="X63" i="41" s="1"/>
  <c r="X64" i="41" s="1"/>
  <c r="AC25" i="41"/>
  <c r="AB38" i="60"/>
  <c r="Z36" i="60"/>
  <c r="AA23" i="41"/>
  <c r="AB21" i="41"/>
  <c r="AA34" i="60"/>
  <c r="AC26" i="41"/>
  <c r="AB39" i="60"/>
  <c r="AA35" i="60"/>
  <c r="AB22" i="41"/>
  <c r="P42" i="56"/>
  <c r="P44" i="56" s="1"/>
  <c r="P50" i="56" s="1"/>
  <c r="P34" i="56"/>
  <c r="P36" i="56" s="1"/>
  <c r="S77" i="41"/>
  <c r="S55" i="41"/>
  <c r="S8" i="56"/>
  <c r="S17" i="56" s="1"/>
  <c r="S41" i="56" s="1"/>
  <c r="Q54" i="56"/>
  <c r="Q57" i="56" s="1"/>
  <c r="Q59" i="56" s="1"/>
  <c r="Q66" i="56" s="1"/>
  <c r="Q25" i="56"/>
  <c r="P21" i="57"/>
  <c r="P16" i="57"/>
  <c r="P20" i="57" s="1"/>
  <c r="P15" i="57"/>
  <c r="P24" i="57"/>
  <c r="P25" i="57" s="1"/>
  <c r="T60" i="41"/>
  <c r="T61" i="41" s="1"/>
  <c r="S48" i="56"/>
  <c r="R21" i="56"/>
  <c r="W86" i="41"/>
  <c r="Y58" i="41" l="1"/>
  <c r="Y59" i="41" s="1"/>
  <c r="Y65" i="41" s="1"/>
  <c r="Y34" i="41"/>
  <c r="Y44" i="41"/>
  <c r="Z37" i="60"/>
  <c r="AA24" i="41"/>
  <c r="X58" i="41"/>
  <c r="X59" i="41" s="1"/>
  <c r="X65" i="41" s="1"/>
  <c r="X66" i="41" s="1"/>
  <c r="Y63" i="41" s="1"/>
  <c r="X44" i="41"/>
  <c r="X34" i="41"/>
  <c r="X32" i="60"/>
  <c r="Z28" i="41"/>
  <c r="Z32" i="41" s="1"/>
  <c r="Z58" i="41" s="1"/>
  <c r="Z59" i="41" s="1"/>
  <c r="Z65" i="41" s="1"/>
  <c r="AC20" i="41"/>
  <c r="AB33" i="60"/>
  <c r="AC38" i="60"/>
  <c r="AD25" i="41"/>
  <c r="AB34" i="60"/>
  <c r="AC21" i="41"/>
  <c r="AB23" i="41"/>
  <c r="AA36" i="60"/>
  <c r="AC39" i="60"/>
  <c r="AD26" i="41"/>
  <c r="AC22" i="41"/>
  <c r="AB35" i="60"/>
  <c r="P22" i="57"/>
  <c r="Q19" i="57" s="1"/>
  <c r="T50" i="41"/>
  <c r="T53" i="41" s="1"/>
  <c r="U57" i="41"/>
  <c r="P26" i="57"/>
  <c r="P29" i="56"/>
  <c r="P31" i="56" s="1"/>
  <c r="Q10" i="57"/>
  <c r="Q12" i="57" s="1"/>
  <c r="Q30" i="56"/>
  <c r="S90" i="41"/>
  <c r="S92" i="41" s="1"/>
  <c r="S93" i="41" s="1"/>
  <c r="S79" i="41"/>
  <c r="S80" i="41" s="1"/>
  <c r="R58" i="56"/>
  <c r="R23" i="56"/>
  <c r="S69" i="41"/>
  <c r="S70" i="41" s="1"/>
  <c r="S4" i="56"/>
  <c r="S13" i="56" s="1"/>
  <c r="S20" i="56" s="1"/>
  <c r="Z8" i="57" l="1"/>
  <c r="Y64" i="41"/>
  <c r="Y66" i="41" s="1"/>
  <c r="Z63" i="41" s="1"/>
  <c r="Z73" i="41" s="1"/>
  <c r="Y73" i="41"/>
  <c r="Z32" i="60"/>
  <c r="Z5" i="56"/>
  <c r="Z14" i="56" s="1"/>
  <c r="Z27" i="56" s="1"/>
  <c r="Z44" i="41"/>
  <c r="Z34" i="41"/>
  <c r="Z40" i="60"/>
  <c r="AA37" i="60"/>
  <c r="AB24" i="41"/>
  <c r="AA28" i="41"/>
  <c r="Q15" i="57"/>
  <c r="X73" i="41"/>
  <c r="X86" i="41" s="1"/>
  <c r="AC33" i="60"/>
  <c r="AD20" i="41"/>
  <c r="AE25" i="41"/>
  <c r="AD38" i="60"/>
  <c r="Q16" i="57"/>
  <c r="Q20" i="57" s="1"/>
  <c r="AB36" i="60"/>
  <c r="AC23" i="41"/>
  <c r="AC34" i="60"/>
  <c r="AD21" i="41"/>
  <c r="AE26" i="41"/>
  <c r="AD39" i="60"/>
  <c r="AC35" i="60"/>
  <c r="AD22" i="41"/>
  <c r="T48" i="56"/>
  <c r="S21" i="56"/>
  <c r="R25" i="56"/>
  <c r="R54" i="56"/>
  <c r="R57" i="56" s="1"/>
  <c r="R59" i="56" s="1"/>
  <c r="R66" i="56" s="1"/>
  <c r="Y86" i="41"/>
  <c r="U60" i="41"/>
  <c r="U61" i="41" s="1"/>
  <c r="P53" i="56"/>
  <c r="P55" i="56" s="1"/>
  <c r="P65" i="56" s="1"/>
  <c r="P39" i="56"/>
  <c r="P43" i="56" s="1"/>
  <c r="P33" i="56"/>
  <c r="P35" i="56" s="1"/>
  <c r="P37" i="56" s="1"/>
  <c r="P62" i="56" s="1"/>
  <c r="Q34" i="56"/>
  <c r="Q36" i="56" s="1"/>
  <c r="Q42" i="56"/>
  <c r="Q44" i="56" s="1"/>
  <c r="Q50" i="56" s="1"/>
  <c r="Q21" i="57"/>
  <c r="Q22" i="57" s="1"/>
  <c r="R19" i="57" s="1"/>
  <c r="Q24" i="57"/>
  <c r="Q25" i="57" s="1"/>
  <c r="T8" i="56"/>
  <c r="T17" i="56" s="1"/>
  <c r="T41" i="56" s="1"/>
  <c r="T77" i="41"/>
  <c r="T55" i="41"/>
  <c r="Z64" i="41" l="1"/>
  <c r="Z66" i="41" s="1"/>
  <c r="AA63" i="41" s="1"/>
  <c r="AC24" i="41"/>
  <c r="AB37" i="60"/>
  <c r="AB28" i="41"/>
  <c r="AA40" i="60"/>
  <c r="AA32" i="41"/>
  <c r="AA8" i="57"/>
  <c r="AA5" i="56"/>
  <c r="AA14" i="56" s="1"/>
  <c r="AA27" i="56" s="1"/>
  <c r="AE20" i="41"/>
  <c r="AD33" i="60"/>
  <c r="AF25" i="41"/>
  <c r="AE38" i="60"/>
  <c r="AD34" i="60"/>
  <c r="AE21" i="41"/>
  <c r="AD23" i="41"/>
  <c r="AC36" i="60"/>
  <c r="AE22" i="41"/>
  <c r="AD35" i="60"/>
  <c r="AF26" i="41"/>
  <c r="AE39" i="60"/>
  <c r="AA64" i="41"/>
  <c r="V57" i="41"/>
  <c r="U50" i="41"/>
  <c r="U53" i="41" s="1"/>
  <c r="P47" i="56"/>
  <c r="P49" i="56" s="1"/>
  <c r="P51" i="56" s="1"/>
  <c r="P64" i="56" s="1"/>
  <c r="P45" i="56"/>
  <c r="P63" i="56" s="1"/>
  <c r="Z86" i="41"/>
  <c r="T4" i="56"/>
  <c r="T13" i="56" s="1"/>
  <c r="T20" i="56" s="1"/>
  <c r="T69" i="41"/>
  <c r="T70" i="41" s="1"/>
  <c r="T90" i="41"/>
  <c r="T92" i="41" s="1"/>
  <c r="T93" i="41" s="1"/>
  <c r="T79" i="41"/>
  <c r="T80" i="41" s="1"/>
  <c r="R30" i="56"/>
  <c r="R10" i="57"/>
  <c r="R12" i="57" s="1"/>
  <c r="Q29" i="56"/>
  <c r="Q31" i="56" s="1"/>
  <c r="Q26" i="57"/>
  <c r="S58" i="56"/>
  <c r="S23" i="56"/>
  <c r="AB8" i="57" l="1"/>
  <c r="AB40" i="60"/>
  <c r="AB5" i="56"/>
  <c r="AB14" i="56" s="1"/>
  <c r="AB27" i="56" s="1"/>
  <c r="AB32" i="41"/>
  <c r="AA32" i="60"/>
  <c r="AA44" i="41"/>
  <c r="AA47" i="41" s="1"/>
  <c r="AA34" i="41"/>
  <c r="AA58" i="41"/>
  <c r="AA59" i="41" s="1"/>
  <c r="AD24" i="41"/>
  <c r="AD28" i="41" s="1"/>
  <c r="AD32" i="41" s="1"/>
  <c r="AC37" i="60"/>
  <c r="AC28" i="41"/>
  <c r="AF20" i="41"/>
  <c r="AE33" i="60"/>
  <c r="AF38" i="60"/>
  <c r="AG25" i="41"/>
  <c r="AD36" i="60"/>
  <c r="AE23" i="41"/>
  <c r="AE34" i="60"/>
  <c r="AF21" i="41"/>
  <c r="AE35" i="60"/>
  <c r="AF22" i="41"/>
  <c r="AG26" i="41"/>
  <c r="AF39" i="60"/>
  <c r="V60" i="41"/>
  <c r="V61" i="41" s="1"/>
  <c r="Q33" i="56"/>
  <c r="Q35" i="56" s="1"/>
  <c r="Q37" i="56" s="1"/>
  <c r="Q62" i="56" s="1"/>
  <c r="Q39" i="56"/>
  <c r="Q43" i="56" s="1"/>
  <c r="Q53" i="56"/>
  <c r="Q55" i="56" s="1"/>
  <c r="Q65" i="56" s="1"/>
  <c r="U48" i="56"/>
  <c r="T21" i="56"/>
  <c r="S54" i="56"/>
  <c r="S57" i="56" s="1"/>
  <c r="S59" i="56" s="1"/>
  <c r="S66" i="56" s="1"/>
  <c r="S25" i="56"/>
  <c r="R24" i="57"/>
  <c r="R25" i="57" s="1"/>
  <c r="R21" i="57"/>
  <c r="R15" i="57"/>
  <c r="R42" i="56"/>
  <c r="R44" i="56" s="1"/>
  <c r="R50" i="56" s="1"/>
  <c r="R34" i="56"/>
  <c r="R36" i="56" s="1"/>
  <c r="U55" i="41"/>
  <c r="U77" i="41"/>
  <c r="U8" i="56"/>
  <c r="U17" i="56" s="1"/>
  <c r="U41" i="56" s="1"/>
  <c r="R16" i="57"/>
  <c r="R20" i="57" s="1"/>
  <c r="AA43" i="60" l="1"/>
  <c r="AA42" i="41"/>
  <c r="AC40" i="60"/>
  <c r="AC32" i="41"/>
  <c r="AC5" i="56"/>
  <c r="AC14" i="56" s="1"/>
  <c r="AC27" i="56" s="1"/>
  <c r="AC8" i="57"/>
  <c r="AB32" i="60"/>
  <c r="AB58" i="41"/>
  <c r="AB59" i="41" s="1"/>
  <c r="AB44" i="41"/>
  <c r="AB34" i="41"/>
  <c r="AE24" i="41"/>
  <c r="AD37" i="60"/>
  <c r="AA65" i="41"/>
  <c r="AA66" i="41" s="1"/>
  <c r="AB63" i="41" s="1"/>
  <c r="AB64" i="41" s="1"/>
  <c r="AA73" i="41"/>
  <c r="AA86" i="41" s="1"/>
  <c r="AF33" i="60"/>
  <c r="AG20" i="41"/>
  <c r="AG38" i="60"/>
  <c r="AH25" i="41"/>
  <c r="AD8" i="57"/>
  <c r="AD5" i="56"/>
  <c r="AD14" i="56" s="1"/>
  <c r="AD27" i="56" s="1"/>
  <c r="AD40" i="60"/>
  <c r="AF34" i="60"/>
  <c r="AG21" i="41"/>
  <c r="AF23" i="41"/>
  <c r="AE36" i="60"/>
  <c r="AG22" i="41"/>
  <c r="AF35" i="60"/>
  <c r="AH26" i="41"/>
  <c r="AG39" i="60"/>
  <c r="AD32" i="60"/>
  <c r="AD58" i="41"/>
  <c r="AD59" i="41" s="1"/>
  <c r="AD65" i="41" s="1"/>
  <c r="AD44" i="41"/>
  <c r="AD34" i="41"/>
  <c r="U90" i="41"/>
  <c r="U92" i="41" s="1"/>
  <c r="U93" i="41" s="1"/>
  <c r="U79" i="41"/>
  <c r="U80" i="41" s="1"/>
  <c r="T58" i="56"/>
  <c r="T23" i="56"/>
  <c r="U69" i="41"/>
  <c r="U70" i="41" s="1"/>
  <c r="U4" i="56"/>
  <c r="U13" i="56" s="1"/>
  <c r="U20" i="56" s="1"/>
  <c r="R29" i="56"/>
  <c r="R31" i="56" s="1"/>
  <c r="R26" i="57"/>
  <c r="Q45" i="56"/>
  <c r="Q63" i="56" s="1"/>
  <c r="Q47" i="56"/>
  <c r="Q49" i="56" s="1"/>
  <c r="Q51" i="56" s="1"/>
  <c r="Q64" i="56" s="1"/>
  <c r="V50" i="41"/>
  <c r="V53" i="41" s="1"/>
  <c r="W57" i="41"/>
  <c r="R22" i="57"/>
  <c r="S19" i="57" s="1"/>
  <c r="S30" i="56"/>
  <c r="S10" i="57"/>
  <c r="S12" i="57" s="1"/>
  <c r="AB73" i="41" l="1"/>
  <c r="AB86" i="41" s="1"/>
  <c r="AC32" i="60"/>
  <c r="AC44" i="41"/>
  <c r="AC34" i="41"/>
  <c r="AC58" i="41"/>
  <c r="AC59" i="41" s="1"/>
  <c r="AC65" i="41" s="1"/>
  <c r="AE37" i="60"/>
  <c r="AF24" i="41"/>
  <c r="AE28" i="41"/>
  <c r="AG45" i="41"/>
  <c r="AA42" i="60"/>
  <c r="AF28" i="41"/>
  <c r="AF40" i="60" s="1"/>
  <c r="AB65" i="41"/>
  <c r="AB66" i="41" s="1"/>
  <c r="AC63" i="41" s="1"/>
  <c r="AC64" i="41" s="1"/>
  <c r="AH20" i="41"/>
  <c r="AG33" i="60"/>
  <c r="AH38" i="60"/>
  <c r="AI25" i="41"/>
  <c r="AG23" i="41"/>
  <c r="AF36" i="60"/>
  <c r="AH21" i="41"/>
  <c r="AG34" i="60"/>
  <c r="AI26" i="41"/>
  <c r="AH39" i="60"/>
  <c r="AG35" i="60"/>
  <c r="AH22" i="41"/>
  <c r="S24" i="57"/>
  <c r="S25" i="57" s="1"/>
  <c r="S21" i="57"/>
  <c r="W60" i="41"/>
  <c r="W61" i="41" s="1"/>
  <c r="T54" i="56"/>
  <c r="T57" i="56" s="1"/>
  <c r="T59" i="56" s="1"/>
  <c r="T66" i="56" s="1"/>
  <c r="T25" i="56"/>
  <c r="R39" i="56"/>
  <c r="R43" i="56" s="1"/>
  <c r="R53" i="56"/>
  <c r="R55" i="56" s="1"/>
  <c r="R65" i="56" s="1"/>
  <c r="R33" i="56"/>
  <c r="R35" i="56" s="1"/>
  <c r="R37" i="56" s="1"/>
  <c r="R62" i="56" s="1"/>
  <c r="S42" i="56"/>
  <c r="S44" i="56" s="1"/>
  <c r="S50" i="56" s="1"/>
  <c r="S34" i="56"/>
  <c r="S36" i="56" s="1"/>
  <c r="V55" i="41"/>
  <c r="V4" i="56" s="1"/>
  <c r="V13" i="56" s="1"/>
  <c r="V20" i="56" s="1"/>
  <c r="V21" i="56" s="1"/>
  <c r="V77" i="41"/>
  <c r="V8" i="56"/>
  <c r="V17" i="56" s="1"/>
  <c r="V41" i="56" s="1"/>
  <c r="S15" i="57"/>
  <c r="S16" i="57"/>
  <c r="S20" i="57" s="1"/>
  <c r="S22" i="57" s="1"/>
  <c r="T19" i="57" s="1"/>
  <c r="V48" i="56"/>
  <c r="U21" i="56"/>
  <c r="AF5" i="56" l="1"/>
  <c r="AF14" i="56" s="1"/>
  <c r="AF27" i="56" s="1"/>
  <c r="AF32" i="41"/>
  <c r="AF58" i="41" s="1"/>
  <c r="AF59" i="41" s="1"/>
  <c r="AF65" i="41" s="1"/>
  <c r="AF8" i="57"/>
  <c r="AC73" i="41"/>
  <c r="AC86" i="41" s="1"/>
  <c r="AC66" i="41"/>
  <c r="AD63" i="41" s="1"/>
  <c r="AD64" i="41" s="1"/>
  <c r="AD66" i="41" s="1"/>
  <c r="AE63" i="41" s="1"/>
  <c r="AE40" i="60"/>
  <c r="AE8" i="57"/>
  <c r="AE5" i="56"/>
  <c r="AE14" i="56" s="1"/>
  <c r="AE27" i="56" s="1"/>
  <c r="AE32" i="41"/>
  <c r="AF37" i="60"/>
  <c r="AG24" i="41"/>
  <c r="AG28" i="41"/>
  <c r="AG40" i="60" s="1"/>
  <c r="AD73" i="41"/>
  <c r="AD86" i="41" s="1"/>
  <c r="AH33" i="60"/>
  <c r="AI20" i="41"/>
  <c r="AJ25" i="41"/>
  <c r="AI38" i="60"/>
  <c r="AH23" i="41"/>
  <c r="AG36" i="60"/>
  <c r="AH34" i="60"/>
  <c r="AI21" i="41"/>
  <c r="AI22" i="41"/>
  <c r="AH35" i="60"/>
  <c r="AJ26" i="41"/>
  <c r="AI39" i="60"/>
  <c r="AF44" i="41"/>
  <c r="AF34" i="41"/>
  <c r="AF32" i="60"/>
  <c r="AE64" i="41"/>
  <c r="R47" i="56"/>
  <c r="R49" i="56" s="1"/>
  <c r="R51" i="56" s="1"/>
  <c r="R64" i="56" s="1"/>
  <c r="R45" i="56"/>
  <c r="R63" i="56" s="1"/>
  <c r="X57" i="41"/>
  <c r="W50" i="41"/>
  <c r="W53" i="41" s="1"/>
  <c r="T30" i="56"/>
  <c r="T10" i="57"/>
  <c r="T12" i="57" s="1"/>
  <c r="T15" i="57" s="1"/>
  <c r="V58" i="56"/>
  <c r="V23" i="56"/>
  <c r="U58" i="56"/>
  <c r="U23" i="56"/>
  <c r="V90" i="41"/>
  <c r="V92" i="41" s="1"/>
  <c r="V93" i="41" s="1"/>
  <c r="V79" i="41"/>
  <c r="V80" i="41" s="1"/>
  <c r="W48" i="56"/>
  <c r="S29" i="56"/>
  <c r="S31" i="56" s="1"/>
  <c r="S26" i="57"/>
  <c r="AG8" i="57" l="1"/>
  <c r="AG5" i="56"/>
  <c r="AG14" i="56" s="1"/>
  <c r="AG27" i="56" s="1"/>
  <c r="AE44" i="41"/>
  <c r="AE58" i="41"/>
  <c r="AE59" i="41" s="1"/>
  <c r="AE34" i="41"/>
  <c r="AE32" i="60"/>
  <c r="AG32" i="41"/>
  <c r="AG34" i="41" s="1"/>
  <c r="AG37" i="60"/>
  <c r="AH24" i="41"/>
  <c r="AJ20" i="41"/>
  <c r="AI33" i="60"/>
  <c r="AK25" i="41"/>
  <c r="AJ38" i="60"/>
  <c r="AI34" i="60"/>
  <c r="AJ21" i="41"/>
  <c r="AH36" i="60"/>
  <c r="AI23" i="41"/>
  <c r="AI35" i="60"/>
  <c r="AJ22" i="41"/>
  <c r="AK26" i="41"/>
  <c r="AJ39" i="60"/>
  <c r="T16" i="57"/>
  <c r="T20" i="57" s="1"/>
  <c r="W77" i="41"/>
  <c r="W55" i="41"/>
  <c r="W4" i="56" s="1"/>
  <c r="W13" i="56" s="1"/>
  <c r="W20" i="56" s="1"/>
  <c r="W8" i="56"/>
  <c r="W17" i="56" s="1"/>
  <c r="W41" i="56" s="1"/>
  <c r="V25" i="56"/>
  <c r="V54" i="56"/>
  <c r="V57" i="56" s="1"/>
  <c r="V59" i="56" s="1"/>
  <c r="V66" i="56" s="1"/>
  <c r="U25" i="56"/>
  <c r="U54" i="56"/>
  <c r="U57" i="56" s="1"/>
  <c r="U59" i="56" s="1"/>
  <c r="U66" i="56" s="1"/>
  <c r="S53" i="56"/>
  <c r="S55" i="56" s="1"/>
  <c r="S65" i="56" s="1"/>
  <c r="S33" i="56"/>
  <c r="S35" i="56" s="1"/>
  <c r="S37" i="56" s="1"/>
  <c r="S62" i="56" s="1"/>
  <c r="S39" i="56"/>
  <c r="S43" i="56" s="1"/>
  <c r="T21" i="57"/>
  <c r="T24" i="57"/>
  <c r="T25" i="57" s="1"/>
  <c r="X60" i="41"/>
  <c r="X61" i="41" s="1"/>
  <c r="T42" i="56"/>
  <c r="T44" i="56" s="1"/>
  <c r="T50" i="56" s="1"/>
  <c r="T34" i="56"/>
  <c r="T36" i="56" s="1"/>
  <c r="AG32" i="60" l="1"/>
  <c r="AG44" i="41"/>
  <c r="AG47" i="41" s="1"/>
  <c r="AG43" i="60" s="1"/>
  <c r="AG58" i="41"/>
  <c r="AG59" i="41" s="1"/>
  <c r="AG65" i="41" s="1"/>
  <c r="AH37" i="60"/>
  <c r="AI24" i="41"/>
  <c r="AI28" i="41" s="1"/>
  <c r="AI40" i="60" s="1"/>
  <c r="AH28" i="41"/>
  <c r="AE65" i="41"/>
  <c r="AE66" i="41" s="1"/>
  <c r="AF63" i="41" s="1"/>
  <c r="AE73" i="41"/>
  <c r="AE86" i="41" s="1"/>
  <c r="AK20" i="41"/>
  <c r="AJ33" i="60"/>
  <c r="AL25" i="41"/>
  <c r="AK38" i="60"/>
  <c r="AI36" i="60"/>
  <c r="AJ23" i="41"/>
  <c r="AJ34" i="60"/>
  <c r="AK21" i="41"/>
  <c r="AK22" i="41"/>
  <c r="AJ35" i="60"/>
  <c r="T22" i="57"/>
  <c r="U19" i="57" s="1"/>
  <c r="AL26" i="41"/>
  <c r="AK39" i="60"/>
  <c r="T29" i="56"/>
  <c r="T31" i="56" s="1"/>
  <c r="T26" i="57"/>
  <c r="V30" i="56"/>
  <c r="V10" i="57"/>
  <c r="V12" i="57" s="1"/>
  <c r="Y57" i="41"/>
  <c r="X50" i="41"/>
  <c r="X53" i="41" s="1"/>
  <c r="U10" i="57"/>
  <c r="U12" i="57" s="1"/>
  <c r="U30" i="56"/>
  <c r="X48" i="56"/>
  <c r="W21" i="56"/>
  <c r="S47" i="56"/>
  <c r="S49" i="56" s="1"/>
  <c r="S51" i="56" s="1"/>
  <c r="S64" i="56" s="1"/>
  <c r="S45" i="56"/>
  <c r="S63" i="56" s="1"/>
  <c r="W90" i="41"/>
  <c r="W92" i="41" s="1"/>
  <c r="W93" i="41" s="1"/>
  <c r="W79" i="41"/>
  <c r="W80" i="41" s="1"/>
  <c r="AG42" i="41" l="1"/>
  <c r="AM45" i="41" s="1"/>
  <c r="AI8" i="57"/>
  <c r="AI32" i="41"/>
  <c r="AI58" i="41" s="1"/>
  <c r="AI59" i="41" s="1"/>
  <c r="AI65" i="41" s="1"/>
  <c r="AH40" i="60"/>
  <c r="AH5" i="56"/>
  <c r="AH14" i="56" s="1"/>
  <c r="AH27" i="56" s="1"/>
  <c r="AH32" i="41"/>
  <c r="AH8" i="57"/>
  <c r="AI5" i="56"/>
  <c r="AI14" i="56" s="1"/>
  <c r="AI27" i="56" s="1"/>
  <c r="AJ24" i="41"/>
  <c r="AI37" i="60"/>
  <c r="AF64" i="41"/>
  <c r="AF66" i="41" s="1"/>
  <c r="AG63" i="41" s="1"/>
  <c r="AF73" i="41"/>
  <c r="AF86" i="41" s="1"/>
  <c r="AK33" i="60"/>
  <c r="AL20" i="41"/>
  <c r="AM25" i="41"/>
  <c r="AL38" i="60"/>
  <c r="AK23" i="41"/>
  <c r="AJ36" i="60"/>
  <c r="AL21" i="41"/>
  <c r="AK34" i="60"/>
  <c r="AL39" i="60"/>
  <c r="AM26" i="41"/>
  <c r="AI32" i="60"/>
  <c r="AI44" i="41"/>
  <c r="AI34" i="41"/>
  <c r="U15" i="57"/>
  <c r="AK35" i="60"/>
  <c r="AL22" i="41"/>
  <c r="Y60" i="41"/>
  <c r="Y61" i="41" s="1"/>
  <c r="V21" i="57"/>
  <c r="V34" i="56"/>
  <c r="V36" i="56" s="1"/>
  <c r="V42" i="56"/>
  <c r="V44" i="56" s="1"/>
  <c r="V50" i="56" s="1"/>
  <c r="U34" i="56"/>
  <c r="U36" i="56" s="1"/>
  <c r="U42" i="56"/>
  <c r="U44" i="56" s="1"/>
  <c r="U50" i="56" s="1"/>
  <c r="W58" i="56"/>
  <c r="W23" i="56"/>
  <c r="U24" i="57"/>
  <c r="U25" i="57" s="1"/>
  <c r="U21" i="57"/>
  <c r="X77" i="41"/>
  <c r="X55" i="41"/>
  <c r="X4" i="56" s="1"/>
  <c r="X13" i="56" s="1"/>
  <c r="X20" i="56" s="1"/>
  <c r="X8" i="56"/>
  <c r="X17" i="56" s="1"/>
  <c r="X41" i="56" s="1"/>
  <c r="T39" i="56"/>
  <c r="T43" i="56" s="1"/>
  <c r="T53" i="56"/>
  <c r="T55" i="56" s="1"/>
  <c r="T65" i="56" s="1"/>
  <c r="T33" i="56"/>
  <c r="T35" i="56" s="1"/>
  <c r="T37" i="56" s="1"/>
  <c r="T62" i="56" s="1"/>
  <c r="U16" i="57"/>
  <c r="U20" i="57" s="1"/>
  <c r="AG42" i="60" l="1"/>
  <c r="AG64" i="41"/>
  <c r="AG66" i="41" s="1"/>
  <c r="AH63" i="41" s="1"/>
  <c r="AH64" i="41" s="1"/>
  <c r="AG73" i="41"/>
  <c r="AG86" i="41" s="1"/>
  <c r="AH58" i="41"/>
  <c r="AH59" i="41" s="1"/>
  <c r="AH65" i="41" s="1"/>
  <c r="AH44" i="41"/>
  <c r="AH34" i="41"/>
  <c r="AH32" i="60"/>
  <c r="AJ37" i="60"/>
  <c r="AK24" i="41"/>
  <c r="AJ28" i="41"/>
  <c r="AM20" i="41"/>
  <c r="AL33" i="60"/>
  <c r="AN25" i="41"/>
  <c r="AM38" i="60"/>
  <c r="AL34" i="60"/>
  <c r="AM21" i="41"/>
  <c r="AK36" i="60"/>
  <c r="AL23" i="41"/>
  <c r="U22" i="57"/>
  <c r="V19" i="57" s="1"/>
  <c r="V15" i="57" s="1"/>
  <c r="AN26" i="41"/>
  <c r="AM39" i="60"/>
  <c r="AM22" i="41"/>
  <c r="AL35" i="60"/>
  <c r="Y50" i="41"/>
  <c r="Y53" i="41" s="1"/>
  <c r="Z57" i="41"/>
  <c r="Y48" i="56"/>
  <c r="X21" i="56"/>
  <c r="X90" i="41"/>
  <c r="X92" i="41" s="1"/>
  <c r="X93" i="41" s="1"/>
  <c r="X79" i="41"/>
  <c r="X80" i="41" s="1"/>
  <c r="U29" i="56"/>
  <c r="U31" i="56" s="1"/>
  <c r="U26" i="57"/>
  <c r="T47" i="56"/>
  <c r="T49" i="56" s="1"/>
  <c r="T51" i="56" s="1"/>
  <c r="T64" i="56" s="1"/>
  <c r="T45" i="56"/>
  <c r="T63" i="56" s="1"/>
  <c r="W25" i="56"/>
  <c r="W54" i="56"/>
  <c r="W57" i="56" s="1"/>
  <c r="W59" i="56" s="1"/>
  <c r="W66" i="56" s="1"/>
  <c r="AH73" i="41" l="1"/>
  <c r="AH86" i="41" s="1"/>
  <c r="AH66" i="41"/>
  <c r="AI63" i="41" s="1"/>
  <c r="AI73" i="41" s="1"/>
  <c r="AI86" i="41" s="1"/>
  <c r="AI64" i="41"/>
  <c r="AI66" i="41" s="1"/>
  <c r="AJ63" i="41" s="1"/>
  <c r="AJ64" i="41" s="1"/>
  <c r="AJ40" i="60"/>
  <c r="AJ5" i="56"/>
  <c r="AJ14" i="56" s="1"/>
  <c r="AJ27" i="56" s="1"/>
  <c r="AJ8" i="57"/>
  <c r="AJ32" i="41"/>
  <c r="AL24" i="41"/>
  <c r="AK37" i="60"/>
  <c r="AK28" i="41"/>
  <c r="V16" i="57"/>
  <c r="V20" i="57" s="1"/>
  <c r="V22" i="57" s="1"/>
  <c r="W19" i="57" s="1"/>
  <c r="AN20" i="41"/>
  <c r="AM33" i="60"/>
  <c r="AO25" i="41"/>
  <c r="AN38" i="60"/>
  <c r="AL36" i="60"/>
  <c r="AM23" i="41"/>
  <c r="AN21" i="41"/>
  <c r="AM34" i="60"/>
  <c r="AM35" i="60"/>
  <c r="AN22" i="41"/>
  <c r="AN39" i="60"/>
  <c r="AO26" i="41"/>
  <c r="W10" i="57"/>
  <c r="W12" i="57" s="1"/>
  <c r="W30" i="56"/>
  <c r="U33" i="56"/>
  <c r="U35" i="56" s="1"/>
  <c r="U37" i="56" s="1"/>
  <c r="U62" i="56" s="1"/>
  <c r="U39" i="56"/>
  <c r="U43" i="56" s="1"/>
  <c r="U53" i="56"/>
  <c r="U55" i="56" s="1"/>
  <c r="U65" i="56" s="1"/>
  <c r="Z60" i="41"/>
  <c r="Z61" i="41" s="1"/>
  <c r="X58" i="56"/>
  <c r="X23" i="56"/>
  <c r="Y8" i="56"/>
  <c r="Y17" i="56" s="1"/>
  <c r="Y41" i="56" s="1"/>
  <c r="Y77" i="41"/>
  <c r="Y55" i="41"/>
  <c r="Y4" i="56" s="1"/>
  <c r="Y13" i="56" s="1"/>
  <c r="Y20" i="56" s="1"/>
  <c r="V24" i="57" l="1"/>
  <c r="V25" i="57" s="1"/>
  <c r="V26" i="57" s="1"/>
  <c r="AK40" i="60"/>
  <c r="AK5" i="56"/>
  <c r="AK14" i="56" s="1"/>
  <c r="AK27" i="56" s="1"/>
  <c r="AK8" i="57"/>
  <c r="AK32" i="41"/>
  <c r="AJ58" i="41"/>
  <c r="AJ59" i="41" s="1"/>
  <c r="AJ34" i="41"/>
  <c r="AJ32" i="60"/>
  <c r="AJ44" i="41"/>
  <c r="AM24" i="41"/>
  <c r="AL37" i="60"/>
  <c r="AL28" i="41"/>
  <c r="V29" i="56"/>
  <c r="V31" i="56" s="1"/>
  <c r="AO20" i="41"/>
  <c r="AN33" i="60"/>
  <c r="AO38" i="60"/>
  <c r="AP25" i="41"/>
  <c r="AM36" i="60"/>
  <c r="AN23" i="41"/>
  <c r="AN34" i="60"/>
  <c r="AO21" i="41"/>
  <c r="AO22" i="41"/>
  <c r="AN35" i="60"/>
  <c r="AP26" i="41"/>
  <c r="AO39" i="60"/>
  <c r="Y90" i="41"/>
  <c r="Y92" i="41" s="1"/>
  <c r="Y93" i="41" s="1"/>
  <c r="Y79" i="41"/>
  <c r="Y80" i="41" s="1"/>
  <c r="W21" i="57"/>
  <c r="W16" i="57"/>
  <c r="W20" i="57" s="1"/>
  <c r="W24" i="57" s="1"/>
  <c r="W25" i="57" s="1"/>
  <c r="U47" i="56"/>
  <c r="U49" i="56" s="1"/>
  <c r="U51" i="56" s="1"/>
  <c r="U64" i="56" s="1"/>
  <c r="U45" i="56"/>
  <c r="U63" i="56" s="1"/>
  <c r="W15" i="57"/>
  <c r="AA57" i="41"/>
  <c r="Z50" i="41"/>
  <c r="Z53" i="41" s="1"/>
  <c r="X25" i="56"/>
  <c r="X54" i="56"/>
  <c r="X57" i="56" s="1"/>
  <c r="X59" i="56" s="1"/>
  <c r="X66" i="56" s="1"/>
  <c r="Z48" i="56"/>
  <c r="Y21" i="56"/>
  <c r="W34" i="56"/>
  <c r="W36" i="56" s="1"/>
  <c r="W42" i="56"/>
  <c r="W44" i="56" s="1"/>
  <c r="W50" i="56" s="1"/>
  <c r="AK44" i="41" l="1"/>
  <c r="AK58" i="41"/>
  <c r="AK59" i="41" s="1"/>
  <c r="AK65" i="41" s="1"/>
  <c r="AK32" i="60"/>
  <c r="AK34" i="41"/>
  <c r="AM37" i="60"/>
  <c r="AN24" i="41"/>
  <c r="AJ65" i="41"/>
  <c r="AJ66" i="41" s="1"/>
  <c r="AK63" i="41" s="1"/>
  <c r="AJ73" i="41"/>
  <c r="AJ86" i="41" s="1"/>
  <c r="AL5" i="56"/>
  <c r="AL14" i="56" s="1"/>
  <c r="AL27" i="56" s="1"/>
  <c r="AL40" i="60"/>
  <c r="AL32" i="41"/>
  <c r="AL8" i="57"/>
  <c r="AM28" i="41"/>
  <c r="AM5" i="56" s="1"/>
  <c r="AM14" i="56" s="1"/>
  <c r="AM27" i="56" s="1"/>
  <c r="V53" i="56"/>
  <c r="V55" i="56" s="1"/>
  <c r="V65" i="56" s="1"/>
  <c r="V39" i="56"/>
  <c r="V43" i="56" s="1"/>
  <c r="V33" i="56"/>
  <c r="V35" i="56" s="1"/>
  <c r="V37" i="56" s="1"/>
  <c r="V62" i="56" s="1"/>
  <c r="AO33" i="60"/>
  <c r="AP20" i="41"/>
  <c r="AP38" i="60"/>
  <c r="AQ25" i="41"/>
  <c r="AP21" i="41"/>
  <c r="AO34" i="60"/>
  <c r="AO23" i="41"/>
  <c r="AN36" i="60"/>
  <c r="AQ26" i="41"/>
  <c r="AP39" i="60"/>
  <c r="AO35" i="60"/>
  <c r="AP22" i="41"/>
  <c r="W29" i="56"/>
  <c r="W31" i="56" s="1"/>
  <c r="W26" i="57"/>
  <c r="AA60" i="41"/>
  <c r="AA61" i="41" s="1"/>
  <c r="Z77" i="41"/>
  <c r="Z55" i="41"/>
  <c r="Z4" i="56" s="1"/>
  <c r="Z13" i="56" s="1"/>
  <c r="Z20" i="56" s="1"/>
  <c r="Z8" i="56"/>
  <c r="Z17" i="56" s="1"/>
  <c r="Z41" i="56" s="1"/>
  <c r="Y23" i="56"/>
  <c r="Y58" i="56"/>
  <c r="X30" i="56"/>
  <c r="X10" i="57"/>
  <c r="X12" i="57" s="1"/>
  <c r="W22" i="57"/>
  <c r="X19" i="57" s="1"/>
  <c r="AN37" i="60" l="1"/>
  <c r="AO24" i="41"/>
  <c r="AL58" i="41"/>
  <c r="AL59" i="41" s="1"/>
  <c r="AL65" i="41" s="1"/>
  <c r="AL44" i="41"/>
  <c r="AL34" i="41"/>
  <c r="AL32" i="60"/>
  <c r="AM8" i="57"/>
  <c r="AM32" i="41"/>
  <c r="AK73" i="41"/>
  <c r="AK86" i="41" s="1"/>
  <c r="AK64" i="41"/>
  <c r="AK66" i="41" s="1"/>
  <c r="AL63" i="41" s="1"/>
  <c r="AM40" i="60"/>
  <c r="AN28" i="41"/>
  <c r="V45" i="56"/>
  <c r="V63" i="56" s="1"/>
  <c r="V47" i="56"/>
  <c r="V49" i="56" s="1"/>
  <c r="V51" i="56" s="1"/>
  <c r="V64" i="56" s="1"/>
  <c r="AQ20" i="41"/>
  <c r="AP33" i="60"/>
  <c r="AR25" i="41"/>
  <c r="AQ38" i="60"/>
  <c r="AO36" i="60"/>
  <c r="AP23" i="41"/>
  <c r="AQ21" i="41"/>
  <c r="AP34" i="60"/>
  <c r="AQ22" i="41"/>
  <c r="AP35" i="60"/>
  <c r="AR26" i="41"/>
  <c r="AQ39" i="60"/>
  <c r="AA48" i="56"/>
  <c r="Z21" i="56"/>
  <c r="AB57" i="41"/>
  <c r="AA50" i="41"/>
  <c r="AA53" i="41" s="1"/>
  <c r="Z90" i="41"/>
  <c r="Z92" i="41" s="1"/>
  <c r="Z93" i="41" s="1"/>
  <c r="Z79" i="41"/>
  <c r="Z80" i="41" s="1"/>
  <c r="X34" i="56"/>
  <c r="X36" i="56" s="1"/>
  <c r="X42" i="56"/>
  <c r="X44" i="56" s="1"/>
  <c r="X50" i="56" s="1"/>
  <c r="X15" i="57"/>
  <c r="X16" i="57"/>
  <c r="X20" i="57" s="1"/>
  <c r="Y54" i="56"/>
  <c r="Y57" i="56" s="1"/>
  <c r="Y59" i="56" s="1"/>
  <c r="Y66" i="56" s="1"/>
  <c r="Y25" i="56"/>
  <c r="X21" i="57"/>
  <c r="W53" i="56"/>
  <c r="W55" i="56" s="1"/>
  <c r="W65" i="56" s="1"/>
  <c r="W39" i="56"/>
  <c r="W43" i="56" s="1"/>
  <c r="W33" i="56"/>
  <c r="W35" i="56" s="1"/>
  <c r="W37" i="56" s="1"/>
  <c r="W62" i="56" s="1"/>
  <c r="AM34" i="41" l="1"/>
  <c r="AM44" i="41"/>
  <c r="AM47" i="41" s="1"/>
  <c r="AM32" i="60"/>
  <c r="AM58" i="41"/>
  <c r="AM59" i="41" s="1"/>
  <c r="AM65" i="41" s="1"/>
  <c r="AN32" i="41"/>
  <c r="AN40" i="60"/>
  <c r="AN5" i="56"/>
  <c r="AN14" i="56" s="1"/>
  <c r="AN27" i="56" s="1"/>
  <c r="AN8" i="57"/>
  <c r="AL64" i="41"/>
  <c r="AL66" i="41" s="1"/>
  <c r="AM63" i="41" s="1"/>
  <c r="AL73" i="41"/>
  <c r="AL86" i="41" s="1"/>
  <c r="AP24" i="41"/>
  <c r="AO37" i="60"/>
  <c r="AO28" i="41"/>
  <c r="AQ33" i="60"/>
  <c r="AR20" i="41"/>
  <c r="AS25" i="41"/>
  <c r="AR38" i="60"/>
  <c r="AP36" i="60"/>
  <c r="AQ23" i="41"/>
  <c r="AR21" i="41"/>
  <c r="AQ34" i="60"/>
  <c r="AR22" i="41"/>
  <c r="AQ35" i="60"/>
  <c r="AS26" i="41"/>
  <c r="AR39" i="60"/>
  <c r="X22" i="57"/>
  <c r="Y19" i="57" s="1"/>
  <c r="W45" i="56"/>
  <c r="W63" i="56" s="1"/>
  <c r="W47" i="56"/>
  <c r="W49" i="56" s="1"/>
  <c r="W51" i="56" s="1"/>
  <c r="W64" i="56" s="1"/>
  <c r="AA77" i="41"/>
  <c r="AA55" i="41"/>
  <c r="AA4" i="56" s="1"/>
  <c r="AA13" i="56" s="1"/>
  <c r="AA20" i="56" s="1"/>
  <c r="AA8" i="56"/>
  <c r="AA17" i="56" s="1"/>
  <c r="AA41" i="56" s="1"/>
  <c r="X24" i="57"/>
  <c r="X25" i="57" s="1"/>
  <c r="AB60" i="41"/>
  <c r="AB61" i="41" s="1"/>
  <c r="Z58" i="56"/>
  <c r="Z23" i="56"/>
  <c r="Y30" i="56"/>
  <c r="Y10" i="57"/>
  <c r="Y12" i="57" s="1"/>
  <c r="AM43" i="60" l="1"/>
  <c r="AM42" i="41"/>
  <c r="AQ24" i="41"/>
  <c r="AP37" i="60"/>
  <c r="AO40" i="60"/>
  <c r="AO8" i="57"/>
  <c r="AO32" i="41"/>
  <c r="AO5" i="56"/>
  <c r="AO14" i="56" s="1"/>
  <c r="AO27" i="56" s="1"/>
  <c r="AM73" i="41"/>
  <c r="AM86" i="41" s="1"/>
  <c r="AM64" i="41"/>
  <c r="AM66" i="41" s="1"/>
  <c r="AN63" i="41" s="1"/>
  <c r="AN58" i="41"/>
  <c r="AN59" i="41" s="1"/>
  <c r="AN65" i="41" s="1"/>
  <c r="AN34" i="41"/>
  <c r="AN44" i="41"/>
  <c r="AN32" i="60"/>
  <c r="AP28" i="41"/>
  <c r="AR33" i="60"/>
  <c r="AS20" i="41"/>
  <c r="AT25" i="41"/>
  <c r="AS38" i="60"/>
  <c r="AR23" i="41"/>
  <c r="AQ36" i="60"/>
  <c r="AS21" i="41"/>
  <c r="AR34" i="60"/>
  <c r="AT26" i="41"/>
  <c r="AS39" i="60"/>
  <c r="AS22" i="41"/>
  <c r="AR35" i="60"/>
  <c r="AB50" i="41"/>
  <c r="AB53" i="41" s="1"/>
  <c r="AC57" i="41"/>
  <c r="Y21" i="57"/>
  <c r="Z25" i="56"/>
  <c r="Z54" i="56"/>
  <c r="Z57" i="56" s="1"/>
  <c r="Z59" i="56" s="1"/>
  <c r="Z66" i="56" s="1"/>
  <c r="Y15" i="57"/>
  <c r="AB48" i="56"/>
  <c r="AA21" i="56"/>
  <c r="Y34" i="56"/>
  <c r="Y36" i="56" s="1"/>
  <c r="Y42" i="56"/>
  <c r="Y44" i="56" s="1"/>
  <c r="Y50" i="56" s="1"/>
  <c r="AA90" i="41"/>
  <c r="AA92" i="41" s="1"/>
  <c r="AA93" i="41" s="1"/>
  <c r="AA79" i="41"/>
  <c r="AA80" i="41" s="1"/>
  <c r="X26" i="57"/>
  <c r="X29" i="56"/>
  <c r="X31" i="56" s="1"/>
  <c r="Y16" i="57"/>
  <c r="Y20" i="57" s="1"/>
  <c r="Y22" i="57" s="1"/>
  <c r="Z19" i="57" s="1"/>
  <c r="AP40" i="60" l="1"/>
  <c r="AP32" i="41"/>
  <c r="AP5" i="56"/>
  <c r="AP14" i="56" s="1"/>
  <c r="AP27" i="56" s="1"/>
  <c r="AP8" i="57"/>
  <c r="AO58" i="41"/>
  <c r="AO59" i="41" s="1"/>
  <c r="AO65" i="41" s="1"/>
  <c r="AO44" i="41"/>
  <c r="AO34" i="41"/>
  <c r="AO32" i="60"/>
  <c r="AR24" i="41"/>
  <c r="AQ37" i="60"/>
  <c r="AN64" i="41"/>
  <c r="AN66" i="41" s="1"/>
  <c r="AO63" i="41" s="1"/>
  <c r="AO64" i="41" s="1"/>
  <c r="AO66" i="41" s="1"/>
  <c r="AP63" i="41" s="1"/>
  <c r="AP64" i="41" s="1"/>
  <c r="AN73" i="41"/>
  <c r="AN86" i="41" s="1"/>
  <c r="AM42" i="60"/>
  <c r="AS45" i="41"/>
  <c r="AQ28" i="41"/>
  <c r="AT20" i="41"/>
  <c r="AS33" i="60"/>
  <c r="AU25" i="41"/>
  <c r="AT38" i="60"/>
  <c r="AS23" i="41"/>
  <c r="AR36" i="60"/>
  <c r="AS34" i="60"/>
  <c r="AT21" i="41"/>
  <c r="AS35" i="60"/>
  <c r="AT22" i="41"/>
  <c r="AU26" i="41"/>
  <c r="AT39" i="60"/>
  <c r="Z10" i="57"/>
  <c r="Z12" i="57" s="1"/>
  <c r="Z16" i="57" s="1"/>
  <c r="Z20" i="57" s="1"/>
  <c r="Z30" i="56"/>
  <c r="Y24" i="57"/>
  <c r="Y25" i="57" s="1"/>
  <c r="AC60" i="41"/>
  <c r="AC61" i="41" s="1"/>
  <c r="AA23" i="56"/>
  <c r="AA58" i="56"/>
  <c r="X53" i="56"/>
  <c r="X55" i="56" s="1"/>
  <c r="X65" i="56" s="1"/>
  <c r="X33" i="56"/>
  <c r="X35" i="56" s="1"/>
  <c r="X37" i="56" s="1"/>
  <c r="X62" i="56" s="1"/>
  <c r="X39" i="56"/>
  <c r="X43" i="56" s="1"/>
  <c r="AB55" i="41"/>
  <c r="AB4" i="56" s="1"/>
  <c r="AB13" i="56" s="1"/>
  <c r="AB20" i="56" s="1"/>
  <c r="AB77" i="41"/>
  <c r="AB8" i="56"/>
  <c r="AB17" i="56" s="1"/>
  <c r="AB41" i="56" s="1"/>
  <c r="AQ5" i="56" l="1"/>
  <c r="AQ14" i="56" s="1"/>
  <c r="AQ27" i="56" s="1"/>
  <c r="AQ8" i="57"/>
  <c r="AQ40" i="60"/>
  <c r="AQ32" i="41"/>
  <c r="AO73" i="41"/>
  <c r="AO86" i="41" s="1"/>
  <c r="AP44" i="41"/>
  <c r="AP34" i="41"/>
  <c r="AP32" i="60"/>
  <c r="AP58" i="41"/>
  <c r="AP59" i="41" s="1"/>
  <c r="AP65" i="41" s="1"/>
  <c r="AP66" i="41" s="1"/>
  <c r="AQ63" i="41" s="1"/>
  <c r="AR37" i="60"/>
  <c r="AS24" i="41"/>
  <c r="AR28" i="41"/>
  <c r="AT33" i="60"/>
  <c r="AU20" i="41"/>
  <c r="AV25" i="41"/>
  <c r="AU38" i="60"/>
  <c r="AU21" i="41"/>
  <c r="AT34" i="60"/>
  <c r="AT23" i="41"/>
  <c r="AS36" i="60"/>
  <c r="AT35" i="60"/>
  <c r="AU22" i="41"/>
  <c r="AV26" i="41"/>
  <c r="AU39" i="60"/>
  <c r="AC50" i="41"/>
  <c r="AC53" i="41" s="1"/>
  <c r="AD57" i="41"/>
  <c r="AC48" i="56"/>
  <c r="AB21" i="56"/>
  <c r="X47" i="56"/>
  <c r="X49" i="56" s="1"/>
  <c r="X51" i="56" s="1"/>
  <c r="X64" i="56" s="1"/>
  <c r="X45" i="56"/>
  <c r="X63" i="56" s="1"/>
  <c r="AA25" i="56"/>
  <c r="AA54" i="56"/>
  <c r="AA57" i="56" s="1"/>
  <c r="AA59" i="56" s="1"/>
  <c r="AA66" i="56" s="1"/>
  <c r="AB90" i="41"/>
  <c r="AB92" i="41" s="1"/>
  <c r="AB93" i="41" s="1"/>
  <c r="AB79" i="41"/>
  <c r="AB80" i="41" s="1"/>
  <c r="Z34" i="56"/>
  <c r="Z36" i="56" s="1"/>
  <c r="Z42" i="56"/>
  <c r="Z44" i="56" s="1"/>
  <c r="Z50" i="56" s="1"/>
  <c r="Y29" i="56"/>
  <c r="Y31" i="56" s="1"/>
  <c r="Y26" i="57"/>
  <c r="Z24" i="57"/>
  <c r="Z25" i="57" s="1"/>
  <c r="Z21" i="57"/>
  <c r="Z22" i="57" s="1"/>
  <c r="AA19" i="57" s="1"/>
  <c r="Z15" i="57"/>
  <c r="AP73" i="41" l="1"/>
  <c r="AP86" i="41" s="1"/>
  <c r="AQ64" i="41"/>
  <c r="AT24" i="41"/>
  <c r="AS37" i="60"/>
  <c r="AS28" i="41"/>
  <c r="AQ34" i="41"/>
  <c r="AQ32" i="60"/>
  <c r="AQ44" i="41"/>
  <c r="AQ58" i="41"/>
  <c r="AQ59" i="41" s="1"/>
  <c r="AQ65" i="41" s="1"/>
  <c r="AQ66" i="41" s="1"/>
  <c r="AR63" i="41" s="1"/>
  <c r="AR40" i="60"/>
  <c r="AR32" i="41"/>
  <c r="AR5" i="56"/>
  <c r="AR14" i="56" s="1"/>
  <c r="AR27" i="56" s="1"/>
  <c r="AR8" i="57"/>
  <c r="AV20" i="41"/>
  <c r="AU33" i="60"/>
  <c r="AW25" i="41"/>
  <c r="AV38" i="60"/>
  <c r="AU23" i="41"/>
  <c r="AT36" i="60"/>
  <c r="AU34" i="60"/>
  <c r="AV21" i="41"/>
  <c r="AW26" i="41"/>
  <c r="AV39" i="60"/>
  <c r="AV22" i="41"/>
  <c r="AU35" i="60"/>
  <c r="Z29" i="56"/>
  <c r="Z31" i="56" s="1"/>
  <c r="Z26" i="57"/>
  <c r="AB58" i="56"/>
  <c r="AB23" i="56"/>
  <c r="AC55" i="41"/>
  <c r="AC4" i="56" s="1"/>
  <c r="AC13" i="56" s="1"/>
  <c r="AC20" i="56" s="1"/>
  <c r="AC77" i="41"/>
  <c r="AC8" i="56"/>
  <c r="AC17" i="56" s="1"/>
  <c r="AC41" i="56" s="1"/>
  <c r="AD60" i="41"/>
  <c r="AD61" i="41" s="1"/>
  <c r="Y53" i="56"/>
  <c r="Y55" i="56" s="1"/>
  <c r="Y65" i="56" s="1"/>
  <c r="Y33" i="56"/>
  <c r="Y35" i="56" s="1"/>
  <c r="Y37" i="56" s="1"/>
  <c r="Y62" i="56" s="1"/>
  <c r="Y39" i="56"/>
  <c r="Y43" i="56" s="1"/>
  <c r="AA30" i="56"/>
  <c r="AA10" i="57"/>
  <c r="AA12" i="57" s="1"/>
  <c r="AR58" i="41" l="1"/>
  <c r="AR59" i="41" s="1"/>
  <c r="AR65" i="41" s="1"/>
  <c r="AR34" i="41"/>
  <c r="AR44" i="41"/>
  <c r="AR32" i="60"/>
  <c r="AU24" i="41"/>
  <c r="AT37" i="60"/>
  <c r="AT28" i="41"/>
  <c r="AQ73" i="41"/>
  <c r="AQ86" i="41" s="1"/>
  <c r="AS8" i="57"/>
  <c r="AS40" i="60"/>
  <c r="AS32" i="41"/>
  <c r="AS5" i="56"/>
  <c r="AS14" i="56" s="1"/>
  <c r="AS27" i="56" s="1"/>
  <c r="AW20" i="41"/>
  <c r="AV33" i="60"/>
  <c r="AW38" i="60"/>
  <c r="AX25" i="41"/>
  <c r="AX38" i="60" s="1"/>
  <c r="AV23" i="41"/>
  <c r="AU36" i="60"/>
  <c r="AW21" i="41"/>
  <c r="AV34" i="60"/>
  <c r="AX26" i="41"/>
  <c r="AX39" i="60" s="1"/>
  <c r="AW39" i="60"/>
  <c r="AV35" i="60"/>
  <c r="AW22" i="41"/>
  <c r="AR64" i="41"/>
  <c r="AR66" i="41" s="1"/>
  <c r="AS63" i="41" s="1"/>
  <c r="AD50" i="41"/>
  <c r="AD53" i="41" s="1"/>
  <c r="AE57" i="41"/>
  <c r="AC90" i="41"/>
  <c r="AC92" i="41" s="1"/>
  <c r="AC93" i="41" s="1"/>
  <c r="AC79" i="41"/>
  <c r="AC80" i="41" s="1"/>
  <c r="AA21" i="57"/>
  <c r="Z33" i="56"/>
  <c r="Z35" i="56" s="1"/>
  <c r="Z37" i="56" s="1"/>
  <c r="Z62" i="56" s="1"/>
  <c r="Z53" i="56"/>
  <c r="Z55" i="56" s="1"/>
  <c r="Z65" i="56" s="1"/>
  <c r="Z39" i="56"/>
  <c r="Z43" i="56" s="1"/>
  <c r="AA16" i="57"/>
  <c r="AA20" i="57" s="1"/>
  <c r="AA34" i="56"/>
  <c r="AA36" i="56" s="1"/>
  <c r="AA42" i="56"/>
  <c r="AA44" i="56" s="1"/>
  <c r="AA50" i="56" s="1"/>
  <c r="AD48" i="56"/>
  <c r="AC21" i="56"/>
  <c r="Y47" i="56"/>
  <c r="Y49" i="56" s="1"/>
  <c r="Y51" i="56" s="1"/>
  <c r="Y64" i="56" s="1"/>
  <c r="Y45" i="56"/>
  <c r="Y63" i="56" s="1"/>
  <c r="AB25" i="56"/>
  <c r="AB54" i="56"/>
  <c r="AB57" i="56" s="1"/>
  <c r="AB59" i="56" s="1"/>
  <c r="AB66" i="56" s="1"/>
  <c r="AA15" i="57"/>
  <c r="AS32" i="60" l="1"/>
  <c r="AS58" i="41"/>
  <c r="AS59" i="41" s="1"/>
  <c r="AS65" i="41" s="1"/>
  <c r="AS44" i="41"/>
  <c r="AS47" i="41" s="1"/>
  <c r="AS34" i="41"/>
  <c r="AT40" i="60"/>
  <c r="AT5" i="56"/>
  <c r="AT14" i="56" s="1"/>
  <c r="AT27" i="56" s="1"/>
  <c r="AT32" i="41"/>
  <c r="AT8" i="57"/>
  <c r="AV24" i="41"/>
  <c r="AU37" i="60"/>
  <c r="AU28" i="41"/>
  <c r="AR73" i="41"/>
  <c r="AR86" i="41" s="1"/>
  <c r="AW33" i="60"/>
  <c r="AX20" i="41"/>
  <c r="AX33" i="60" s="1"/>
  <c r="AW34" i="60"/>
  <c r="AX21" i="41"/>
  <c r="AX34" i="60" s="1"/>
  <c r="AV36" i="60"/>
  <c r="AW23" i="41"/>
  <c r="AS64" i="41"/>
  <c r="AS66" i="41" s="1"/>
  <c r="AT63" i="41" s="1"/>
  <c r="AT64" i="41" s="1"/>
  <c r="AS73" i="41"/>
  <c r="AS86" i="41" s="1"/>
  <c r="AA22" i="57"/>
  <c r="AB19" i="57" s="1"/>
  <c r="AX22" i="41"/>
  <c r="AW35" i="60"/>
  <c r="AB10" i="57"/>
  <c r="AB12" i="57" s="1"/>
  <c r="AB30" i="56"/>
  <c r="Z45" i="56"/>
  <c r="Z63" i="56" s="1"/>
  <c r="Z47" i="56"/>
  <c r="Z49" i="56" s="1"/>
  <c r="Z51" i="56" s="1"/>
  <c r="Z64" i="56" s="1"/>
  <c r="AA24" i="57"/>
  <c r="AA25" i="57" s="1"/>
  <c r="AE60" i="41"/>
  <c r="AE61" i="41" s="1"/>
  <c r="AC58" i="56"/>
  <c r="AC23" i="56"/>
  <c r="AD8" i="56"/>
  <c r="AD17" i="56" s="1"/>
  <c r="AD41" i="56" s="1"/>
  <c r="AD77" i="41"/>
  <c r="AD55" i="41"/>
  <c r="AD4" i="56" s="1"/>
  <c r="AD13" i="56" s="1"/>
  <c r="AD20" i="56" s="1"/>
  <c r="AB16" i="57" l="1"/>
  <c r="AB20" i="57" s="1"/>
  <c r="AB24" i="57" s="1"/>
  <c r="AB25" i="57" s="1"/>
  <c r="AU32" i="41"/>
  <c r="AU8" i="57"/>
  <c r="AU40" i="60"/>
  <c r="AU5" i="56"/>
  <c r="AU14" i="56" s="1"/>
  <c r="AU27" i="56" s="1"/>
  <c r="AT32" i="60"/>
  <c r="AT44" i="41"/>
  <c r="AT34" i="41"/>
  <c r="AT58" i="41"/>
  <c r="AT59" i="41" s="1"/>
  <c r="AS42" i="41"/>
  <c r="AS43" i="60"/>
  <c r="AW24" i="41"/>
  <c r="AV37" i="60"/>
  <c r="AV28" i="41"/>
  <c r="AX23" i="41"/>
  <c r="AX36" i="60" s="1"/>
  <c r="AW36" i="60"/>
  <c r="AX35" i="60"/>
  <c r="AB15" i="57"/>
  <c r="AE50" i="41"/>
  <c r="AE53" i="41" s="1"/>
  <c r="AF57" i="41"/>
  <c r="AA29" i="56"/>
  <c r="AA31" i="56" s="1"/>
  <c r="AA26" i="57"/>
  <c r="AB21" i="57"/>
  <c r="AB22" i="57" s="1"/>
  <c r="AC19" i="57" s="1"/>
  <c r="AE48" i="56"/>
  <c r="AD21" i="56"/>
  <c r="AD90" i="41"/>
  <c r="AD92" i="41" s="1"/>
  <c r="AD93" i="41" s="1"/>
  <c r="AD79" i="41"/>
  <c r="AD80" i="41" s="1"/>
  <c r="AC54" i="56"/>
  <c r="AC57" i="56" s="1"/>
  <c r="AC59" i="56" s="1"/>
  <c r="AC66" i="56" s="1"/>
  <c r="AC25" i="56"/>
  <c r="AB34" i="56"/>
  <c r="AB36" i="56" s="1"/>
  <c r="AB42" i="56"/>
  <c r="AB44" i="56" s="1"/>
  <c r="AB50" i="56" s="1"/>
  <c r="AW37" i="60" l="1"/>
  <c r="AX24" i="41"/>
  <c r="AW28" i="41"/>
  <c r="AV5" i="56"/>
  <c r="AV14" i="56" s="1"/>
  <c r="AV27" i="56" s="1"/>
  <c r="AV32" i="41"/>
  <c r="AV8" i="57"/>
  <c r="AV40" i="60"/>
  <c r="AX45" i="41"/>
  <c r="AS42" i="60"/>
  <c r="AU34" i="41"/>
  <c r="AU44" i="41"/>
  <c r="AU32" i="60"/>
  <c r="AU58" i="41"/>
  <c r="AU59" i="41" s="1"/>
  <c r="AU65" i="41" s="1"/>
  <c r="AT65" i="41"/>
  <c r="AT66" i="41" s="1"/>
  <c r="AU63" i="41" s="1"/>
  <c r="AT73" i="41"/>
  <c r="AT86" i="41" s="1"/>
  <c r="AC10" i="57"/>
  <c r="AC12" i="57" s="1"/>
  <c r="AC15" i="57" s="1"/>
  <c r="AC30" i="56"/>
  <c r="AA33" i="56"/>
  <c r="AA35" i="56" s="1"/>
  <c r="AA37" i="56" s="1"/>
  <c r="AA62" i="56" s="1"/>
  <c r="AA53" i="56"/>
  <c r="AA55" i="56" s="1"/>
  <c r="AA65" i="56" s="1"/>
  <c r="AA39" i="56"/>
  <c r="AA43" i="56" s="1"/>
  <c r="AF60" i="41"/>
  <c r="AF61" i="41" s="1"/>
  <c r="AB29" i="56"/>
  <c r="AB31" i="56" s="1"/>
  <c r="AB26" i="57"/>
  <c r="AE77" i="41"/>
  <c r="AE55" i="41"/>
  <c r="AE4" i="56" s="1"/>
  <c r="AE13" i="56" s="1"/>
  <c r="AE20" i="56" s="1"/>
  <c r="AE8" i="56"/>
  <c r="AE17" i="56" s="1"/>
  <c r="AE41" i="56" s="1"/>
  <c r="AD23" i="56"/>
  <c r="AD58" i="56"/>
  <c r="AU73" i="41" l="1"/>
  <c r="AU86" i="41" s="1"/>
  <c r="AU64" i="41"/>
  <c r="AU66" i="41" s="1"/>
  <c r="AV63" i="41" s="1"/>
  <c r="AX37" i="60"/>
  <c r="AX28" i="41"/>
  <c r="AW8" i="57"/>
  <c r="AW40" i="60"/>
  <c r="AW5" i="56"/>
  <c r="AW14" i="56" s="1"/>
  <c r="AW27" i="56" s="1"/>
  <c r="AW32" i="41"/>
  <c r="AV44" i="41"/>
  <c r="AV32" i="60"/>
  <c r="AV34" i="41"/>
  <c r="AV58" i="41"/>
  <c r="AV59" i="41" s="1"/>
  <c r="AV65" i="41" s="1"/>
  <c r="AB33" i="56"/>
  <c r="AB35" i="56" s="1"/>
  <c r="AB37" i="56" s="1"/>
  <c r="AB62" i="56" s="1"/>
  <c r="AB39" i="56"/>
  <c r="AB43" i="56" s="1"/>
  <c r="AB53" i="56"/>
  <c r="AB55" i="56" s="1"/>
  <c r="AB65" i="56" s="1"/>
  <c r="AF48" i="56"/>
  <c r="AE21" i="56"/>
  <c r="AG57" i="41"/>
  <c r="AF50" i="41"/>
  <c r="AF53" i="41" s="1"/>
  <c r="AE90" i="41"/>
  <c r="AE92" i="41" s="1"/>
  <c r="AE93" i="41" s="1"/>
  <c r="AE79" i="41"/>
  <c r="AE80" i="41" s="1"/>
  <c r="AC34" i="56"/>
  <c r="AC36" i="56" s="1"/>
  <c r="AC42" i="56"/>
  <c r="AC44" i="56" s="1"/>
  <c r="AC50" i="56" s="1"/>
  <c r="AD54" i="56"/>
  <c r="AD57" i="56" s="1"/>
  <c r="AD59" i="56" s="1"/>
  <c r="AD66" i="56" s="1"/>
  <c r="AD25" i="56"/>
  <c r="AA45" i="56"/>
  <c r="AA63" i="56" s="1"/>
  <c r="AA47" i="56"/>
  <c r="AA49" i="56" s="1"/>
  <c r="AA51" i="56" s="1"/>
  <c r="AA64" i="56" s="1"/>
  <c r="AC21" i="57"/>
  <c r="AC16" i="57"/>
  <c r="AC20" i="57" s="1"/>
  <c r="AV64" i="41" l="1"/>
  <c r="AV66" i="41" s="1"/>
  <c r="AW63" i="41" s="1"/>
  <c r="AV73" i="41"/>
  <c r="AV86" i="41" s="1"/>
  <c r="AW44" i="41"/>
  <c r="AW32" i="60"/>
  <c r="AW34" i="41"/>
  <c r="AW58" i="41"/>
  <c r="AW59" i="41" s="1"/>
  <c r="AW65" i="41" s="1"/>
  <c r="AX5" i="56"/>
  <c r="AX14" i="56" s="1"/>
  <c r="AX27" i="56" s="1"/>
  <c r="AX40" i="60"/>
  <c r="AX8" i="57"/>
  <c r="AX32" i="41"/>
  <c r="AC22" i="57"/>
  <c r="AD19" i="57" s="1"/>
  <c r="AD15" i="57" s="1"/>
  <c r="AF77" i="41"/>
  <c r="AF55" i="41"/>
  <c r="AF4" i="56" s="1"/>
  <c r="AF13" i="56" s="1"/>
  <c r="AF20" i="56" s="1"/>
  <c r="AF8" i="56"/>
  <c r="AF17" i="56" s="1"/>
  <c r="AF41" i="56" s="1"/>
  <c r="AC24" i="57"/>
  <c r="AC25" i="57" s="1"/>
  <c r="AG60" i="41"/>
  <c r="AG61" i="41" s="1"/>
  <c r="AD10" i="57"/>
  <c r="AD12" i="57" s="1"/>
  <c r="AD30" i="56"/>
  <c r="AE23" i="56"/>
  <c r="AE58" i="56"/>
  <c r="AB47" i="56"/>
  <c r="AB49" i="56" s="1"/>
  <c r="AB51" i="56" s="1"/>
  <c r="AB64" i="56" s="1"/>
  <c r="AB45" i="56"/>
  <c r="AB63" i="56" s="1"/>
  <c r="AD16" i="57" l="1"/>
  <c r="AD20" i="57" s="1"/>
  <c r="AX58" i="41"/>
  <c r="AX59" i="41" s="1"/>
  <c r="AX65" i="41" s="1"/>
  <c r="AX44" i="41"/>
  <c r="AX47" i="41" s="1"/>
  <c r="AX34" i="41"/>
  <c r="O34" i="41" s="1"/>
  <c r="O40" i="41" s="1"/>
  <c r="AX32" i="60"/>
  <c r="AW64" i="41"/>
  <c r="AW66" i="41" s="1"/>
  <c r="AX63" i="41" s="1"/>
  <c r="AW73" i="41"/>
  <c r="AW86" i="41" s="1"/>
  <c r="AD42" i="56"/>
  <c r="AD44" i="56" s="1"/>
  <c r="AD50" i="56" s="1"/>
  <c r="AD34" i="56"/>
  <c r="AD36" i="56" s="1"/>
  <c r="AC26" i="57"/>
  <c r="AC29" i="56"/>
  <c r="AC31" i="56" s="1"/>
  <c r="AD24" i="57"/>
  <c r="AD25" i="57" s="1"/>
  <c r="AD21" i="57"/>
  <c r="AD22" i="57" s="1"/>
  <c r="AE19" i="57" s="1"/>
  <c r="AH57" i="41"/>
  <c r="AG50" i="41"/>
  <c r="AG53" i="41" s="1"/>
  <c r="AG48" i="56"/>
  <c r="AF21" i="56"/>
  <c r="AE54" i="56"/>
  <c r="AE57" i="56" s="1"/>
  <c r="AE59" i="56" s="1"/>
  <c r="AE66" i="56" s="1"/>
  <c r="AE25" i="56"/>
  <c r="AF90" i="41"/>
  <c r="AF92" i="41" s="1"/>
  <c r="AF93" i="41" s="1"/>
  <c r="AF79" i="41"/>
  <c r="AF80" i="41" s="1"/>
  <c r="AX42" i="41" l="1"/>
  <c r="AX42" i="60" s="1"/>
  <c r="AX43" i="60"/>
  <c r="AX64" i="41"/>
  <c r="AX66" i="41" s="1"/>
  <c r="AX73" i="41"/>
  <c r="AX86" i="41" s="1"/>
  <c r="AE15" i="57"/>
  <c r="AE16" i="57"/>
  <c r="AE20" i="57" s="1"/>
  <c r="AE10" i="57"/>
  <c r="AE12" i="57" s="1"/>
  <c r="AE30" i="56"/>
  <c r="AD29" i="56"/>
  <c r="AD31" i="56" s="1"/>
  <c r="AD26" i="57"/>
  <c r="AG77" i="41"/>
  <c r="AG55" i="41"/>
  <c r="AG4" i="56" s="1"/>
  <c r="AG13" i="56" s="1"/>
  <c r="AG20" i="56" s="1"/>
  <c r="AG8" i="56"/>
  <c r="AG17" i="56" s="1"/>
  <c r="AG41" i="56" s="1"/>
  <c r="AF23" i="56"/>
  <c r="AF58" i="56"/>
  <c r="AH60" i="41"/>
  <c r="AH61" i="41" s="1"/>
  <c r="AC33" i="56"/>
  <c r="AC35" i="56" s="1"/>
  <c r="AC37" i="56" s="1"/>
  <c r="AC62" i="56" s="1"/>
  <c r="AC53" i="56"/>
  <c r="AC55" i="56" s="1"/>
  <c r="AC65" i="56" s="1"/>
  <c r="AC39" i="56"/>
  <c r="AC43" i="56" s="1"/>
  <c r="AH50" i="41" l="1"/>
  <c r="AH53" i="41" s="1"/>
  <c r="AI57" i="41"/>
  <c r="AD33" i="56"/>
  <c r="AD35" i="56" s="1"/>
  <c r="AD37" i="56" s="1"/>
  <c r="AD62" i="56" s="1"/>
  <c r="AD53" i="56"/>
  <c r="AD55" i="56" s="1"/>
  <c r="AD65" i="56" s="1"/>
  <c r="AD39" i="56"/>
  <c r="AD43" i="56" s="1"/>
  <c r="AH48" i="56"/>
  <c r="AG21" i="56"/>
  <c r="AE34" i="56"/>
  <c r="AE36" i="56" s="1"/>
  <c r="AE42" i="56"/>
  <c r="AE44" i="56" s="1"/>
  <c r="AE50" i="56" s="1"/>
  <c r="AC47" i="56"/>
  <c r="AC49" i="56" s="1"/>
  <c r="AC51" i="56" s="1"/>
  <c r="AC64" i="56" s="1"/>
  <c r="AC45" i="56"/>
  <c r="AC63" i="56" s="1"/>
  <c r="AG90" i="41"/>
  <c r="AG92" i="41" s="1"/>
  <c r="AG93" i="41" s="1"/>
  <c r="AG79" i="41"/>
  <c r="AG80" i="41" s="1"/>
  <c r="AE21" i="57"/>
  <c r="AE22" i="57" s="1"/>
  <c r="AF19" i="57" s="1"/>
  <c r="AE24" i="57"/>
  <c r="AE25" i="57" s="1"/>
  <c r="AF54" i="56"/>
  <c r="AF57" i="56" s="1"/>
  <c r="AF59" i="56" s="1"/>
  <c r="AF66" i="56" s="1"/>
  <c r="AF25" i="56"/>
  <c r="AF16" i="57" l="1"/>
  <c r="AF15" i="57"/>
  <c r="AF20" i="57"/>
  <c r="AF30" i="56"/>
  <c r="AF10" i="57"/>
  <c r="AF12" i="57" s="1"/>
  <c r="AI60" i="41"/>
  <c r="AI61" i="41" s="1"/>
  <c r="AD45" i="56"/>
  <c r="AD63" i="56" s="1"/>
  <c r="AD47" i="56"/>
  <c r="AD49" i="56" s="1"/>
  <c r="AD51" i="56" s="1"/>
  <c r="AD64" i="56" s="1"/>
  <c r="AH55" i="41"/>
  <c r="AH4" i="56" s="1"/>
  <c r="AH13" i="56" s="1"/>
  <c r="AH20" i="56" s="1"/>
  <c r="AH77" i="41"/>
  <c r="AH8" i="56"/>
  <c r="AH17" i="56" s="1"/>
  <c r="AH41" i="56" s="1"/>
  <c r="AE29" i="56"/>
  <c r="AE31" i="56" s="1"/>
  <c r="AE26" i="57"/>
  <c r="AG58" i="56"/>
  <c r="AG23" i="56"/>
  <c r="AH90" i="41" l="1"/>
  <c r="AH92" i="41" s="1"/>
  <c r="AH93" i="41" s="1"/>
  <c r="AH79" i="41"/>
  <c r="AH80" i="41" s="1"/>
  <c r="AJ57" i="41"/>
  <c r="AI50" i="41"/>
  <c r="AI53" i="41" s="1"/>
  <c r="AF21" i="57"/>
  <c r="AF22" i="57" s="1"/>
  <c r="AG19" i="57" s="1"/>
  <c r="AF24" i="57"/>
  <c r="AF25" i="57" s="1"/>
  <c r="AI48" i="56"/>
  <c r="AH21" i="56"/>
  <c r="AE53" i="56"/>
  <c r="AE55" i="56" s="1"/>
  <c r="AE65" i="56" s="1"/>
  <c r="AE33" i="56"/>
  <c r="AE35" i="56" s="1"/>
  <c r="AE37" i="56" s="1"/>
  <c r="AE62" i="56" s="1"/>
  <c r="AE39" i="56"/>
  <c r="AE43" i="56" s="1"/>
  <c r="AG25" i="56"/>
  <c r="AG54" i="56"/>
  <c r="AG57" i="56" s="1"/>
  <c r="AG59" i="56" s="1"/>
  <c r="AG66" i="56" s="1"/>
  <c r="AF42" i="56"/>
  <c r="AF44" i="56" s="1"/>
  <c r="AF50" i="56" s="1"/>
  <c r="AF34" i="56"/>
  <c r="AF36" i="56" s="1"/>
  <c r="AG15" i="57" l="1"/>
  <c r="AG16" i="57"/>
  <c r="AG20" i="57" s="1"/>
  <c r="AJ60" i="41"/>
  <c r="AJ61" i="41" s="1"/>
  <c r="AG10" i="57"/>
  <c r="AG12" i="57" s="1"/>
  <c r="AG30" i="56"/>
  <c r="AF26" i="57"/>
  <c r="AF29" i="56"/>
  <c r="AF31" i="56" s="1"/>
  <c r="AH58" i="56"/>
  <c r="AH23" i="56"/>
  <c r="AE45" i="56"/>
  <c r="AE63" i="56" s="1"/>
  <c r="AE47" i="56"/>
  <c r="AE49" i="56" s="1"/>
  <c r="AE51" i="56" s="1"/>
  <c r="AE64" i="56" s="1"/>
  <c r="AI55" i="41"/>
  <c r="AI4" i="56" s="1"/>
  <c r="AI13" i="56" s="1"/>
  <c r="AI20" i="56" s="1"/>
  <c r="AI8" i="56"/>
  <c r="AI17" i="56" s="1"/>
  <c r="AI41" i="56" s="1"/>
  <c r="AI77" i="41"/>
  <c r="AH54" i="56" l="1"/>
  <c r="AH57" i="56" s="1"/>
  <c r="AH59" i="56" s="1"/>
  <c r="AH66" i="56" s="1"/>
  <c r="AH25" i="56"/>
  <c r="AG42" i="56"/>
  <c r="AG44" i="56" s="1"/>
  <c r="AG50" i="56" s="1"/>
  <c r="AG34" i="56"/>
  <c r="AG36" i="56" s="1"/>
  <c r="AF33" i="56"/>
  <c r="AF35" i="56" s="1"/>
  <c r="AF37" i="56" s="1"/>
  <c r="AF62" i="56" s="1"/>
  <c r="AF39" i="56"/>
  <c r="AF43" i="56" s="1"/>
  <c r="AF53" i="56"/>
  <c r="AF55" i="56" s="1"/>
  <c r="AF65" i="56" s="1"/>
  <c r="AJ50" i="41"/>
  <c r="AJ53" i="41" s="1"/>
  <c r="AK57" i="41"/>
  <c r="AJ48" i="56"/>
  <c r="AI21" i="56"/>
  <c r="AG21" i="57"/>
  <c r="AG22" i="57" s="1"/>
  <c r="AH19" i="57" s="1"/>
  <c r="AG24" i="57"/>
  <c r="AG25" i="57" s="1"/>
  <c r="AI90" i="41"/>
  <c r="AI92" i="41" s="1"/>
  <c r="AI93" i="41" s="1"/>
  <c r="AI79" i="41"/>
  <c r="AI80" i="41" s="1"/>
  <c r="AH15" i="57" l="1"/>
  <c r="AH16" i="57"/>
  <c r="AH20" i="57" s="1"/>
  <c r="AF47" i="56"/>
  <c r="AF49" i="56" s="1"/>
  <c r="AF51" i="56" s="1"/>
  <c r="AF64" i="56" s="1"/>
  <c r="AF45" i="56"/>
  <c r="AF63" i="56" s="1"/>
  <c r="AH30" i="56"/>
  <c r="AH10" i="57"/>
  <c r="AH12" i="57" s="1"/>
  <c r="AK60" i="41"/>
  <c r="AK61" i="41" s="1"/>
  <c r="AG29" i="56"/>
  <c r="AG31" i="56" s="1"/>
  <c r="AG26" i="57"/>
  <c r="AI23" i="56"/>
  <c r="AI58" i="56"/>
  <c r="AJ55" i="41"/>
  <c r="AJ4" i="56" s="1"/>
  <c r="AJ13" i="56" s="1"/>
  <c r="AJ20" i="56" s="1"/>
  <c r="AJ77" i="41"/>
  <c r="AJ8" i="56"/>
  <c r="AJ17" i="56" s="1"/>
  <c r="AJ41" i="56" s="1"/>
  <c r="AK50" i="41" l="1"/>
  <c r="AK53" i="41" s="1"/>
  <c r="AL57" i="41"/>
  <c r="AJ90" i="41"/>
  <c r="AJ92" i="41" s="1"/>
  <c r="AJ93" i="41" s="1"/>
  <c r="AJ79" i="41"/>
  <c r="AJ80" i="41" s="1"/>
  <c r="AH21" i="57"/>
  <c r="AH22" i="57" s="1"/>
  <c r="AI19" i="57" s="1"/>
  <c r="AH24" i="57"/>
  <c r="AH25" i="57" s="1"/>
  <c r="AK48" i="56"/>
  <c r="AJ21" i="56"/>
  <c r="AG53" i="56"/>
  <c r="AG55" i="56" s="1"/>
  <c r="AG65" i="56" s="1"/>
  <c r="AG39" i="56"/>
  <c r="AG43" i="56" s="1"/>
  <c r="AG33" i="56"/>
  <c r="AG35" i="56" s="1"/>
  <c r="AG37" i="56" s="1"/>
  <c r="AG62" i="56" s="1"/>
  <c r="AH42" i="56"/>
  <c r="AH44" i="56" s="1"/>
  <c r="AH50" i="56" s="1"/>
  <c r="AH34" i="56"/>
  <c r="AH36" i="56" s="1"/>
  <c r="AI54" i="56"/>
  <c r="AI57" i="56" s="1"/>
  <c r="AI59" i="56" s="1"/>
  <c r="AI66" i="56" s="1"/>
  <c r="AI25" i="56"/>
  <c r="AI15" i="57" l="1"/>
  <c r="AI16" i="57"/>
  <c r="AI20" i="57" s="1"/>
  <c r="AG45" i="56"/>
  <c r="AG63" i="56" s="1"/>
  <c r="AG47" i="56"/>
  <c r="AG49" i="56" s="1"/>
  <c r="AG51" i="56" s="1"/>
  <c r="AG64" i="56" s="1"/>
  <c r="AH29" i="56"/>
  <c r="AH31" i="56" s="1"/>
  <c r="AH26" i="57"/>
  <c r="AJ58" i="56"/>
  <c r="AJ23" i="56"/>
  <c r="AL60" i="41"/>
  <c r="AL61" i="41" s="1"/>
  <c r="AI30" i="56"/>
  <c r="AI10" i="57"/>
  <c r="AI12" i="57" s="1"/>
  <c r="AK55" i="41"/>
  <c r="AK4" i="56" s="1"/>
  <c r="AK13" i="56" s="1"/>
  <c r="AK20" i="56" s="1"/>
  <c r="AK8" i="56"/>
  <c r="AK17" i="56" s="1"/>
  <c r="AK41" i="56" s="1"/>
  <c r="AK77" i="41"/>
  <c r="AL50" i="41" l="1"/>
  <c r="AL53" i="41" s="1"/>
  <c r="AM57" i="41"/>
  <c r="AL48" i="56"/>
  <c r="AK21" i="56"/>
  <c r="AH39" i="56"/>
  <c r="AH43" i="56" s="1"/>
  <c r="AH53" i="56"/>
  <c r="AH55" i="56" s="1"/>
  <c r="AH65" i="56" s="1"/>
  <c r="AH33" i="56"/>
  <c r="AH35" i="56" s="1"/>
  <c r="AH37" i="56" s="1"/>
  <c r="AH62" i="56" s="1"/>
  <c r="AI21" i="57"/>
  <c r="AI22" i="57" s="1"/>
  <c r="AJ19" i="57" s="1"/>
  <c r="AI24" i="57"/>
  <c r="AI25" i="57" s="1"/>
  <c r="AJ54" i="56"/>
  <c r="AJ57" i="56" s="1"/>
  <c r="AJ59" i="56" s="1"/>
  <c r="AJ66" i="56" s="1"/>
  <c r="AJ25" i="56"/>
  <c r="AK90" i="41"/>
  <c r="AK92" i="41" s="1"/>
  <c r="AK93" i="41" s="1"/>
  <c r="AK79" i="41"/>
  <c r="AK80" i="41" s="1"/>
  <c r="AI34" i="56"/>
  <c r="AI36" i="56" s="1"/>
  <c r="AI42" i="56"/>
  <c r="AI44" i="56" s="1"/>
  <c r="AI50" i="56" s="1"/>
  <c r="AJ16" i="57" l="1"/>
  <c r="AJ20" i="57" s="1"/>
  <c r="AJ15" i="57"/>
  <c r="AI29" i="56"/>
  <c r="AI31" i="56" s="1"/>
  <c r="AI26" i="57"/>
  <c r="AH47" i="56"/>
  <c r="AH49" i="56" s="1"/>
  <c r="AH51" i="56" s="1"/>
  <c r="AH64" i="56" s="1"/>
  <c r="AH45" i="56"/>
  <c r="AH63" i="56" s="1"/>
  <c r="AM60" i="41"/>
  <c r="AM61" i="41" s="1"/>
  <c r="AK58" i="56"/>
  <c r="AK23" i="56"/>
  <c r="AL55" i="41"/>
  <c r="AL4" i="56" s="1"/>
  <c r="AL13" i="56" s="1"/>
  <c r="AL20" i="56" s="1"/>
  <c r="AL8" i="56"/>
  <c r="AL17" i="56" s="1"/>
  <c r="AL41" i="56" s="1"/>
  <c r="AL77" i="41"/>
  <c r="AJ30" i="56"/>
  <c r="AJ10" i="57"/>
  <c r="AJ12" i="57" s="1"/>
  <c r="AM50" i="41" l="1"/>
  <c r="AM53" i="41" s="1"/>
  <c r="AN57" i="41"/>
  <c r="AK25" i="56"/>
  <c r="AK54" i="56"/>
  <c r="AK57" i="56" s="1"/>
  <c r="AK59" i="56" s="1"/>
  <c r="AK66" i="56" s="1"/>
  <c r="AL90" i="41"/>
  <c r="AL92" i="41" s="1"/>
  <c r="AL93" i="41" s="1"/>
  <c r="AL79" i="41"/>
  <c r="AL80" i="41" s="1"/>
  <c r="AJ34" i="56"/>
  <c r="AJ36" i="56" s="1"/>
  <c r="AJ42" i="56"/>
  <c r="AJ44" i="56" s="1"/>
  <c r="AJ50" i="56" s="1"/>
  <c r="AJ21" i="57"/>
  <c r="AJ22" i="57" s="1"/>
  <c r="AK19" i="57" s="1"/>
  <c r="AJ24" i="57"/>
  <c r="AJ25" i="57" s="1"/>
  <c r="AM48" i="56"/>
  <c r="AL21" i="56"/>
  <c r="AI33" i="56"/>
  <c r="AI35" i="56" s="1"/>
  <c r="AI37" i="56" s="1"/>
  <c r="AI62" i="56" s="1"/>
  <c r="AI53" i="56"/>
  <c r="AI55" i="56" s="1"/>
  <c r="AI65" i="56" s="1"/>
  <c r="AI39" i="56"/>
  <c r="AI43" i="56" s="1"/>
  <c r="AK15" i="57" l="1"/>
  <c r="AK16" i="57"/>
  <c r="AK20" i="57" s="1"/>
  <c r="AJ29" i="56"/>
  <c r="AJ31" i="56" s="1"/>
  <c r="AJ26" i="57"/>
  <c r="AK30" i="56"/>
  <c r="AK10" i="57"/>
  <c r="AK12" i="57" s="1"/>
  <c r="AL58" i="56"/>
  <c r="AL23" i="56"/>
  <c r="AN60" i="41"/>
  <c r="AN61" i="41" s="1"/>
  <c r="AI45" i="56"/>
  <c r="AI63" i="56" s="1"/>
  <c r="AI47" i="56"/>
  <c r="AI49" i="56" s="1"/>
  <c r="AI51" i="56" s="1"/>
  <c r="AI64" i="56" s="1"/>
  <c r="AM8" i="56"/>
  <c r="AM17" i="56" s="1"/>
  <c r="AM41" i="56" s="1"/>
  <c r="AM55" i="41"/>
  <c r="AM4" i="56" s="1"/>
  <c r="AM13" i="56" s="1"/>
  <c r="AM20" i="56" s="1"/>
  <c r="AM77" i="41"/>
  <c r="AO57" i="41" l="1"/>
  <c r="AN50" i="41"/>
  <c r="AN53" i="41" s="1"/>
  <c r="AK42" i="56"/>
  <c r="AK44" i="56" s="1"/>
  <c r="AK50" i="56" s="1"/>
  <c r="AK34" i="56"/>
  <c r="AK36" i="56" s="1"/>
  <c r="AL25" i="56"/>
  <c r="AL54" i="56"/>
  <c r="AL57" i="56" s="1"/>
  <c r="AL59" i="56" s="1"/>
  <c r="AL66" i="56" s="1"/>
  <c r="AN48" i="56"/>
  <c r="AM21" i="56"/>
  <c r="AK24" i="57"/>
  <c r="AK25" i="57" s="1"/>
  <c r="AK21" i="57"/>
  <c r="AK22" i="57" s="1"/>
  <c r="AL19" i="57" s="1"/>
  <c r="AM90" i="41"/>
  <c r="AM92" i="41" s="1"/>
  <c r="AM93" i="41" s="1"/>
  <c r="AM79" i="41"/>
  <c r="AM80" i="41" s="1"/>
  <c r="AJ33" i="56"/>
  <c r="AJ35" i="56" s="1"/>
  <c r="AJ37" i="56" s="1"/>
  <c r="AJ62" i="56" s="1"/>
  <c r="AJ53" i="56"/>
  <c r="AJ55" i="56" s="1"/>
  <c r="AJ65" i="56" s="1"/>
  <c r="AJ39" i="56"/>
  <c r="AJ43" i="56" s="1"/>
  <c r="AL16" i="57" l="1"/>
  <c r="AL20" i="57" s="1"/>
  <c r="AL15" i="57"/>
  <c r="AK26" i="57"/>
  <c r="AK29" i="56"/>
  <c r="AK31" i="56" s="1"/>
  <c r="AN77" i="41"/>
  <c r="AN55" i="41"/>
  <c r="AN4" i="56" s="1"/>
  <c r="AN13" i="56" s="1"/>
  <c r="AN20" i="56" s="1"/>
  <c r="AN8" i="56"/>
  <c r="AN17" i="56" s="1"/>
  <c r="AN41" i="56" s="1"/>
  <c r="AM23" i="56"/>
  <c r="AM58" i="56"/>
  <c r="AL30" i="56"/>
  <c r="AL10" i="57"/>
  <c r="AL12" i="57" s="1"/>
  <c r="AO60" i="41"/>
  <c r="AO61" i="41" s="1"/>
  <c r="AJ47" i="56"/>
  <c r="AJ49" i="56" s="1"/>
  <c r="AJ51" i="56" s="1"/>
  <c r="AJ64" i="56" s="1"/>
  <c r="AJ45" i="56"/>
  <c r="AJ63" i="56" s="1"/>
  <c r="AO50" i="41" l="1"/>
  <c r="AO53" i="41" s="1"/>
  <c r="AP57" i="41"/>
  <c r="AN90" i="41"/>
  <c r="AN92" i="41" s="1"/>
  <c r="AN93" i="41" s="1"/>
  <c r="AN79" i="41"/>
  <c r="AN80" i="41" s="1"/>
  <c r="AO48" i="56"/>
  <c r="AN21" i="56"/>
  <c r="AM25" i="56"/>
  <c r="AM54" i="56"/>
  <c r="AM57" i="56" s="1"/>
  <c r="AM59" i="56" s="1"/>
  <c r="AM66" i="56" s="1"/>
  <c r="AK33" i="56"/>
  <c r="AK35" i="56" s="1"/>
  <c r="AK37" i="56" s="1"/>
  <c r="AK62" i="56" s="1"/>
  <c r="AK39" i="56"/>
  <c r="AK43" i="56" s="1"/>
  <c r="AK53" i="56"/>
  <c r="AK55" i="56" s="1"/>
  <c r="AK65" i="56" s="1"/>
  <c r="AL42" i="56"/>
  <c r="AL44" i="56" s="1"/>
  <c r="AL50" i="56" s="1"/>
  <c r="AL34" i="56"/>
  <c r="AL36" i="56" s="1"/>
  <c r="AL24" i="57"/>
  <c r="AL25" i="57" s="1"/>
  <c r="AL21" i="57"/>
  <c r="AL22" i="57" s="1"/>
  <c r="AM19" i="57" s="1"/>
  <c r="AL29" i="56" l="1"/>
  <c r="AL31" i="56" s="1"/>
  <c r="AL26" i="57"/>
  <c r="AK47" i="56"/>
  <c r="AK49" i="56" s="1"/>
  <c r="AK51" i="56" s="1"/>
  <c r="AK64" i="56" s="1"/>
  <c r="AK45" i="56"/>
  <c r="AK63" i="56" s="1"/>
  <c r="AN58" i="56"/>
  <c r="AN23" i="56"/>
  <c r="AM15" i="57"/>
  <c r="AM16" i="57"/>
  <c r="AM20" i="57" s="1"/>
  <c r="AM30" i="56"/>
  <c r="AM10" i="57"/>
  <c r="AM12" i="57" s="1"/>
  <c r="AP60" i="41"/>
  <c r="AP61" i="41" s="1"/>
  <c r="AO8" i="56"/>
  <c r="AO17" i="56" s="1"/>
  <c r="AO41" i="56" s="1"/>
  <c r="AO55" i="41"/>
  <c r="AO4" i="56" s="1"/>
  <c r="AO13" i="56" s="1"/>
  <c r="AO20" i="56" s="1"/>
  <c r="AO77" i="41"/>
  <c r="AM24" i="57" l="1"/>
  <c r="AM25" i="57" s="1"/>
  <c r="AM21" i="57"/>
  <c r="AM22" i="57" s="1"/>
  <c r="AN19" i="57" s="1"/>
  <c r="AM42" i="56"/>
  <c r="AM44" i="56" s="1"/>
  <c r="AM50" i="56" s="1"/>
  <c r="AM34" i="56"/>
  <c r="AM36" i="56" s="1"/>
  <c r="AP48" i="56"/>
  <c r="AO21" i="56"/>
  <c r="AQ57" i="41"/>
  <c r="AP50" i="41"/>
  <c r="AP53" i="41" s="1"/>
  <c r="AN25" i="56"/>
  <c r="AN54" i="56"/>
  <c r="AN57" i="56" s="1"/>
  <c r="AN59" i="56" s="1"/>
  <c r="AN66" i="56" s="1"/>
  <c r="AO90" i="41"/>
  <c r="AO92" i="41" s="1"/>
  <c r="AO93" i="41" s="1"/>
  <c r="AO79" i="41"/>
  <c r="AO80" i="41" s="1"/>
  <c r="AL39" i="56"/>
  <c r="AL43" i="56" s="1"/>
  <c r="AL53" i="56"/>
  <c r="AL55" i="56" s="1"/>
  <c r="AL65" i="56" s="1"/>
  <c r="AL33" i="56"/>
  <c r="AL35" i="56" s="1"/>
  <c r="AL37" i="56" s="1"/>
  <c r="AL62" i="56" s="1"/>
  <c r="AO23" i="56" l="1"/>
  <c r="AO58" i="56"/>
  <c r="AQ60" i="41"/>
  <c r="AQ61" i="41" s="1"/>
  <c r="AL45" i="56"/>
  <c r="AL63" i="56" s="1"/>
  <c r="AL47" i="56"/>
  <c r="AL49" i="56" s="1"/>
  <c r="AL51" i="56" s="1"/>
  <c r="AL64" i="56" s="1"/>
  <c r="AN10" i="57"/>
  <c r="AN12" i="57" s="1"/>
  <c r="AN30" i="56"/>
  <c r="AN16" i="57"/>
  <c r="AN20" i="57" s="1"/>
  <c r="AN15" i="57"/>
  <c r="AP77" i="41"/>
  <c r="AP55" i="41"/>
  <c r="AP4" i="56" s="1"/>
  <c r="AP13" i="56" s="1"/>
  <c r="AP20" i="56" s="1"/>
  <c r="AP8" i="56"/>
  <c r="AP17" i="56" s="1"/>
  <c r="AP41" i="56" s="1"/>
  <c r="AM29" i="56"/>
  <c r="AM31" i="56" s="1"/>
  <c r="AM26" i="57"/>
  <c r="AM33" i="56" l="1"/>
  <c r="AM35" i="56" s="1"/>
  <c r="AM37" i="56" s="1"/>
  <c r="AM62" i="56" s="1"/>
  <c r="AM39" i="56"/>
  <c r="AM43" i="56" s="1"/>
  <c r="AM53" i="56"/>
  <c r="AM55" i="56" s="1"/>
  <c r="AM65" i="56" s="1"/>
  <c r="AN34" i="56"/>
  <c r="AN36" i="56" s="1"/>
  <c r="AN42" i="56"/>
  <c r="AN44" i="56" s="1"/>
  <c r="AN50" i="56" s="1"/>
  <c r="AN21" i="57"/>
  <c r="AN22" i="57" s="1"/>
  <c r="AO19" i="57" s="1"/>
  <c r="AN24" i="57"/>
  <c r="AN25" i="57" s="1"/>
  <c r="AR57" i="41"/>
  <c r="AQ50" i="41"/>
  <c r="AQ53" i="41" s="1"/>
  <c r="AQ48" i="56"/>
  <c r="AP21" i="56"/>
  <c r="AP90" i="41"/>
  <c r="AP92" i="41" s="1"/>
  <c r="AP93" i="41" s="1"/>
  <c r="AP79" i="41"/>
  <c r="AP80" i="41" s="1"/>
  <c r="AO25" i="56"/>
  <c r="AO54" i="56"/>
  <c r="AO57" i="56" s="1"/>
  <c r="AO59" i="56" s="1"/>
  <c r="AO66" i="56" s="1"/>
  <c r="AN29" i="56" l="1"/>
  <c r="AN31" i="56" s="1"/>
  <c r="AN26" i="57"/>
  <c r="AR60" i="41"/>
  <c r="AR61" i="41" s="1"/>
  <c r="AO15" i="57"/>
  <c r="AO16" i="57"/>
  <c r="AO20" i="57" s="1"/>
  <c r="AM45" i="56"/>
  <c r="AM63" i="56" s="1"/>
  <c r="AM47" i="56"/>
  <c r="AM49" i="56" s="1"/>
  <c r="AM51" i="56" s="1"/>
  <c r="AM64" i="56" s="1"/>
  <c r="AP58" i="56"/>
  <c r="AP23" i="56"/>
  <c r="AO30" i="56"/>
  <c r="AO10" i="57"/>
  <c r="AO12" i="57" s="1"/>
  <c r="AQ77" i="41"/>
  <c r="AQ8" i="56"/>
  <c r="AQ17" i="56" s="1"/>
  <c r="AQ41" i="56" s="1"/>
  <c r="AQ55" i="41"/>
  <c r="AQ4" i="56" s="1"/>
  <c r="AQ13" i="56" s="1"/>
  <c r="AQ20" i="56" s="1"/>
  <c r="AS57" i="41" l="1"/>
  <c r="AR50" i="41"/>
  <c r="AR53" i="41" s="1"/>
  <c r="AQ90" i="41"/>
  <c r="AQ92" i="41" s="1"/>
  <c r="AQ93" i="41" s="1"/>
  <c r="AQ79" i="41"/>
  <c r="AQ80" i="41" s="1"/>
  <c r="AP54" i="56"/>
  <c r="AP57" i="56" s="1"/>
  <c r="AP59" i="56" s="1"/>
  <c r="AP66" i="56" s="1"/>
  <c r="AP25" i="56"/>
  <c r="AO24" i="57"/>
  <c r="AO25" i="57" s="1"/>
  <c r="AO21" i="57"/>
  <c r="AO22" i="57" s="1"/>
  <c r="AP19" i="57" s="1"/>
  <c r="AR48" i="56"/>
  <c r="AQ21" i="56"/>
  <c r="AO42" i="56"/>
  <c r="AO44" i="56" s="1"/>
  <c r="AO50" i="56" s="1"/>
  <c r="AO34" i="56"/>
  <c r="AO36" i="56" s="1"/>
  <c r="AN33" i="56"/>
  <c r="AN35" i="56" s="1"/>
  <c r="AN37" i="56" s="1"/>
  <c r="AN62" i="56" s="1"/>
  <c r="AN39" i="56"/>
  <c r="AN43" i="56" s="1"/>
  <c r="AN53" i="56"/>
  <c r="AN55" i="56" s="1"/>
  <c r="AN65" i="56" s="1"/>
  <c r="AN47" i="56" l="1"/>
  <c r="AN49" i="56" s="1"/>
  <c r="AN51" i="56" s="1"/>
  <c r="AN64" i="56" s="1"/>
  <c r="AN45" i="56"/>
  <c r="AN63" i="56" s="1"/>
  <c r="AQ58" i="56"/>
  <c r="AQ23" i="56"/>
  <c r="AP10" i="57"/>
  <c r="AP12" i="57" s="1"/>
  <c r="AP30" i="56"/>
  <c r="AP16" i="57"/>
  <c r="AP20" i="57" s="1"/>
  <c r="AP15" i="57"/>
  <c r="AO29" i="56"/>
  <c r="AO31" i="56" s="1"/>
  <c r="AO26" i="57"/>
  <c r="AR77" i="41"/>
  <c r="AR55" i="41"/>
  <c r="AR4" i="56" s="1"/>
  <c r="AR13" i="56" s="1"/>
  <c r="AR20" i="56" s="1"/>
  <c r="AR8" i="56"/>
  <c r="AR17" i="56" s="1"/>
  <c r="AR41" i="56" s="1"/>
  <c r="AS60" i="41"/>
  <c r="AS61" i="41" s="1"/>
  <c r="AO53" i="56" l="1"/>
  <c r="AO55" i="56" s="1"/>
  <c r="AO65" i="56" s="1"/>
  <c r="AO39" i="56"/>
  <c r="AO43" i="56" s="1"/>
  <c r="AO33" i="56"/>
  <c r="AO35" i="56" s="1"/>
  <c r="AO37" i="56" s="1"/>
  <c r="AO62" i="56" s="1"/>
  <c r="AS48" i="56"/>
  <c r="AR21" i="56"/>
  <c r="AP34" i="56"/>
  <c r="AP36" i="56" s="1"/>
  <c r="AP42" i="56"/>
  <c r="AP44" i="56" s="1"/>
  <c r="AP50" i="56" s="1"/>
  <c r="AT57" i="41"/>
  <c r="AS50" i="41"/>
  <c r="AS53" i="41" s="1"/>
  <c r="AQ25" i="56"/>
  <c r="AQ54" i="56"/>
  <c r="AQ57" i="56" s="1"/>
  <c r="AQ59" i="56" s="1"/>
  <c r="AQ66" i="56" s="1"/>
  <c r="AR90" i="41"/>
  <c r="AR92" i="41" s="1"/>
  <c r="AR93" i="41" s="1"/>
  <c r="AR79" i="41"/>
  <c r="AR80" i="41" s="1"/>
  <c r="AP21" i="57"/>
  <c r="AP22" i="57" s="1"/>
  <c r="AQ19" i="57" s="1"/>
  <c r="AP24" i="57"/>
  <c r="AP25" i="57" s="1"/>
  <c r="AQ15" i="57" l="1"/>
  <c r="AQ16" i="57"/>
  <c r="AQ20" i="57" s="1"/>
  <c r="AQ30" i="56"/>
  <c r="AQ10" i="57"/>
  <c r="AQ12" i="57" s="1"/>
  <c r="AS8" i="56"/>
  <c r="AS17" i="56" s="1"/>
  <c r="AS41" i="56" s="1"/>
  <c r="AS77" i="41"/>
  <c r="AS55" i="41"/>
  <c r="AS4" i="56" s="1"/>
  <c r="AS13" i="56" s="1"/>
  <c r="AS20" i="56" s="1"/>
  <c r="AR23" i="56"/>
  <c r="AR58" i="56"/>
  <c r="AO45" i="56"/>
  <c r="AO63" i="56" s="1"/>
  <c r="AO47" i="56"/>
  <c r="AO49" i="56" s="1"/>
  <c r="AO51" i="56" s="1"/>
  <c r="AO64" i="56" s="1"/>
  <c r="AT60" i="41"/>
  <c r="AT61" i="41" s="1"/>
  <c r="AP29" i="56"/>
  <c r="AP31" i="56" s="1"/>
  <c r="AP26" i="57"/>
  <c r="AS90" i="41" l="1"/>
  <c r="AS92" i="41" s="1"/>
  <c r="AS93" i="41" s="1"/>
  <c r="AS79" i="41"/>
  <c r="AS80" i="41" s="1"/>
  <c r="AT50" i="41"/>
  <c r="AT53" i="41" s="1"/>
  <c r="AU57" i="41"/>
  <c r="AR54" i="56"/>
  <c r="AR57" i="56" s="1"/>
  <c r="AR59" i="56" s="1"/>
  <c r="AR66" i="56" s="1"/>
  <c r="AR25" i="56"/>
  <c r="AQ24" i="57"/>
  <c r="AQ25" i="57" s="1"/>
  <c r="AQ21" i="57"/>
  <c r="AQ22" i="57" s="1"/>
  <c r="AR19" i="57" s="1"/>
  <c r="AP33" i="56"/>
  <c r="AP35" i="56" s="1"/>
  <c r="AP37" i="56" s="1"/>
  <c r="AP62" i="56" s="1"/>
  <c r="AP39" i="56"/>
  <c r="AP43" i="56" s="1"/>
  <c r="AP53" i="56"/>
  <c r="AP55" i="56" s="1"/>
  <c r="AP65" i="56" s="1"/>
  <c r="AT48" i="56"/>
  <c r="AS21" i="56"/>
  <c r="AQ34" i="56"/>
  <c r="AQ36" i="56" s="1"/>
  <c r="AQ42" i="56"/>
  <c r="AQ44" i="56" s="1"/>
  <c r="AQ50" i="56" s="1"/>
  <c r="AR16" i="57" l="1"/>
  <c r="AR20" i="57" s="1"/>
  <c r="AR15" i="57"/>
  <c r="AS58" i="56"/>
  <c r="AS23" i="56"/>
  <c r="AP47" i="56"/>
  <c r="AP49" i="56" s="1"/>
  <c r="AP51" i="56" s="1"/>
  <c r="AP64" i="56" s="1"/>
  <c r="AP45" i="56"/>
  <c r="AP63" i="56" s="1"/>
  <c r="AR10" i="57"/>
  <c r="AR12" i="57" s="1"/>
  <c r="AR30" i="56"/>
  <c r="AQ29" i="56"/>
  <c r="AQ31" i="56" s="1"/>
  <c r="AQ26" i="57"/>
  <c r="AT8" i="56"/>
  <c r="AT17" i="56" s="1"/>
  <c r="AT41" i="56" s="1"/>
  <c r="AT77" i="41"/>
  <c r="AT55" i="41"/>
  <c r="AT4" i="56" s="1"/>
  <c r="AT13" i="56" s="1"/>
  <c r="AT20" i="56" s="1"/>
  <c r="AU60" i="41"/>
  <c r="AU61" i="41" s="1"/>
  <c r="AV57" i="41" l="1"/>
  <c r="AU50" i="41"/>
  <c r="AU53" i="41" s="1"/>
  <c r="AU48" i="56"/>
  <c r="AT21" i="56"/>
  <c r="AQ33" i="56"/>
  <c r="AQ35" i="56" s="1"/>
  <c r="AQ37" i="56" s="1"/>
  <c r="AQ62" i="56" s="1"/>
  <c r="AQ39" i="56"/>
  <c r="AQ43" i="56" s="1"/>
  <c r="AQ53" i="56"/>
  <c r="AQ55" i="56" s="1"/>
  <c r="AQ65" i="56" s="1"/>
  <c r="AT90" i="41"/>
  <c r="AT92" i="41" s="1"/>
  <c r="AT93" i="41" s="1"/>
  <c r="AT79" i="41"/>
  <c r="AT80" i="41" s="1"/>
  <c r="AR34" i="56"/>
  <c r="AR36" i="56" s="1"/>
  <c r="AR42" i="56"/>
  <c r="AR44" i="56" s="1"/>
  <c r="AR50" i="56" s="1"/>
  <c r="AS25" i="56"/>
  <c r="AS54" i="56"/>
  <c r="AS57" i="56" s="1"/>
  <c r="AS59" i="56" s="1"/>
  <c r="AS66" i="56" s="1"/>
  <c r="AR21" i="57"/>
  <c r="AR22" i="57" s="1"/>
  <c r="AS19" i="57" s="1"/>
  <c r="AR24" i="57"/>
  <c r="AR25" i="57" s="1"/>
  <c r="AS15" i="57" l="1"/>
  <c r="AS16" i="57"/>
  <c r="AS20" i="57" s="1"/>
  <c r="AQ47" i="56"/>
  <c r="AQ49" i="56" s="1"/>
  <c r="AQ51" i="56" s="1"/>
  <c r="AQ64" i="56" s="1"/>
  <c r="AQ45" i="56"/>
  <c r="AQ63" i="56" s="1"/>
  <c r="AS10" i="57"/>
  <c r="AS12" i="57" s="1"/>
  <c r="AS30" i="56"/>
  <c r="AT23" i="56"/>
  <c r="AT58" i="56"/>
  <c r="AU77" i="41"/>
  <c r="AU55" i="41"/>
  <c r="AU4" i="56" s="1"/>
  <c r="AU13" i="56" s="1"/>
  <c r="AU20" i="56" s="1"/>
  <c r="AU8" i="56"/>
  <c r="AU17" i="56" s="1"/>
  <c r="AU41" i="56" s="1"/>
  <c r="AR29" i="56"/>
  <c r="AR31" i="56" s="1"/>
  <c r="AR26" i="57"/>
  <c r="AV60" i="41"/>
  <c r="AV61" i="41" s="1"/>
  <c r="AW57" i="41" l="1"/>
  <c r="AV50" i="41"/>
  <c r="AV53" i="41" s="1"/>
  <c r="AV48" i="56"/>
  <c r="AU21" i="56"/>
  <c r="AU90" i="41"/>
  <c r="AU92" i="41" s="1"/>
  <c r="AU93" i="41" s="1"/>
  <c r="AU79" i="41"/>
  <c r="AU80" i="41" s="1"/>
  <c r="AS21" i="57"/>
  <c r="AS22" i="57" s="1"/>
  <c r="AT19" i="57" s="1"/>
  <c r="AS24" i="57"/>
  <c r="AS25" i="57" s="1"/>
  <c r="AS34" i="56"/>
  <c r="AS36" i="56" s="1"/>
  <c r="AS42" i="56"/>
  <c r="AS44" i="56" s="1"/>
  <c r="AS50" i="56" s="1"/>
  <c r="AR39" i="56"/>
  <c r="AR43" i="56" s="1"/>
  <c r="AR33" i="56"/>
  <c r="AR35" i="56" s="1"/>
  <c r="AR37" i="56" s="1"/>
  <c r="AR62" i="56" s="1"/>
  <c r="AR53" i="56"/>
  <c r="AR55" i="56" s="1"/>
  <c r="AR65" i="56" s="1"/>
  <c r="AT54" i="56"/>
  <c r="AT57" i="56" s="1"/>
  <c r="AT59" i="56" s="1"/>
  <c r="AT66" i="56" s="1"/>
  <c r="AT25" i="56"/>
  <c r="AT15" i="57" l="1"/>
  <c r="AT16" i="57"/>
  <c r="AT20" i="57" s="1"/>
  <c r="AS29" i="56"/>
  <c r="AS31" i="56" s="1"/>
  <c r="AS26" i="57"/>
  <c r="AU23" i="56"/>
  <c r="AU58" i="56"/>
  <c r="AV77" i="41"/>
  <c r="AV8" i="56"/>
  <c r="AV17" i="56" s="1"/>
  <c r="AV41" i="56" s="1"/>
  <c r="AV55" i="41"/>
  <c r="AV4" i="56" s="1"/>
  <c r="AV13" i="56" s="1"/>
  <c r="AV20" i="56" s="1"/>
  <c r="AT10" i="57"/>
  <c r="AT12" i="57" s="1"/>
  <c r="AT30" i="56"/>
  <c r="AR45" i="56"/>
  <c r="AR63" i="56" s="1"/>
  <c r="AR47" i="56"/>
  <c r="AR49" i="56" s="1"/>
  <c r="AR51" i="56" s="1"/>
  <c r="AR64" i="56" s="1"/>
  <c r="AW60" i="41"/>
  <c r="AW61" i="41" s="1"/>
  <c r="AX57" i="41" l="1"/>
  <c r="AW50" i="41"/>
  <c r="AW53" i="41" s="1"/>
  <c r="AW48" i="56"/>
  <c r="AV21" i="56"/>
  <c r="AU54" i="56"/>
  <c r="AU57" i="56" s="1"/>
  <c r="AU59" i="56" s="1"/>
  <c r="AU66" i="56" s="1"/>
  <c r="AU25" i="56"/>
  <c r="AT21" i="57"/>
  <c r="AT22" i="57" s="1"/>
  <c r="AU19" i="57" s="1"/>
  <c r="AT24" i="57"/>
  <c r="AT25" i="57" s="1"/>
  <c r="AT42" i="56"/>
  <c r="AT44" i="56" s="1"/>
  <c r="AT50" i="56" s="1"/>
  <c r="AT34" i="56"/>
  <c r="AT36" i="56" s="1"/>
  <c r="AV90" i="41"/>
  <c r="AV92" i="41" s="1"/>
  <c r="AV93" i="41" s="1"/>
  <c r="AV79" i="41"/>
  <c r="AV80" i="41" s="1"/>
  <c r="AS33" i="56"/>
  <c r="AS35" i="56" s="1"/>
  <c r="AS37" i="56" s="1"/>
  <c r="AS62" i="56" s="1"/>
  <c r="AS53" i="56"/>
  <c r="AS55" i="56" s="1"/>
  <c r="AS65" i="56" s="1"/>
  <c r="AS39" i="56"/>
  <c r="AS43" i="56" s="1"/>
  <c r="AU15" i="57" l="1"/>
  <c r="AU16" i="57"/>
  <c r="AU20" i="57" s="1"/>
  <c r="AU10" i="57"/>
  <c r="AU12" i="57" s="1"/>
  <c r="AU30" i="56"/>
  <c r="AT29" i="56"/>
  <c r="AT31" i="56" s="1"/>
  <c r="AT26" i="57"/>
  <c r="AV23" i="56"/>
  <c r="AV58" i="56"/>
  <c r="AW77" i="41"/>
  <c r="AW55" i="41"/>
  <c r="AW4" i="56" s="1"/>
  <c r="AW13" i="56" s="1"/>
  <c r="AW20" i="56" s="1"/>
  <c r="AW8" i="56"/>
  <c r="AW17" i="56" s="1"/>
  <c r="AW41" i="56" s="1"/>
  <c r="AS47" i="56"/>
  <c r="AS49" i="56" s="1"/>
  <c r="AS51" i="56" s="1"/>
  <c r="AS64" i="56" s="1"/>
  <c r="AS45" i="56"/>
  <c r="AS63" i="56" s="1"/>
  <c r="AX60" i="41"/>
  <c r="AX61" i="41" s="1"/>
  <c r="AX50" i="41" s="1"/>
  <c r="AX53" i="41" s="1"/>
  <c r="AX48" i="56" l="1"/>
  <c r="AW21" i="56"/>
  <c r="AW90" i="41"/>
  <c r="AW92" i="41" s="1"/>
  <c r="AW93" i="41" s="1"/>
  <c r="AW79" i="41"/>
  <c r="AW80" i="41" s="1"/>
  <c r="AT33" i="56"/>
  <c r="AT35" i="56" s="1"/>
  <c r="AT37" i="56" s="1"/>
  <c r="AT62" i="56" s="1"/>
  <c r="AT39" i="56"/>
  <c r="AT43" i="56" s="1"/>
  <c r="AT53" i="56"/>
  <c r="AT55" i="56" s="1"/>
  <c r="AT65" i="56" s="1"/>
  <c r="AX77" i="41"/>
  <c r="AX55" i="41"/>
  <c r="AX4" i="56" s="1"/>
  <c r="AX13" i="56" s="1"/>
  <c r="AX20" i="56" s="1"/>
  <c r="AX21" i="56" s="1"/>
  <c r="AX8" i="56"/>
  <c r="AX17" i="56" s="1"/>
  <c r="AX41" i="56" s="1"/>
  <c r="AU42" i="56"/>
  <c r="AU44" i="56" s="1"/>
  <c r="AU50" i="56" s="1"/>
  <c r="AU34" i="56"/>
  <c r="AU36" i="56" s="1"/>
  <c r="AV54" i="56"/>
  <c r="AV57" i="56" s="1"/>
  <c r="AV59" i="56" s="1"/>
  <c r="AV66" i="56" s="1"/>
  <c r="AV25" i="56"/>
  <c r="AU24" i="57"/>
  <c r="AU25" i="57" s="1"/>
  <c r="AU21" i="57"/>
  <c r="AU22" i="57" s="1"/>
  <c r="AV19" i="57" s="1"/>
  <c r="AV16" i="57" l="1"/>
  <c r="AV20" i="57" s="1"/>
  <c r="AV15" i="57"/>
  <c r="AX23" i="56"/>
  <c r="AX58" i="56"/>
  <c r="AV30" i="56"/>
  <c r="AV10" i="57"/>
  <c r="AV12" i="57" s="1"/>
  <c r="AT47" i="56"/>
  <c r="AT49" i="56" s="1"/>
  <c r="AT51" i="56" s="1"/>
  <c r="AT64" i="56" s="1"/>
  <c r="AT45" i="56"/>
  <c r="AT63" i="56" s="1"/>
  <c r="AX90" i="41"/>
  <c r="AX92" i="41" s="1"/>
  <c r="AX93" i="41" s="1"/>
  <c r="AX79" i="41"/>
  <c r="AX80" i="41" s="1"/>
  <c r="AW23" i="56"/>
  <c r="AW58" i="56"/>
  <c r="AU29" i="56"/>
  <c r="AU31" i="56" s="1"/>
  <c r="AU26" i="57"/>
  <c r="AU33" i="56" l="1"/>
  <c r="AU35" i="56" s="1"/>
  <c r="AU37" i="56" s="1"/>
  <c r="AU62" i="56" s="1"/>
  <c r="AU53" i="56"/>
  <c r="AU55" i="56" s="1"/>
  <c r="AU65" i="56" s="1"/>
  <c r="AU39" i="56"/>
  <c r="AU43" i="56" s="1"/>
  <c r="AV34" i="56"/>
  <c r="AV36" i="56" s="1"/>
  <c r="AV42" i="56"/>
  <c r="AV44" i="56" s="1"/>
  <c r="AV50" i="56" s="1"/>
  <c r="AV21" i="57"/>
  <c r="AV22" i="57" s="1"/>
  <c r="AW19" i="57" s="1"/>
  <c r="AV24" i="57"/>
  <c r="AV25" i="57" s="1"/>
  <c r="AW54" i="56"/>
  <c r="AW57" i="56" s="1"/>
  <c r="AW59" i="56" s="1"/>
  <c r="AW66" i="56" s="1"/>
  <c r="AW25" i="56"/>
  <c r="AX54" i="56"/>
  <c r="AX57" i="56" s="1"/>
  <c r="AX59" i="56" s="1"/>
  <c r="AX66" i="56" s="1"/>
  <c r="AX25" i="56"/>
  <c r="AV29" i="56" l="1"/>
  <c r="AV31" i="56" s="1"/>
  <c r="AV26" i="57"/>
  <c r="AU47" i="56"/>
  <c r="AU49" i="56" s="1"/>
  <c r="AU51" i="56" s="1"/>
  <c r="AU64" i="56" s="1"/>
  <c r="AU45" i="56"/>
  <c r="AU63" i="56" s="1"/>
  <c r="AW15" i="57"/>
  <c r="AW16" i="57"/>
  <c r="AW20" i="57" s="1"/>
  <c r="AX10" i="57"/>
  <c r="AX12" i="57" s="1"/>
  <c r="AX30" i="56"/>
  <c r="AW10" i="57"/>
  <c r="AW12" i="57" s="1"/>
  <c r="AW30" i="56"/>
  <c r="AW34" i="56" l="1"/>
  <c r="AW36" i="56" s="1"/>
  <c r="AW42" i="56"/>
  <c r="AW44" i="56" s="1"/>
  <c r="AW50" i="56" s="1"/>
  <c r="AW21" i="57"/>
  <c r="AW22" i="57" s="1"/>
  <c r="AX19" i="57" s="1"/>
  <c r="AW24" i="57"/>
  <c r="AW25" i="57" s="1"/>
  <c r="AX42" i="56"/>
  <c r="AX44" i="56" s="1"/>
  <c r="AX50" i="56" s="1"/>
  <c r="AX34" i="56"/>
  <c r="AX36" i="56" s="1"/>
  <c r="AX21" i="57"/>
  <c r="AV39" i="56"/>
  <c r="AV43" i="56" s="1"/>
  <c r="AV53" i="56"/>
  <c r="AV55" i="56" s="1"/>
  <c r="AV65" i="56" s="1"/>
  <c r="AV33" i="56"/>
  <c r="AV35" i="56" s="1"/>
  <c r="AV37" i="56" s="1"/>
  <c r="AV62" i="56" s="1"/>
  <c r="AX16" i="57" l="1"/>
  <c r="AX20" i="57" s="1"/>
  <c r="AX24" i="57" s="1"/>
  <c r="AX25" i="57" s="1"/>
  <c r="AX15" i="57"/>
  <c r="AV47" i="56"/>
  <c r="AV49" i="56" s="1"/>
  <c r="AV51" i="56" s="1"/>
  <c r="AV64" i="56" s="1"/>
  <c r="AV45" i="56"/>
  <c r="AV63" i="56" s="1"/>
  <c r="AW26" i="57"/>
  <c r="AW29" i="56"/>
  <c r="AW31" i="56" s="1"/>
  <c r="AW33" i="56" l="1"/>
  <c r="AW35" i="56" s="1"/>
  <c r="AW37" i="56" s="1"/>
  <c r="AW62" i="56" s="1"/>
  <c r="AW53" i="56"/>
  <c r="AW55" i="56" s="1"/>
  <c r="AW65" i="56" s="1"/>
  <c r="AW39" i="56"/>
  <c r="AW43" i="56" s="1"/>
  <c r="AX29" i="56"/>
  <c r="AX31" i="56" s="1"/>
  <c r="AX26" i="57"/>
  <c r="R40" i="41" s="1"/>
  <c r="AX22" i="57"/>
  <c r="AW45" i="56" l="1"/>
  <c r="AW63" i="56" s="1"/>
  <c r="AW47" i="56"/>
  <c r="AW49" i="56" s="1"/>
  <c r="AW51" i="56" s="1"/>
  <c r="AW64" i="56" s="1"/>
  <c r="AX39" i="56"/>
  <c r="AX43" i="56" s="1"/>
  <c r="AX33" i="56"/>
  <c r="AX35" i="56" s="1"/>
  <c r="AX37" i="56" s="1"/>
  <c r="AX62" i="56" s="1"/>
  <c r="AX53" i="56"/>
  <c r="AX55" i="56" s="1"/>
  <c r="AX65" i="56" s="1"/>
  <c r="AX45" i="56" l="1"/>
  <c r="AX63" i="56" s="1"/>
  <c r="AX47" i="56"/>
  <c r="AX49" i="56" s="1"/>
  <c r="AX51" i="56" s="1"/>
  <c r="AX64" i="56" s="1"/>
</calcChain>
</file>

<file path=xl/sharedStrings.xml><?xml version="1.0" encoding="utf-8"?>
<sst xmlns="http://schemas.openxmlformats.org/spreadsheetml/2006/main" count="495" uniqueCount="304">
  <si>
    <t>TRV</t>
  </si>
  <si>
    <t>DAV</t>
  </si>
  <si>
    <t>PA</t>
  </si>
  <si>
    <t>Capex</t>
  </si>
  <si>
    <t>Cashflows</t>
  </si>
  <si>
    <t>Closing DAV</t>
  </si>
  <si>
    <t>Real Return pa</t>
  </si>
  <si>
    <t>Discount Factor (Yr End)</t>
  </si>
  <si>
    <t>Opex</t>
  </si>
  <si>
    <t>Allowed Revenue</t>
  </si>
  <si>
    <t>Discounted Cashflow</t>
  </si>
  <si>
    <t>Total Regulatory Value (TRV)</t>
  </si>
  <si>
    <t>Adjusted Cashflows</t>
  </si>
  <si>
    <t>Closing TRV (Incl Return)</t>
  </si>
  <si>
    <t>Calculated PA</t>
  </si>
  <si>
    <t>Volumes (therms '000)</t>
  </si>
  <si>
    <t>£/therm</t>
  </si>
  <si>
    <t>Opening DAV (Incl Rolling Capex Incentive)</t>
  </si>
  <si>
    <t>Volumes (Therms)</t>
  </si>
  <si>
    <t>P1</t>
  </si>
  <si>
    <t>P2</t>
  </si>
  <si>
    <t>Contract</t>
  </si>
  <si>
    <t>Core asset depreciation</t>
  </si>
  <si>
    <t>PMICR</t>
  </si>
  <si>
    <t>Tax</t>
  </si>
  <si>
    <t>Interest</t>
  </si>
  <si>
    <t>Losses</t>
  </si>
  <si>
    <t>Debt</t>
  </si>
  <si>
    <t>Average debt</t>
  </si>
  <si>
    <t>Average TRV</t>
  </si>
  <si>
    <t>Opening:</t>
  </si>
  <si>
    <t>Cshflow:</t>
  </si>
  <si>
    <t>Return on in year cashflow:</t>
  </si>
  <si>
    <t>Return on in year opening:</t>
  </si>
  <si>
    <t>Closing:</t>
  </si>
  <si>
    <t>Cashflow</t>
  </si>
  <si>
    <t>Opening TRV incl. return</t>
  </si>
  <si>
    <t xml:space="preserve">DAV </t>
  </si>
  <si>
    <t xml:space="preserve">PA </t>
  </si>
  <si>
    <t>Domestic/Very Small IC</t>
  </si>
  <si>
    <t>V Dom/Very Small IC Tariff (&lt;2,500 tpa) (P1)</t>
  </si>
  <si>
    <t>V Small/Med Tariff IC (2,500 - 25k tpa) (P2)</t>
  </si>
  <si>
    <t>Small/Medium IC</t>
  </si>
  <si>
    <t>V Large Tariff (25k tpa - 75k tpa) (P3)</t>
  </si>
  <si>
    <t>V Contract IC (&gt;75k tpa) (P4)</t>
  </si>
  <si>
    <t>P Dom/Very Small IC Tariff (&lt;2,500 tpa) (P1)</t>
  </si>
  <si>
    <t>P Small/Med Tariff IC (2,500 - 25k tpa) (P2)</t>
  </si>
  <si>
    <t>P Large Tariff (25k tpa - 75k tpa) (P3)</t>
  </si>
  <si>
    <t>P Contract IC (&gt;75k tpa) (P4)</t>
  </si>
  <si>
    <t xml:space="preserve">Large IC </t>
  </si>
  <si>
    <t>P3</t>
  </si>
  <si>
    <t>P4</t>
  </si>
  <si>
    <t>Real Return</t>
  </si>
  <si>
    <t>Year</t>
  </si>
  <si>
    <t>Opening DAV/TRV (2023)</t>
  </si>
  <si>
    <t xml:space="preserve">Rolling </t>
  </si>
  <si>
    <t>Opening DAV (excl Rolling Capex Incentive)</t>
  </si>
  <si>
    <t>Total Volume</t>
  </si>
  <si>
    <t>Profile adjustment movement</t>
  </si>
  <si>
    <t>Financial Year Corporation Tax Rate:</t>
  </si>
  <si>
    <t>Calendar Year Corporation Tax Rate:</t>
  </si>
  <si>
    <t>Revenue:</t>
  </si>
  <si>
    <t>Less opex:</t>
  </si>
  <si>
    <t>Less interest:</t>
  </si>
  <si>
    <t>Less capital allowances:</t>
  </si>
  <si>
    <t>Profits attributable to corporation tax:</t>
  </si>
  <si>
    <t>Total For Capital Allowances</t>
  </si>
  <si>
    <t>Capital Allowances Pro-Rata Percentages</t>
  </si>
  <si>
    <t>Plant &amp; Machinery (inc ECA) 18%</t>
  </si>
  <si>
    <t>Long Life Assets - Plant &amp; Machinery 6%</t>
  </si>
  <si>
    <t>Structures &amp; Buildings Allowance 2%</t>
  </si>
  <si>
    <t>Assets not qualifying for capital allowances or revenue deductions</t>
  </si>
  <si>
    <t>GENERAL POOL</t>
  </si>
  <si>
    <t>General Pool Brought Forward</t>
  </si>
  <si>
    <t>Total</t>
  </si>
  <si>
    <t>Capital Allowances at 18%</t>
  </si>
  <si>
    <t>General Pool Closing Balance</t>
  </si>
  <si>
    <t>SUPER DEDUCTION POOL</t>
  </si>
  <si>
    <t>Additions</t>
  </si>
  <si>
    <t>Capital Allowances at 130%</t>
  </si>
  <si>
    <t>LONG LIFE ASSET POOL</t>
  </si>
  <si>
    <t>Long Life Pool Brought Forward</t>
  </si>
  <si>
    <t>Capital Allowances at 6%</t>
  </si>
  <si>
    <t>LLA Closing Balance</t>
  </si>
  <si>
    <t>Total Allowances</t>
  </si>
  <si>
    <t>Losses brought forward</t>
  </si>
  <si>
    <t>Losses used in the period</t>
  </si>
  <si>
    <t>Losses carried forward</t>
  </si>
  <si>
    <t>Adjusted profit</t>
  </si>
  <si>
    <t>Revenue</t>
  </si>
  <si>
    <t>Funds from operations (FFO)</t>
  </si>
  <si>
    <t>FFO</t>
  </si>
  <si>
    <t>FFO Excluding Interest</t>
  </si>
  <si>
    <t>FFO Interest Cover</t>
  </si>
  <si>
    <t>Post Maintenance FFO</t>
  </si>
  <si>
    <t>Net Debt</t>
  </si>
  <si>
    <t>FFO / Net Debt</t>
  </si>
  <si>
    <t>RCV</t>
  </si>
  <si>
    <t>Gearing</t>
  </si>
  <si>
    <t>Financeability Summary</t>
  </si>
  <si>
    <t>Operating  costs</t>
  </si>
  <si>
    <t>General</t>
  </si>
  <si>
    <t>Long life</t>
  </si>
  <si>
    <t>Tax Assumptions</t>
  </si>
  <si>
    <t>General Pool %</t>
  </si>
  <si>
    <t>Super Deduction Pool %</t>
  </si>
  <si>
    <t xml:space="preserve">Assets Qualifying for 100% FYA </t>
  </si>
  <si>
    <t>Long Life Pool %</t>
  </si>
  <si>
    <t>SR Pool %</t>
  </si>
  <si>
    <t>SBA Pool Opening Balance</t>
  </si>
  <si>
    <t>Structures &amp; Buildings %</t>
  </si>
  <si>
    <t>Discounted DAV2046</t>
  </si>
  <si>
    <t>Assets Qualifying for 100% AIA</t>
  </si>
  <si>
    <t>Annual Investment Allowance</t>
  </si>
  <si>
    <t>Special Rate Pool</t>
  </si>
  <si>
    <t>Contributions</t>
  </si>
  <si>
    <t>Remaining balance for pools</t>
  </si>
  <si>
    <t>Capital Allowances at 50%</t>
  </si>
  <si>
    <t>Addback remaining balance from SR Pool</t>
  </si>
  <si>
    <t>Super Deduction Pool</t>
  </si>
  <si>
    <t>SR Pool</t>
  </si>
  <si>
    <t>TOTAL ALLOWANCES</t>
  </si>
  <si>
    <t>Total Capex</t>
  </si>
  <si>
    <t>Capex 40 Year</t>
  </si>
  <si>
    <t>Capex 15 Year</t>
  </si>
  <si>
    <t>Capex 5 Year</t>
  </si>
  <si>
    <t>Capex 35 Year - Services</t>
  </si>
  <si>
    <t>Capex 40 Year - TMA</t>
  </si>
  <si>
    <t>Annual Depreciation Capex 40 Year</t>
  </si>
  <si>
    <t>Annual Depreciation Capex 15 Year</t>
  </si>
  <si>
    <t>Annual Depreciation Capex 5 Year</t>
  </si>
  <si>
    <t>Annual Depreciation Capex 35 Year - Services</t>
  </si>
  <si>
    <t>Annual Depreciation Capex 40 Year - TMA</t>
  </si>
  <si>
    <t>Depreciation Capex 40 Year</t>
  </si>
  <si>
    <t>Depreciation Capex 15 Year</t>
  </si>
  <si>
    <t>Depreciation Capex 5 Year</t>
  </si>
  <si>
    <t>Depreciation Capex 35 Year - Services</t>
  </si>
  <si>
    <t>Depreciation Capex 40 Year - TMA</t>
  </si>
  <si>
    <t>Depreciation Opening DAV</t>
  </si>
  <si>
    <t>Opening DAV</t>
  </si>
  <si>
    <t>GD17 UM Adjusted - 2014 Prices</t>
  </si>
  <si>
    <t>m</t>
  </si>
  <si>
    <t>n</t>
  </si>
  <si>
    <t>q</t>
  </si>
  <si>
    <t>RPI</t>
  </si>
  <si>
    <t>Designated Parameters</t>
  </si>
  <si>
    <t>Determined Values</t>
  </si>
  <si>
    <t>i = 1</t>
  </si>
  <si>
    <t>i = 2</t>
  </si>
  <si>
    <t>i = 3</t>
  </si>
  <si>
    <t>i = 4</t>
  </si>
  <si>
    <t>t =</t>
  </si>
  <si>
    <t>Assumed Geaing</t>
  </si>
  <si>
    <t>Nominal Cost of Debt</t>
  </si>
  <si>
    <t>Contributions (Capital) (Based on total Figure)</t>
  </si>
  <si>
    <r>
      <t>Additions (Based on Net Figure</t>
    </r>
    <r>
      <rPr>
        <sz val="10"/>
        <rFont val="Arial Narrow"/>
        <family val="2"/>
      </rPr>
      <t>)</t>
    </r>
  </si>
  <si>
    <t>Additional TRV and PA calculations on an annual basis</t>
  </si>
  <si>
    <t>GD23</t>
  </si>
  <si>
    <t>GDN</t>
  </si>
  <si>
    <t>Price Control</t>
  </si>
  <si>
    <t>Determination</t>
  </si>
  <si>
    <t xml:space="preserve">Gearing </t>
  </si>
  <si>
    <t>Nominal interest rate</t>
  </si>
  <si>
    <t>Firm Contract</t>
  </si>
  <si>
    <t>Interruptible Contract</t>
  </si>
  <si>
    <t>P5</t>
  </si>
  <si>
    <t>P6</t>
  </si>
  <si>
    <t>Super Deduction Pool Allocation %</t>
  </si>
  <si>
    <t>General Pool Allocation %</t>
  </si>
  <si>
    <t>Special Rate Pool Allocation %</t>
  </si>
  <si>
    <t>Non Qualifying CA Allocation</t>
  </si>
  <si>
    <t>GENERAL POOL ALLOCATIONS FOR SPECIALS</t>
  </si>
  <si>
    <t>Allocate to super deduction pool</t>
  </si>
  <si>
    <t>Allocate remaninder to general pool</t>
  </si>
  <si>
    <t>Special Rate Pool FYA % Allocation</t>
  </si>
  <si>
    <t>SPECIAL RATE POOL ALLOCATIONS FOR SPECIALS</t>
  </si>
  <si>
    <t>Allocate to additional 50% SR pool</t>
  </si>
  <si>
    <t>Allocate remaninder direct to special rate pool</t>
  </si>
  <si>
    <t xml:space="preserve">Super User I&amp;C </t>
  </si>
  <si>
    <t>P7</t>
  </si>
  <si>
    <t>General Pool Opening Balance (5% of opening)</t>
  </si>
  <si>
    <t>P Firm Contract (P5)</t>
  </si>
  <si>
    <t>P Interruptible Contract (P6)</t>
  </si>
  <si>
    <t>P Super User Contract (P7)</t>
  </si>
  <si>
    <t>Discount Factor (Mid Year)</t>
  </si>
  <si>
    <t>Tax Payable (Hardcoded)</t>
  </si>
  <si>
    <t>SBA Pool Allocation %</t>
  </si>
  <si>
    <t>Additions Qualifying</t>
  </si>
  <si>
    <t>Additions Total</t>
  </si>
  <si>
    <t>Tax Losses B/F (Nominal)</t>
  </si>
  <si>
    <t>First 5m allowable loss</t>
  </si>
  <si>
    <t>50% Profits exceeding 5m available for loss</t>
  </si>
  <si>
    <t>Total Profits available for loss relief</t>
  </si>
  <si>
    <t>Losses unused in the period</t>
  </si>
  <si>
    <t>SGN</t>
  </si>
  <si>
    <t>Long Life Pool (95% Opening Balance)</t>
  </si>
  <si>
    <t>Actual Depreciation</t>
  </si>
  <si>
    <t>Determined Depreciation</t>
  </si>
  <si>
    <t>Totex</t>
  </si>
  <si>
    <t>Totex to TRV</t>
  </si>
  <si>
    <t>GD17 FD - 2014 Prices</t>
  </si>
  <si>
    <t>GD17 UM Adjustments - 2014 Prices</t>
  </si>
  <si>
    <t>GD17 UM Adjusted  - 2020 Prices</t>
  </si>
  <si>
    <t>Depreciation Rates</t>
  </si>
  <si>
    <t>Solved</t>
  </si>
  <si>
    <t>Tariff allocation relative to P1</t>
  </si>
  <si>
    <t>UM Opex incl RoR</t>
  </si>
  <si>
    <t>Capex RoR</t>
  </si>
  <si>
    <t>Dav Pi</t>
  </si>
  <si>
    <t>GD17 FD</t>
  </si>
  <si>
    <t>GD17 UM</t>
  </si>
  <si>
    <t>Inflation factor</t>
  </si>
  <si>
    <t>Tax in 2020 prices for Pi</t>
  </si>
  <si>
    <t>TRV indexation</t>
  </si>
  <si>
    <t>Nominal Post Maintenance FFO</t>
  </si>
  <si>
    <t>Nominal PMICR</t>
  </si>
  <si>
    <t>Opening DAV anf TRV</t>
  </si>
  <si>
    <t>Inflation Assumptions</t>
  </si>
  <si>
    <t>Historical Index</t>
  </si>
  <si>
    <t>RPI (Year Average)</t>
  </si>
  <si>
    <t>RPI (Year End)</t>
  </si>
  <si>
    <t>2020 RPI</t>
  </si>
  <si>
    <t>OAV</t>
  </si>
  <si>
    <t>Opex OAV</t>
  </si>
  <si>
    <t>Revenue OAV</t>
  </si>
  <si>
    <t>2020 Prices</t>
  </si>
  <si>
    <t>Operating costs</t>
  </si>
  <si>
    <t>Core Asset depreciation</t>
  </si>
  <si>
    <t>Profile Adjustment</t>
  </si>
  <si>
    <t>Nominal Prices</t>
  </si>
  <si>
    <t>Act</t>
  </si>
  <si>
    <t>Forecast</t>
  </si>
  <si>
    <t>Annual Inflation</t>
  </si>
  <si>
    <t>Vanilla, Real (CPIH)</t>
  </si>
  <si>
    <t>CPIH (Year Average)</t>
  </si>
  <si>
    <t>CPIH (Year End)</t>
  </si>
  <si>
    <t>RPI  to CPIH Switch</t>
  </si>
  <si>
    <t>CPIH</t>
  </si>
  <si>
    <t>2020 CPIH</t>
  </si>
  <si>
    <t>Description</t>
  </si>
  <si>
    <t>Rate of return</t>
  </si>
  <si>
    <t>Trigger for review</t>
  </si>
  <si>
    <t>Trigger for previous review</t>
  </si>
  <si>
    <t>Forecasting horizon</t>
  </si>
  <si>
    <t>Indexation base</t>
  </si>
  <si>
    <t>Averaging factor</t>
  </si>
  <si>
    <t>Incentive period</t>
  </si>
  <si>
    <t>Opex roller switch</t>
  </si>
  <si>
    <t>Capex roller switch</t>
  </si>
  <si>
    <t>Depreciation switch</t>
  </si>
  <si>
    <t>Deemed asset life</t>
  </si>
  <si>
    <r>
      <t>r</t>
    </r>
    <r>
      <rPr>
        <i/>
        <vertAlign val="subscript"/>
        <sz val="10"/>
        <rFont val="Arial Narrow"/>
        <family val="2"/>
      </rPr>
      <t>t</t>
    </r>
  </si>
  <si>
    <r>
      <t>f</t>
    </r>
    <r>
      <rPr>
        <i/>
        <vertAlign val="subscript"/>
        <sz val="10"/>
        <rFont val="Arial Narrow"/>
        <family val="2"/>
      </rPr>
      <t>t</t>
    </r>
  </si>
  <si>
    <t>w</t>
  </si>
  <si>
    <t>g</t>
  </si>
  <si>
    <t>h</t>
  </si>
  <si>
    <t>d</t>
  </si>
  <si>
    <t>l</t>
  </si>
  <si>
    <r>
      <t>ά</t>
    </r>
    <r>
      <rPr>
        <i/>
        <vertAlign val="subscript"/>
        <sz val="10"/>
        <rFont val="Arial Narrow"/>
        <family val="2"/>
      </rPr>
      <t>t</t>
    </r>
  </si>
  <si>
    <r>
      <t>δ</t>
    </r>
    <r>
      <rPr>
        <i/>
        <vertAlign val="subscript"/>
        <sz val="10"/>
        <rFont val="Arial Narrow"/>
        <family val="2"/>
      </rPr>
      <t>t</t>
    </r>
  </si>
  <si>
    <r>
      <t>X</t>
    </r>
    <r>
      <rPr>
        <vertAlign val="subscript"/>
        <sz val="10"/>
        <rFont val="Arial Narrow"/>
        <family val="2"/>
      </rPr>
      <t>O,t</t>
    </r>
  </si>
  <si>
    <r>
      <t>X</t>
    </r>
    <r>
      <rPr>
        <vertAlign val="subscript"/>
        <sz val="10"/>
        <rFont val="Arial Narrow"/>
        <family val="2"/>
      </rPr>
      <t>U,t</t>
    </r>
  </si>
  <si>
    <t>Under-recovery terms</t>
  </si>
  <si>
    <t>Volume (therms)</t>
  </si>
  <si>
    <r>
      <t>V</t>
    </r>
    <r>
      <rPr>
        <i/>
        <vertAlign val="subscript"/>
        <sz val="10"/>
        <rFont val="Arial Narrow"/>
        <family val="2"/>
      </rPr>
      <t>E,I,t</t>
    </r>
  </si>
  <si>
    <t>Capital Expenditure</t>
  </si>
  <si>
    <r>
      <t>C</t>
    </r>
    <r>
      <rPr>
        <i/>
        <vertAlign val="subscript"/>
        <sz val="10"/>
        <rFont val="Arial Narrow"/>
        <family val="2"/>
      </rPr>
      <t>E,t</t>
    </r>
  </si>
  <si>
    <t>Operarting Expenditure</t>
  </si>
  <si>
    <r>
      <t>O</t>
    </r>
    <r>
      <rPr>
        <i/>
        <vertAlign val="subscript"/>
        <sz val="10"/>
        <rFont val="Arial Narrow"/>
        <family val="2"/>
      </rPr>
      <t>E,t</t>
    </r>
  </si>
  <si>
    <t>Depreciation</t>
  </si>
  <si>
    <r>
      <t>D</t>
    </r>
    <r>
      <rPr>
        <i/>
        <vertAlign val="subscript"/>
        <sz val="10"/>
        <rFont val="Arial Narrow"/>
        <family val="2"/>
      </rPr>
      <t>E,t</t>
    </r>
  </si>
  <si>
    <r>
      <t>F</t>
    </r>
    <r>
      <rPr>
        <i/>
        <vertAlign val="subscript"/>
        <sz val="10"/>
        <rFont val="Arial Narrow"/>
        <family val="2"/>
      </rPr>
      <t>E,t</t>
    </r>
  </si>
  <si>
    <t>Revenue per unit</t>
  </si>
  <si>
    <r>
      <t>P</t>
    </r>
    <r>
      <rPr>
        <i/>
        <vertAlign val="subscript"/>
        <sz val="10"/>
        <rFont val="Arial Narrow"/>
        <family val="2"/>
      </rPr>
      <t>E,I,t</t>
    </r>
  </si>
  <si>
    <t>i = 5</t>
  </si>
  <si>
    <t>i = 6</t>
  </si>
  <si>
    <t>i = 7</t>
  </si>
  <si>
    <t>Total Revenue</t>
  </si>
  <si>
    <r>
      <t>R</t>
    </r>
    <r>
      <rPr>
        <i/>
        <vertAlign val="subscript"/>
        <sz val="10"/>
        <rFont val="Arial Narrow"/>
        <family val="2"/>
      </rPr>
      <t>E,t</t>
    </r>
  </si>
  <si>
    <t>Depreciated Asset Value</t>
  </si>
  <si>
    <r>
      <t>DAV</t>
    </r>
    <r>
      <rPr>
        <i/>
        <vertAlign val="subscript"/>
        <sz val="10"/>
        <rFont val="Arial Narrow"/>
        <family val="2"/>
      </rPr>
      <t>E,t</t>
    </r>
  </si>
  <si>
    <t>Total Regulated Value</t>
  </si>
  <si>
    <r>
      <t>TRV</t>
    </r>
    <r>
      <rPr>
        <i/>
        <vertAlign val="subscript"/>
        <sz val="10"/>
        <rFont val="Arial Narrow"/>
        <family val="2"/>
      </rPr>
      <t>E,m</t>
    </r>
  </si>
  <si>
    <r>
      <t>PA</t>
    </r>
    <r>
      <rPr>
        <i/>
        <vertAlign val="subscript"/>
        <sz val="10"/>
        <rFont val="Arial Narrow"/>
        <family val="2"/>
      </rPr>
      <t>E,m</t>
    </r>
  </si>
  <si>
    <r>
      <t>T</t>
    </r>
    <r>
      <rPr>
        <i/>
        <vertAlign val="subscript"/>
        <sz val="10"/>
        <rFont val="Arial Narrow"/>
        <family val="2"/>
      </rPr>
      <t>E,t</t>
    </r>
  </si>
  <si>
    <t>OAV RoR</t>
  </si>
  <si>
    <t>tax check</t>
  </si>
  <si>
    <r>
      <t xml:space="preserve">Goalseek to 0 by running Macro </t>
    </r>
    <r>
      <rPr>
        <sz val="10"/>
        <color rgb="FF0066FF"/>
        <rFont val="Arial Narrow"/>
        <family val="2"/>
      </rPr>
      <t>Ctrl + s</t>
    </r>
    <r>
      <rPr>
        <sz val="10"/>
        <rFont val="Arial Narrow"/>
        <family val="2"/>
      </rPr>
      <t xml:space="preserve"> </t>
    </r>
    <r>
      <rPr>
        <sz val="10"/>
        <color rgb="FFFF0000"/>
        <rFont val="Arial Narrow"/>
        <family val="2"/>
      </rPr>
      <t>until tax is zero</t>
    </r>
  </si>
  <si>
    <t>Profile Adjustment Movement</t>
  </si>
  <si>
    <t>Return on</t>
  </si>
  <si>
    <t>Return of</t>
  </si>
  <si>
    <t xml:space="preserve">Opex </t>
  </si>
  <si>
    <t>tax</t>
  </si>
  <si>
    <t>Capex Roller Adjustments to DAV</t>
  </si>
  <si>
    <t>REVENUE</t>
  </si>
  <si>
    <t>TRV x WACC</t>
  </si>
  <si>
    <t>DAV depreciation</t>
  </si>
  <si>
    <t>check</t>
  </si>
  <si>
    <t>not included in WACC ie vanilla</t>
  </si>
  <si>
    <t>Final</t>
  </si>
  <si>
    <t>Value</t>
  </si>
  <si>
    <t>Opening TRV</t>
  </si>
  <si>
    <t>Return on TRV</t>
  </si>
  <si>
    <t>Closing TRV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</si>
</sst>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#,##0.0"/>
    <numFmt numFmtId="169" formatCode="_-[$€-2]* #,##0.00_-;\-[$€-2]* #,##0.00_-;_-[$€-2]* &quot;-&quot;??_-"/>
    <numFmt numFmtId="170" formatCode="0.0000"/>
    <numFmt numFmtId="171" formatCode="#,##0;\(#,##0\)"/>
    <numFmt numFmtId="172" formatCode="[$$-409]#,##0.00"/>
    <numFmt numFmtId="173" formatCode="#,##0.0\ ;\(#,##0.0\)"/>
    <numFmt numFmtId="174" formatCode="&quot;$&quot;#,##0.00_);[Red]\(&quot;$&quot;#,##0.00\)"/>
    <numFmt numFmtId="175" formatCode="#,##0_);[Red]\(#,##0\);&quot;-&quot;"/>
    <numFmt numFmtId="176" formatCode="mmmm\ d\,\ yyyy"/>
    <numFmt numFmtId="177" formatCode="_(&quot;$&quot;#,##0_)&quot;millions&quot;;\(&quot;$&quot;#,##0\)&quot; millions&quot;"/>
    <numFmt numFmtId="178" formatCode="&quot;$&quot;#,##0.00_)\ \ \ ;\(&quot;$&quot;#,##0.00\)\ \ \ "/>
    <numFmt numFmtId="179" formatCode="&quot;$&quot;#,##0.00&quot;*&quot;\ \ ;\(&quot;$&quot;#,##0.00\)&quot;*&quot;\ \ "/>
    <numFmt numFmtId="180" formatCode="&quot;$&quot;#,##0.00\A_)\ ;\(&quot;$&quot;#,##0.00\A\)\ \ "/>
    <numFmt numFmtId="181" formatCode="&quot;$&quot;@\ "/>
    <numFmt numFmtId="182" formatCode="[$-809]d\ mmmm\ yyyy;@"/>
    <numFmt numFmtId="183" formatCode="000\-00\-0000\ "/>
    <numFmt numFmtId="184" formatCode="0.0%"/>
    <numFmt numFmtId="185" formatCode="_(* #,##0_);_(* \(#,##0\);_(* &quot;-&quot;_);_(@_)"/>
    <numFmt numFmtId="186" formatCode="_(* #,##0_);_(* \(#,##0\);_(* &quot;0&quot;_);_(@_)"/>
    <numFmt numFmtId="187" formatCode="#,##0.0_);\(#,##0.0\)"/>
    <numFmt numFmtId="188" formatCode="&quot;$&quot;_(#,##0.00_);&quot;$&quot;\(#,##0.00\)"/>
    <numFmt numFmtId="189" formatCode="_-&quot;$&quot;* #,##0.0_-;\-&quot;$&quot;* #,##0.0_-;_-&quot;$&quot;* &quot;-&quot;??_-;_-@_-"/>
    <numFmt numFmtId="190" formatCode="#,##0_);\(#,##0\);&quot;-  &quot;;&quot; &quot;@&quot; &quot;"/>
    <numFmt numFmtId="191" formatCode="#,##0.0_)\x;\(#,##0.0\)\x"/>
    <numFmt numFmtId="192" formatCode="&quot;$&quot;#,##0"/>
    <numFmt numFmtId="193" formatCode="#,##0.0_)_x;\(#,##0.0\)_x"/>
    <numFmt numFmtId="194" formatCode="_(&quot;$&quot;* #,##0_);_(&quot;$&quot;* \(#,##0\);_(&quot;$&quot;* &quot;-&quot;??_);_(@_)"/>
    <numFmt numFmtId="195" formatCode="0.0_)\%;\(0.0\)\%"/>
    <numFmt numFmtId="196" formatCode="_-* #,##0.000_-;\-* #,##0.000_-;_-* &quot;-&quot;??_-;_-@_-"/>
    <numFmt numFmtId="197" formatCode="#,##0.0_)_%;\(#,##0.0\)_%"/>
    <numFmt numFmtId="198" formatCode="_(&quot;$&quot;* #,##0.0_);_(&quot;$&quot;* \(#,##0.0\);_(&quot;$&quot;* &quot;-&quot;?_);_(@_)"/>
    <numFmt numFmtId="199" formatCode="#,##0.0_);[Red]\(#,##0.0\)"/>
    <numFmt numFmtId="200" formatCode="_-&quot;£&quot;* #,##0.0_-;_-&quot;£&quot;* \(#,##0.0\)"/>
    <numFmt numFmtId="201" formatCode="\£\ #,##0_);[Red]\(\£\ #,##0\)"/>
    <numFmt numFmtId="202" formatCode="#,##0.00;[Red]\(#,##0.00\);\-"/>
    <numFmt numFmtId="203" formatCode="\¥\ #,##0_);[Red]\(\¥\ #,##0\)"/>
    <numFmt numFmtId="204" formatCode="_-\€* #,##0.0_-;_-\€* \(#,##0.0\)"/>
    <numFmt numFmtId="205" formatCode="0;[Red]\(0\);\-"/>
    <numFmt numFmtId="206" formatCode="#,##0;[Red]\(#,##0\);\-"/>
    <numFmt numFmtId="207" formatCode="#,##0,_);[Red]\(#,##0,\)"/>
    <numFmt numFmtId="208" formatCode="0.0;\(0.0\);\-"/>
    <numFmt numFmtId="209" formatCode="0.00;\(0.00\);\-"/>
    <numFmt numFmtId="210" formatCode="0.00;[Red]\(0.00\);\-"/>
    <numFmt numFmtId="211" formatCode="0.000;\(0.000\);\-"/>
    <numFmt numFmtId="212" formatCode="_-&quot;£&quot;* #,##0.000_-;\-&quot;£&quot;* #,##0.000_-;_-&quot;£&quot;* &quot;-&quot;??_-;_-@_-"/>
    <numFmt numFmtId="213" formatCode="0\A"/>
    <numFmt numFmtId="214" formatCode="m\-d\-yy"/>
    <numFmt numFmtId="215" formatCode="0.0_)"/>
    <numFmt numFmtId="216" formatCode="#,##0;[Red]\-#,##0;\-"/>
    <numFmt numFmtId="217" formatCode="_ &quot;R&quot;\ * #,##0_ ;_ &quot;R&quot;\ * \-#,##0_ ;_ &quot;R&quot;\ * &quot;-&quot;_ ;_ @_ "/>
    <numFmt numFmtId="218" formatCode="0.00\ "/>
    <numFmt numFmtId="219" formatCode="#,##0.0,,,&quot;bn&quot;"/>
    <numFmt numFmtId="220" formatCode="0.0%_);[Red]\(0.0%\)"/>
    <numFmt numFmtId="221" formatCode="0.0%;\(0.0\)%"/>
    <numFmt numFmtId="222" formatCode="0&quot; bp&quot;"/>
    <numFmt numFmtId="223" formatCode="#,##0;&quot;(&quot;#,##0&quot;)&quot;;&quot;-&quot;"/>
    <numFmt numFmtId="224" formatCode="_(* #,##0.0_);_(* \(#,##0.0\);_(* &quot;-&quot;?_);@_)"/>
    <numFmt numFmtId="225" formatCode="\•\ \ @"/>
    <numFmt numFmtId="226" formatCode="#,##0_);[Red]\(#,##0\);&quot;-&quot;_);[Blue]&quot;Error-&quot;@"/>
    <numFmt numFmtId="227" formatCode="#,##0.0_);[Red]\(#,##0.0\);&quot;-&quot;_);[Blue]&quot;Error-&quot;@"/>
    <numFmt numFmtId="228" formatCode="#,##0.00_);[Red]\(#,##0.00\);&quot;-&quot;_);[Blue]&quot;Error-&quot;@"/>
    <numFmt numFmtId="229" formatCode="&quot;£&quot;* #,##0_);[Red]&quot;£&quot;* \(#,##0\);&quot;£&quot;* &quot;-&quot;_);[Blue]&quot;Error-&quot;@"/>
    <numFmt numFmtId="230" formatCode="&quot;£&quot;* #,##0.0_);[Red]&quot;£&quot;* \(#,##0.0\);&quot;£&quot;* &quot;-&quot;_);[Blue]&quot;Error-&quot;@"/>
    <numFmt numFmtId="231" formatCode="&quot;£&quot;* #,##0.00_);[Red]&quot;£&quot;* \(#,##0.00\);&quot;£&quot;* &quot;-&quot;_);[Blue]&quot;Error-&quot;@"/>
    <numFmt numFmtId="232" formatCode="dd\ mmm\ yyyy_)"/>
    <numFmt numFmtId="233" formatCode="dd/mm/yy_)"/>
    <numFmt numFmtId="234" formatCode="0%_);[Red]\-0%_);0%_);[Blue]&quot;Error-&quot;@"/>
    <numFmt numFmtId="235" formatCode="0.0%_);[Red]\-0.0%_);0.0%_);[Blue]&quot;Error-&quot;@"/>
    <numFmt numFmtId="236" formatCode="0.00%_);[Red]\-0.00%_);0.00%_);[Blue]&quot;Error-&quot;@"/>
    <numFmt numFmtId="237" formatCode="_-* #,##0_-;* \(#,##0\)_-;_-@_-"/>
    <numFmt numFmtId="238" formatCode="dd\-mmm\-yyyy"/>
    <numFmt numFmtId="239" formatCode="&quot;£&quot;#,###_);[Red]\(&quot;£&quot;#,###\);&quot;£&quot;0"/>
    <numFmt numFmtId="240" formatCode="&quot;£&quot;#,###_);[Red]\(&quot;£&quot;#,###\);"/>
    <numFmt numFmtId="241" formatCode="&quot;£&quot;#,##0.00_);[Red]\(&quot;£&quot;#,##0.00\);&quot;£&quot;0.00"/>
    <numFmt numFmtId="242" formatCode="&quot;£&quot;#,##0.00_);[Red]\(&quot;£&quot;#,##0.00\);"/>
    <numFmt numFmtId="243" formatCode="0.0"/>
    <numFmt numFmtId="244" formatCode="0.000_)"/>
    <numFmt numFmtId="245" formatCode="#,###_);[Red]\(#,###\);0"/>
    <numFmt numFmtId="246" formatCode="#,###_);[Red]\(#,###\);"/>
    <numFmt numFmtId="247" formatCode="##,##0.00_);[Red]\(##,##0.00\);0.00"/>
    <numFmt numFmtId="248" formatCode="#,##0.00_);[Red]\(#,##0.00\);&quot;- &quot;"/>
    <numFmt numFmtId="249" formatCode="#,##0.00_);[Red]\(#,##0.00\);&quot;Nil &quot;"/>
    <numFmt numFmtId="250" formatCode="#,##0.00_);[Red]\(#,##0.00\);"/>
    <numFmt numFmtId="251" formatCode="#,##0_);[Red]\(#,##0\);"/>
    <numFmt numFmtId="252" formatCode="#,##0.000;[Red]\(#,##0.000\);\-"/>
    <numFmt numFmtId="253" formatCode="#,##0_%_);\(#,##0\)_%;**;@_%_)"/>
    <numFmt numFmtId="254" formatCode="#,##0.000_ ;\-#,##0.000\ "/>
    <numFmt numFmtId="255" formatCode="\$#,##0.0,,,&quot;bn&quot;"/>
    <numFmt numFmtId="256" formatCode="_-* #,##0.0000_-;\-* #,##0.0000_-;_-* &quot;-&quot;??_-;_-@_-"/>
    <numFmt numFmtId="257" formatCode="0.0_x_)_);&quot;NM&quot;_x_)_);0.0_x_)_);@_%_)"/>
    <numFmt numFmtId="258" formatCode="0.0\ \x;\(0.0\ \x\)"/>
    <numFmt numFmtId="259" formatCode="#,##0_);[Red]\(#,##0\);&quot;- &quot;"/>
    <numFmt numFmtId="260" formatCode="#,##0_);[Red]\(#,##0\);&quot;Nil &quot;"/>
    <numFmt numFmtId="261" formatCode="0.0_ ;\(0.0\)_ \ "/>
    <numFmt numFmtId="262" formatCode="#,##0.0_);\(#,##0.0\);&quot;--&quot;_)"/>
    <numFmt numFmtId="263" formatCode="#,##0.00_);\(#,##0.00\);&quot;--&quot;_)"/>
    <numFmt numFmtId="264" formatCode="General_)"/>
    <numFmt numFmtId="265" formatCode="0.000;[Red]\-0.000;\-"/>
    <numFmt numFmtId="266" formatCode="#&quot; mins&quot;"/>
    <numFmt numFmtId="267" formatCode="&quot;$&quot;#,##0_);[Red]\(&quot;$&quot;#,##0\)"/>
    <numFmt numFmtId="268" formatCode="&quot;£&quot;#,##0.00_);[Red]\(&quot;£&quot;#,##0.00\);&quot;£&quot;0.00_)"/>
    <numFmt numFmtId="269" formatCode="&quot;£&quot;#,##0.00_);[Red]\(&quot;£&quot;#,##0.00\);&quot;- &quot;"/>
    <numFmt numFmtId="270" formatCode="&quot;£&quot;#,##0.00_);[Red]\(&quot;£&quot;#,##0.00\);&quot;Nil &quot;"/>
    <numFmt numFmtId="271" formatCode="&quot;£&quot;#,##0_);[Red]\(&quot;£&quot;#,##0\);"/>
    <numFmt numFmtId="272" formatCode="_(&quot;$&quot;* #,##0_);_(&quot;$&quot;* \(#,##0\);_(&quot;$&quot;* &quot;-&quot;_);_(@_)"/>
    <numFmt numFmtId="273" formatCode="&quot;£&quot;#,##0.00;\(&quot;£&quot;#,##0.00\)"/>
    <numFmt numFmtId="274" formatCode="m/d"/>
    <numFmt numFmtId="275" formatCode="&quot;£&quot;#,##0_);[Red]\(&quot;£&quot;#,##0\);&quot;- &quot;"/>
    <numFmt numFmtId="276" formatCode="&quot;£&quot;#,##0_);[Red]\(&quot;£&quot;#,##0\);&quot;Nil &quot;"/>
    <numFmt numFmtId="277" formatCode="0.0\ \ \x\ ;\(0.0\)\ \ \x\ "/>
    <numFmt numFmtId="278" formatCode="@\ \ \ \ \ "/>
    <numFmt numFmtId="279" formatCode="\ \ _•\–\ \ \ \ @"/>
    <numFmt numFmtId="280" formatCode="0.00_ ;[Red]\-0.00\ "/>
    <numFmt numFmtId="281" formatCode="000"/>
    <numFmt numFmtId="282" formatCode="#,##0.0;[Red]\(#,##0.0\);\-"/>
    <numFmt numFmtId="283" formatCode="d\-mmm\-yyyy"/>
    <numFmt numFmtId="284" formatCode="&quot;$&quot;#,##0.0;[Red]&quot;$&quot;#,##0.0"/>
    <numFmt numFmtId="285" formatCode="dd/mm/yyyy;;&quot;-&quot;"/>
    <numFmt numFmtId="286" formatCode="dd/mmm/yyyy_);;&quot;-  &quot;;&quot; &quot;@"/>
    <numFmt numFmtId="287" formatCode="dd/mmm/yy_);;&quot;-  &quot;;&quot; &quot;@"/>
    <numFmt numFmtId="288" formatCode="0.00,,;[Red]\(0.00,,\);\-"/>
    <numFmt numFmtId="289" formatCode="_-* #,##0\ _D_M_-;\-* #,##0\ _D_M_-;_-* &quot;-&quot;\ _D_M_-;_-@_-"/>
    <numFmt numFmtId="290" formatCode="_-* #,##0.00\ _D_M_-;\-* #,##0.00\ _D_M_-;_-* &quot;-&quot;??\ _D_M_-;_-@_-"/>
    <numFmt numFmtId="291" formatCode="#,##0.00_)\ \ \ \ \ ;\(#,##0.00\)\ \ \ \ \ "/>
    <numFmt numFmtId="292" formatCode="&quot;$&quot;#,##0.00_)\ \ \ \ \ ;\(&quot;$&quot;#,##0.00\)\ \ \ \ \ "/>
    <numFmt numFmtId="293" formatCode="&quot;$&quot;#,##0.00\A\ \ \ \ ;\(&quot;$&quot;#,##0.00\A\)\ \ \ \ "/>
    <numFmt numFmtId="294" formatCode="&quot;$&quot;#,##0.00&quot;E&quot;\ \ \ \ ;\(&quot;$&quot;#,##0.00&quot;E&quot;\)\ \ \ \ "/>
    <numFmt numFmtId="295" formatCode="#,##0.00\A\ \ \ \ ;\(#,##0.00\A\)\ \ \ \ "/>
    <numFmt numFmtId="296" formatCode="#,##0.00&quot;E&quot;\ \ \ \ ;\(#,##0.00&quot;E&quot;\)\ \ \ \ "/>
    <numFmt numFmtId="297" formatCode="\€#,##0.0,,,&quot;bn&quot;"/>
    <numFmt numFmtId="298" formatCode="\€#,##0.0,,&quot;m&quot;"/>
    <numFmt numFmtId="299" formatCode="\€#,##0.0,&quot;k&quot;"/>
    <numFmt numFmtId="300" formatCode="[Magenta]&quot;Err&quot;;[Magenta]&quot;Err&quot;;[Blue]&quot;OK&quot;"/>
    <numFmt numFmtId="301" formatCode="#,##0.0000_);\(#,##0.0000\);&quot;-  &quot;;&quot; &quot;@"/>
    <numFmt numFmtId="302" formatCode="0;0;&quot;&quot;"/>
    <numFmt numFmtId="303" formatCode="\ ;\ ;"/>
    <numFmt numFmtId="304" formatCode="_-#,##0&quot; hours&quot;"/>
    <numFmt numFmtId="305" formatCode="0.000"/>
    <numFmt numFmtId="306" formatCode="#,##0_);[Red]\(#,##0\);\-_)"/>
    <numFmt numFmtId="307" formatCode="0,&quot; K&quot;_);[Red]\(0,&quot; K&quot;\)"/>
    <numFmt numFmtId="308" formatCode="0.00,&quot; K&quot;_);[Red]\(0.00,&quot; K&quot;\)"/>
    <numFmt numFmtId="309" formatCode="0,,&quot; M&quot;_);[Red]\(0,,&quot; M&quot;\)"/>
    <numFmt numFmtId="310" formatCode="0.00,,&quot; M&quot;_);[Red]\(0.00,,&quot; M&quot;\)"/>
    <numFmt numFmtId="311" formatCode="_-#,##0.0&quot; max&quot;"/>
    <numFmt numFmtId="312" formatCode="_ * #,##0_ ;_ * \-#,##0_ ;_ * &quot;-&quot;_ ;_ @_ "/>
    <numFmt numFmtId="313" formatCode="_ * #,##0.00_ ;_ * \-#,##0.00_ ;_ * &quot;-&quot;??_ ;_ @_ "/>
    <numFmt numFmtId="314" formatCode="&quot;£&quot;#,##0,,&quot;M&quot;_);[Red]\(&quot;£&quot;#,##0,,&quot;M&quot;\);&quot;£&quot;0,,&quot;M&quot;_)"/>
    <numFmt numFmtId="315" formatCode="&quot;£&quot;#,##0.00,,&quot;M&quot;_);[Red]\(&quot;£&quot;#,##0.00,,&quot;M&quot;\);&quot;£&quot;0.00,,&quot;M&quot;_)"/>
    <numFmt numFmtId="316" formatCode="_ &quot;R&quot;\ * #,##0.00_ ;_ &quot;R&quot;\ * \-#,##0.00_ ;_ &quot;R&quot;\ * &quot;-&quot;??_ ;_ @_ "/>
    <numFmt numFmtId="317" formatCode="_-#,##0&quot; months&quot;"/>
    <numFmt numFmtId="318" formatCode="_-#,##0&quot;MW&quot;"/>
    <numFmt numFmtId="319" formatCode="_-#,##0&quot;MWth&quot;"/>
    <numFmt numFmtId="320" formatCode="0.00_)"/>
    <numFmt numFmtId="321" formatCode="##_);[Red]\(##\);0"/>
    <numFmt numFmtId="322" formatCode="##_);[Red]\(##\);"/>
    <numFmt numFmtId="323" formatCode="##0.00_);[Red]\(##0.00\);0.00"/>
    <numFmt numFmtId="324" formatCode="###0.00_);[Red]\(###0.00\);"/>
    <numFmt numFmtId="325" formatCode="_-* #,##0\ ;* \(#,##0\);_-* &quot;-&quot;_-;_-@_-"/>
    <numFmt numFmtId="326" formatCode="#,##0_);[Red]\(#,##0\);\-_0_)"/>
    <numFmt numFmtId="327" formatCode="d\ mmm\ yy"/>
    <numFmt numFmtId="328" formatCode="#,##0.0,,_);[Red]\(#,##0.0,,\);\-_0_)"/>
    <numFmt numFmtId="329" formatCode="&quot;£&quot;#,##0.0,,_)&quot;m&quot;;[Red]\(&quot;£&quot;#,##0.0,,_)&quot;m&quot;\);&quot;£&quot;\-_0_)\ &quot;m&quot;"/>
    <numFmt numFmtId="330" formatCode="#,##0.000,,_);[Red]\(#,##0.000,,\);\-_0_)"/>
    <numFmt numFmtId="331" formatCode="#,##0.0,_);[Red]\(#,##0.0,\);\-_0_)"/>
    <numFmt numFmtId="332" formatCode="dd\ mmm\ yy"/>
    <numFmt numFmtId="333" formatCode="mmm\ yy"/>
    <numFmt numFmtId="334" formatCode="#,##0.0,;\(#,##0.0,\);\-_)_0"/>
    <numFmt numFmtId="335" formatCode="0.00%;\(0.00%\)"/>
    <numFmt numFmtId="336" formatCode="0%;\-0%;&quot;-&quot;"/>
    <numFmt numFmtId="337" formatCode="#,##0.00\x_);\(#,##0.00\x\);&quot;-  &quot;;&quot;  &quot;@"/>
    <numFmt numFmtId="338" formatCode="0.0000%"/>
    <numFmt numFmtId="339" formatCode="m/d/yy\ h:mm:ss"/>
    <numFmt numFmtId="340" formatCode="_(* #,##0.00%_);_(* \(#,##0.00%\);_(* #,##0.00%_);_(@_)"/>
    <numFmt numFmtId="341" formatCode="_-#,##0&quot; t&quot;"/>
    <numFmt numFmtId="342" formatCode="&quot;£&quot;#,##0,&quot;K&quot;_);[Red]\(&quot;£&quot;#,##0,&quot;K&quot;\);&quot;£&quot;0,&quot;K&quot;_)"/>
    <numFmt numFmtId="343" formatCode="&quot;£&quot;#,##0.00,&quot;K&quot;_);[Red]\(&quot;£&quot;#,##0.00,&quot;K&quot;\);&quot;£&quot;0.00,&quot;K&quot;_)"/>
    <numFmt numFmtId="344" formatCode="_-* #,##0\ &quot;TL&quot;_-;\-* #,##0\ &quot;TL&quot;_-;_-* &quot;-&quot;\ &quot;TL&quot;_-;_-@_-"/>
    <numFmt numFmtId="345" formatCode="_-* #,##0.00\ &quot;TL&quot;_-;\-* #,##0.00\ &quot;TL&quot;_-;_-* &quot;-&quot;??\ &quot;TL&quot;_-;_-@_-"/>
    <numFmt numFmtId="346" formatCode="0.00%;[Red]\-0.00%;0.00%"/>
    <numFmt numFmtId="347" formatCode="yyyy"/>
    <numFmt numFmtId="348" formatCode="_-#,##0&quot; years&quot;"/>
    <numFmt numFmtId="349" formatCode="&quot;yes&quot;;&quot;ERROR&quot;;&quot;no&quot;"/>
    <numFmt numFmtId="350" formatCode="0.00000"/>
  </numFmts>
  <fonts count="17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Tms Rmn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10"/>
      <name val="Garamond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0"/>
      <name val="Geneva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b/>
      <sz val="12"/>
      <name val="Arial"/>
      <family val="2"/>
    </font>
    <font>
      <b/>
      <sz val="14"/>
      <name val="Arial"/>
      <family val="2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b/>
      <sz val="9"/>
      <name val="Helv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62"/>
      <name val="Arial"/>
      <family val="2"/>
    </font>
    <font>
      <sz val="10"/>
      <color indexed="62"/>
      <name val="Book Antiqua"/>
      <family val="1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Palatino"/>
      <family val="1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0"/>
      <color indexed="43"/>
      <name val="Times New Roman"/>
      <family val="1"/>
    </font>
    <font>
      <sz val="10"/>
      <color indexed="62"/>
      <name val="Times New Roman"/>
      <family val="1"/>
    </font>
    <font>
      <sz val="10"/>
      <color indexed="12"/>
      <name val="Times New Roman"/>
      <family val="1"/>
    </font>
    <font>
      <b/>
      <sz val="12"/>
      <color indexed="9"/>
      <name val="Arial"/>
      <family val="2"/>
    </font>
    <font>
      <b/>
      <sz val="12"/>
      <color indexed="9"/>
      <name val="Trebuchet MS"/>
      <family val="2"/>
    </font>
    <font>
      <b/>
      <sz val="10"/>
      <color indexed="9"/>
      <name val="Arial"/>
      <family val="2"/>
    </font>
    <font>
      <b/>
      <sz val="14"/>
      <name val="Times New Roman"/>
      <family val="1"/>
    </font>
    <font>
      <b/>
      <sz val="10"/>
      <color indexed="9"/>
      <name val="Times New Roman"/>
      <family val="1"/>
    </font>
    <font>
      <b/>
      <sz val="11"/>
      <color indexed="9"/>
      <name val="Arial"/>
      <family val="2"/>
    </font>
    <font>
      <sz val="10"/>
      <color indexed="20"/>
      <name val="Times New Roman"/>
      <family val="1"/>
    </font>
    <font>
      <sz val="10"/>
      <name val="Stone Sans"/>
      <family val="2"/>
    </font>
    <font>
      <sz val="10"/>
      <name val="Optim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8"/>
      <color indexed="56"/>
      <name val="Arial"/>
      <family val="2"/>
    </font>
    <font>
      <b/>
      <sz val="8"/>
      <name val="Times New Roman"/>
      <family val="1"/>
    </font>
    <font>
      <b/>
      <sz val="18"/>
      <color indexed="18"/>
      <name val="Arial"/>
      <family val="2"/>
    </font>
    <font>
      <sz val="12"/>
      <name val="Optima"/>
      <family val="2"/>
    </font>
    <font>
      <b/>
      <i/>
      <sz val="16"/>
      <name val="Helv"/>
    </font>
    <font>
      <sz val="10"/>
      <color rgb="FF000000"/>
      <name val="Verdana"/>
      <family val="2"/>
    </font>
    <font>
      <sz val="10"/>
      <color indexed="14"/>
      <name val="Arial"/>
      <family val="2"/>
    </font>
    <font>
      <b/>
      <sz val="12"/>
      <name val="Stone Sans"/>
      <family val="2"/>
    </font>
    <font>
      <b/>
      <sz val="18"/>
      <name val="Arial"/>
      <family val="2"/>
    </font>
    <font>
      <b/>
      <sz val="14"/>
      <name val="Stone Sans"/>
      <family val="2"/>
    </font>
    <font>
      <sz val="10"/>
      <name val="Stone Sans"/>
    </font>
    <font>
      <b/>
      <sz val="10"/>
      <name val="Antique Olive"/>
      <family val="2"/>
    </font>
    <font>
      <sz val="10"/>
      <name val="Antique Olive"/>
      <family val="2"/>
    </font>
    <font>
      <b/>
      <sz val="14"/>
      <name val="Antique Olive"/>
      <family val="2"/>
    </font>
    <font>
      <i/>
      <sz val="10"/>
      <name val="Antique Olive"/>
      <family val="2"/>
    </font>
    <font>
      <b/>
      <sz val="18"/>
      <name val="Antique Olive"/>
      <family val="2"/>
    </font>
    <font>
      <sz val="10"/>
      <color indexed="12"/>
      <name val="Arial"/>
      <family val="2"/>
    </font>
    <font>
      <b/>
      <sz val="10"/>
      <color indexed="32"/>
      <name val="Palatino"/>
      <family val="1"/>
    </font>
    <font>
      <i/>
      <sz val="8"/>
      <color indexed="60"/>
      <name val="Times New Roman"/>
      <family val="1"/>
    </font>
    <font>
      <sz val="12"/>
      <color indexed="8"/>
      <name val="Times New Roman"/>
      <family val="1"/>
    </font>
    <font>
      <sz val="14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4"/>
      <color indexed="9"/>
      <name val="Book Antiqua"/>
      <family val="1"/>
    </font>
    <font>
      <b/>
      <sz val="18"/>
      <color indexed="62"/>
      <name val="Cambria"/>
      <family val="2"/>
    </font>
    <font>
      <b/>
      <sz val="20"/>
      <color indexed="10"/>
      <name val="Arial"/>
      <family val="2"/>
    </font>
    <font>
      <sz val="12"/>
      <color indexed="10"/>
      <name val="Times New Roman"/>
      <family val="1"/>
    </font>
    <font>
      <b/>
      <sz val="10"/>
      <color indexed="62"/>
      <name val="Arial"/>
      <family val="2"/>
    </font>
    <font>
      <b/>
      <sz val="12"/>
      <color indexed="12"/>
      <name val="Arial"/>
      <family val="2"/>
    </font>
    <font>
      <sz val="11"/>
      <color indexed="17"/>
      <name val="Arial"/>
      <family val="2"/>
    </font>
    <font>
      <b/>
      <sz val="10"/>
      <color indexed="9"/>
      <name val="Book Antiqua"/>
      <family val="1"/>
    </font>
    <font>
      <b/>
      <i/>
      <sz val="10"/>
      <name val="Arial"/>
      <family val="2"/>
    </font>
    <font>
      <i/>
      <sz val="10"/>
      <color indexed="62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16"/>
      <color indexed="9"/>
      <name val="Arial"/>
      <family val="2"/>
    </font>
    <font>
      <b/>
      <sz val="14"/>
      <color indexed="32"/>
      <name val="Arial"/>
      <family val="2"/>
    </font>
    <font>
      <b/>
      <sz val="10"/>
      <name val="Helv"/>
    </font>
    <font>
      <b/>
      <sz val="10"/>
      <color indexed="4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u/>
      <sz val="10"/>
      <name val="Arial Narrow"/>
      <family val="2"/>
    </font>
    <font>
      <u/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color rgb="FF0066FF"/>
      <name val="Arial Narrow"/>
      <family val="2"/>
    </font>
    <font>
      <i/>
      <vertAlign val="subscript"/>
      <sz val="10"/>
      <name val="Arial Narrow"/>
      <family val="2"/>
    </font>
    <font>
      <i/>
      <sz val="10"/>
      <name val="Arial Narrow"/>
      <family val="2"/>
    </font>
    <font>
      <vertAlign val="subscript"/>
      <sz val="10"/>
      <name val="Arial Narrow"/>
      <family val="2"/>
    </font>
    <font>
      <sz val="10"/>
      <color theme="0"/>
      <name val="Arial Narrow"/>
      <family val="2"/>
    </font>
  </fonts>
  <fills count="8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indexed="21"/>
        <bgColor indexed="2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1"/>
        <bgColor indexed="61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6628">
    <xf numFmtId="0" fontId="0" fillId="0" borderId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20" fillId="0" borderId="0"/>
    <xf numFmtId="9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8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8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>
      <alignment vertical="top"/>
    </xf>
    <xf numFmtId="172" fontId="18" fillId="0" borderId="0">
      <alignment vertical="top"/>
    </xf>
    <xf numFmtId="173" fontId="23" fillId="0" borderId="0"/>
    <xf numFmtId="174" fontId="24" fillId="4" borderId="2">
      <alignment horizontal="center"/>
      <protection locked="0"/>
    </xf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2" fontId="25" fillId="0" borderId="0"/>
    <xf numFmtId="173" fontId="23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6" fillId="0" borderId="0" applyFont="0" applyFill="0" applyBorder="0" applyAlignment="0" applyProtection="0">
      <protection locked="0"/>
    </xf>
    <xf numFmtId="177" fontId="25" fillId="0" borderId="0">
      <alignment horizontal="right"/>
    </xf>
    <xf numFmtId="178" fontId="25" fillId="5" borderId="0"/>
    <xf numFmtId="179" fontId="25" fillId="5" borderId="0"/>
    <xf numFmtId="180" fontId="25" fillId="5" borderId="0"/>
    <xf numFmtId="181" fontId="25" fillId="5" borderId="0">
      <alignment horizontal="right"/>
    </xf>
    <xf numFmtId="0" fontId="18" fillId="0" borderId="0"/>
    <xf numFmtId="0" fontId="27" fillId="0" borderId="0"/>
    <xf numFmtId="182" fontId="27" fillId="0" borderId="0"/>
    <xf numFmtId="182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69" fontId="18" fillId="0" borderId="0"/>
    <xf numFmtId="169" fontId="18" fillId="0" borderId="0"/>
    <xf numFmtId="0" fontId="18" fillId="0" borderId="0"/>
    <xf numFmtId="173" fontId="18" fillId="0" borderId="0"/>
    <xf numFmtId="179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2" fontId="18" fillId="0" borderId="0"/>
    <xf numFmtId="0" fontId="18" fillId="0" borderId="0"/>
    <xf numFmtId="172" fontId="27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6" borderId="0" applyBorder="0">
      <alignment vertical="center"/>
    </xf>
    <xf numFmtId="0" fontId="18" fillId="0" borderId="0"/>
    <xf numFmtId="0" fontId="18" fillId="0" borderId="0"/>
    <xf numFmtId="172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2" fontId="27" fillId="0" borderId="0"/>
    <xf numFmtId="0" fontId="18" fillId="0" borderId="0"/>
    <xf numFmtId="0" fontId="18" fillId="0" borderId="0"/>
    <xf numFmtId="0" fontId="18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172" fontId="18" fillId="0" borderId="0" applyBorder="0"/>
    <xf numFmtId="184" fontId="28" fillId="6" borderId="0" applyBorder="0">
      <alignment vertical="center"/>
    </xf>
    <xf numFmtId="172" fontId="29" fillId="0" borderId="0" applyNumberFormat="0" applyFont="0" applyFill="0" applyBorder="0" applyAlignment="0" applyProtection="0"/>
    <xf numFmtId="9" fontId="18" fillId="0" borderId="0">
      <alignment horizontal="center"/>
    </xf>
    <xf numFmtId="185" fontId="18" fillId="0" borderId="0" applyFont="0" applyFill="0" applyBorder="0" applyAlignment="0" applyProtection="0"/>
    <xf numFmtId="172" fontId="30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6" fontId="32" fillId="0" borderId="0">
      <alignment horizontal="right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72" fontId="33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33" fillId="0" borderId="0"/>
    <xf numFmtId="172" fontId="18" fillId="0" borderId="0" applyFont="0" applyFill="0" applyBorder="0" applyAlignment="0" applyProtection="0"/>
    <xf numFmtId="172" fontId="33" fillId="0" borderId="0"/>
    <xf numFmtId="172" fontId="33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 applyFont="0" applyFill="0" applyBorder="0" applyAlignment="0" applyProtection="0"/>
    <xf numFmtId="0" fontId="33" fillId="0" borderId="0"/>
    <xf numFmtId="172" fontId="18" fillId="0" borderId="0"/>
    <xf numFmtId="172" fontId="18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34" fillId="0" borderId="0" applyFont="0" applyFill="0" applyBorder="0" applyAlignment="0" applyProtection="0"/>
    <xf numFmtId="187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18" fillId="0" borderId="0" applyFont="0" applyFill="0" applyBorder="0" applyAlignment="0" applyProtection="0"/>
    <xf numFmtId="172" fontId="18" fillId="0" borderId="0"/>
    <xf numFmtId="172" fontId="18" fillId="0" borderId="0"/>
    <xf numFmtId="0" fontId="18" fillId="0" borderId="0"/>
    <xf numFmtId="172" fontId="33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5" fillId="0" borderId="0"/>
    <xf numFmtId="0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39" fontId="18" fillId="0" borderId="0" applyFont="0" applyFill="0" applyBorder="0" applyAlignment="0" applyProtection="0"/>
    <xf numFmtId="172" fontId="18" fillId="0" borderId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/>
    <xf numFmtId="172" fontId="33" fillId="0" borderId="0"/>
    <xf numFmtId="172" fontId="30" fillId="0" borderId="0"/>
    <xf numFmtId="172" fontId="30" fillId="0" borderId="0"/>
    <xf numFmtId="38" fontId="34" fillId="0" borderId="0" applyAlignment="0" applyProtection="0"/>
    <xf numFmtId="38" fontId="34" fillId="0" borderId="0" applyFont="0" applyBorder="0" applyAlignment="0" applyProtection="0"/>
    <xf numFmtId="190" fontId="18" fillId="0" borderId="0" applyFont="0" applyFill="0" applyBorder="0" applyProtection="0">
      <alignment vertical="top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3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33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38" fontId="36" fillId="0" borderId="0" applyAlignment="0" applyProtection="0"/>
    <xf numFmtId="0" fontId="18" fillId="0" borderId="0" applyFont="0" applyFill="0" applyBorder="0" applyAlignment="0" applyProtection="0"/>
    <xf numFmtId="190" fontId="18" fillId="0" borderId="0" applyFont="0" applyFill="0" applyBorder="0" applyProtection="0">
      <alignment vertical="top"/>
    </xf>
    <xf numFmtId="38" fontId="36" fillId="0" borderId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172" fontId="33" fillId="0" borderId="0"/>
    <xf numFmtId="191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3" fillId="0" borderId="0"/>
    <xf numFmtId="172" fontId="33" fillId="0" borderId="0"/>
    <xf numFmtId="172" fontId="18" fillId="0" borderId="0"/>
    <xf numFmtId="0" fontId="18" fillId="0" borderId="0" applyFont="0" applyFill="0" applyBorder="0" applyAlignment="0" applyProtection="0"/>
    <xf numFmtId="172" fontId="33" fillId="0" borderId="0"/>
    <xf numFmtId="38" fontId="36" fillId="0" borderId="0" applyAlignment="0" applyProtection="0"/>
    <xf numFmtId="0" fontId="35" fillId="0" borderId="0"/>
    <xf numFmtId="0" fontId="35" fillId="0" borderId="0"/>
    <xf numFmtId="172" fontId="18" fillId="0" borderId="0"/>
    <xf numFmtId="172" fontId="18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95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72" fontId="37" fillId="0" borderId="0"/>
    <xf numFmtId="172" fontId="37" fillId="0" borderId="0"/>
    <xf numFmtId="172" fontId="37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0" fontId="35" fillId="0" borderId="0"/>
    <xf numFmtId="0" fontId="35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8" fillId="0" borderId="0" applyNumberFormat="0" applyFill="0" applyBorder="0" applyProtection="0">
      <alignment horizontal="left"/>
    </xf>
    <xf numFmtId="172" fontId="39" fillId="0" borderId="0" applyNumberFormat="0" applyFill="0" applyBorder="0" applyProtection="0">
      <alignment horizontal="centerContinuous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7" fillId="0" borderId="0"/>
    <xf numFmtId="172" fontId="37" fillId="0" borderId="0"/>
    <xf numFmtId="199" fontId="40" fillId="0" borderId="0"/>
    <xf numFmtId="172" fontId="30" fillId="0" borderId="0"/>
    <xf numFmtId="172" fontId="30" fillId="0" borderId="0"/>
    <xf numFmtId="172" fontId="37" fillId="0" borderId="0"/>
    <xf numFmtId="172" fontId="37" fillId="0" borderId="0"/>
    <xf numFmtId="172" fontId="37" fillId="0" borderId="0"/>
    <xf numFmtId="0" fontId="18" fillId="0" borderId="0" applyFont="0" applyFill="0" applyBorder="0" applyAlignment="0" applyProtection="0"/>
    <xf numFmtId="172" fontId="18" fillId="0" borderId="0"/>
    <xf numFmtId="172" fontId="33" fillId="0" borderId="0"/>
    <xf numFmtId="199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0" fontId="41" fillId="0" borderId="0" applyFont="0" applyFill="0" applyBorder="0" applyAlignment="0" applyProtection="0"/>
    <xf numFmtId="201" fontId="30" fillId="0" borderId="0" applyFont="0" applyFill="0" applyBorder="0" applyAlignment="0" applyProtection="0"/>
    <xf numFmtId="202" fontId="42" fillId="0" borderId="0"/>
    <xf numFmtId="203" fontId="30" fillId="0" borderId="0" applyFont="0" applyFill="0" applyBorder="0" applyAlignment="0" applyProtection="0"/>
    <xf numFmtId="204" fontId="41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172" fontId="18" fillId="0" borderId="0"/>
    <xf numFmtId="171" fontId="18" fillId="0" borderId="0" applyBorder="0"/>
    <xf numFmtId="0" fontId="18" fillId="0" borderId="0"/>
    <xf numFmtId="0" fontId="18" fillId="0" borderId="0"/>
    <xf numFmtId="172" fontId="18" fillId="0" borderId="0" applyBorder="0"/>
    <xf numFmtId="171" fontId="18" fillId="0" borderId="0" applyBorder="0"/>
    <xf numFmtId="199" fontId="40" fillId="0" borderId="0"/>
    <xf numFmtId="205" fontId="42" fillId="0" borderId="0"/>
    <xf numFmtId="205" fontId="43" fillId="0" borderId="0"/>
    <xf numFmtId="206" fontId="42" fillId="0" borderId="0"/>
    <xf numFmtId="207" fontId="26" fillId="0" borderId="0" applyFont="0" applyFill="0" applyBorder="0" applyAlignment="0" applyProtection="0"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08" fontId="46" fillId="0" borderId="0"/>
    <xf numFmtId="172" fontId="43" fillId="0" borderId="0"/>
    <xf numFmtId="208" fontId="47" fillId="0" borderId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169" fontId="49" fillId="8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169" fontId="49" fillId="10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169" fontId="49" fillId="12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9" fontId="49" fillId="14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169" fontId="49" fillId="16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169" fontId="49" fillId="17" borderId="0" applyNumberFormat="0" applyBorder="0" applyAlignment="0" applyProtection="0"/>
    <xf numFmtId="209" fontId="42" fillId="0" borderId="0"/>
    <xf numFmtId="210" fontId="43" fillId="0" borderId="0"/>
    <xf numFmtId="209" fontId="50" fillId="0" borderId="0"/>
    <xf numFmtId="0" fontId="18" fillId="0" borderId="0"/>
    <xf numFmtId="0" fontId="18" fillId="0" borderId="0"/>
    <xf numFmtId="211" fontId="42" fillId="0" borderId="0"/>
    <xf numFmtId="0" fontId="12" fillId="2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2" fillId="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69" fontId="49" fillId="15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169" fontId="49" fillId="9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69" fontId="49" fillId="20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9" fontId="49" fillId="14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69" fontId="49" fillId="15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169" fontId="49" fillId="22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169" fontId="53" fillId="23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169" fontId="53" fillId="9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169" fontId="53" fillId="20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169" fontId="53" fillId="24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169" fontId="53" fillId="25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169" fontId="53" fillId="26" borderId="0" applyNumberFormat="0" applyBorder="0" applyAlignment="0" applyProtection="0"/>
    <xf numFmtId="0" fontId="23" fillId="0" borderId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169" fontId="53" fillId="33" borderId="0" applyNumberFormat="0" applyBorder="0" applyAlignment="0" applyProtection="0"/>
    <xf numFmtId="0" fontId="20" fillId="27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169" fontId="53" fillId="37" borderId="0" applyNumberFormat="0" applyBorder="0" applyAlignment="0" applyProtection="0"/>
    <xf numFmtId="0" fontId="20" fillId="27" borderId="0" applyNumberFormat="0" applyBorder="0" applyAlignment="0" applyProtection="0"/>
    <xf numFmtId="0" fontId="20" fillId="38" borderId="0" applyNumberFormat="0" applyBorder="0" applyAlignment="0" applyProtection="0"/>
    <xf numFmtId="0" fontId="20" fillId="27" borderId="0" applyNumberFormat="0" applyBorder="0" applyAlignment="0" applyProtection="0"/>
    <xf numFmtId="0" fontId="20" fillId="39" borderId="0" applyNumberFormat="0" applyBorder="0" applyAlignment="0" applyProtection="0"/>
    <xf numFmtId="0" fontId="52" fillId="30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169" fontId="53" fillId="19" borderId="0" applyNumberFormat="0" applyBorder="0" applyAlignment="0" applyProtection="0"/>
    <xf numFmtId="0" fontId="20" fillId="27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5" borderId="0" applyNumberFormat="0" applyBorder="0" applyAlignment="0" applyProtection="0"/>
    <xf numFmtId="0" fontId="52" fillId="30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169" fontId="53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41" borderId="0" applyNumberFormat="0" applyBorder="0" applyAlignment="0" applyProtection="0"/>
    <xf numFmtId="0" fontId="20" fillId="27" borderId="0" applyNumberFormat="0" applyBorder="0" applyAlignment="0" applyProtection="0"/>
    <xf numFmtId="0" fontId="20" fillId="42" borderId="0" applyNumberFormat="0" applyBorder="0" applyAlignment="0" applyProtection="0"/>
    <xf numFmtId="0" fontId="52" fillId="31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169" fontId="53" fillId="2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27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169" fontId="53" fillId="47" borderId="0" applyNumberFormat="0" applyBorder="0" applyAlignment="0" applyProtection="0"/>
    <xf numFmtId="212" fontId="18" fillId="48" borderId="3" applyFont="0" applyFill="0" applyBorder="0" applyAlignment="0" applyProtection="0"/>
    <xf numFmtId="213" fontId="54" fillId="0" borderId="4">
      <alignment horizontal="centerContinuous"/>
    </xf>
    <xf numFmtId="214" fontId="22" fillId="49" borderId="5">
      <alignment horizontal="center" vertical="center"/>
    </xf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35" fillId="0" borderId="0"/>
    <xf numFmtId="199" fontId="55" fillId="0" borderId="0" applyNumberFormat="0" applyFont="0" applyFill="0" applyBorder="0" applyProtection="0">
      <alignment horizontal="center"/>
    </xf>
    <xf numFmtId="215" fontId="56" fillId="0" borderId="0">
      <alignment horizontal="left"/>
    </xf>
    <xf numFmtId="0" fontId="46" fillId="0" borderId="0"/>
    <xf numFmtId="0" fontId="57" fillId="0" borderId="6">
      <alignment horizontal="center" vertical="center"/>
    </xf>
    <xf numFmtId="216" fontId="26" fillId="50" borderId="7" applyNumberFormat="0" applyFont="0" applyAlignment="0" applyProtection="0">
      <alignment vertical="center"/>
    </xf>
    <xf numFmtId="217" fontId="58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1" fillId="3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169" fontId="61" fillId="3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169" fontId="63" fillId="10" borderId="0" applyNumberFormat="0" applyBorder="0" applyAlignment="0" applyProtection="0"/>
    <xf numFmtId="218" fontId="64" fillId="52" borderId="8" applyNumberFormat="0" applyBorder="0" applyAlignment="0">
      <alignment horizontal="centerContinuous" vertical="center"/>
      <protection hidden="1"/>
    </xf>
    <xf numFmtId="1" fontId="65" fillId="53" borderId="3" applyNumberFormat="0" applyBorder="0" applyAlignment="0">
      <alignment horizontal="center" vertical="top" wrapText="1"/>
      <protection hidden="1"/>
    </xf>
    <xf numFmtId="219" fontId="18" fillId="0" borderId="0" applyFont="0" applyFill="0" applyBorder="0" applyAlignment="0" applyProtection="0"/>
    <xf numFmtId="187" fontId="18" fillId="0" borderId="0" applyNumberFormat="0" applyFont="0" applyAlignment="0" applyProtection="0"/>
    <xf numFmtId="216" fontId="26" fillId="54" borderId="9" applyNumberFormat="0" applyFont="0" applyAlignment="0" applyProtection="0">
      <alignment vertical="center"/>
    </xf>
    <xf numFmtId="172" fontId="66" fillId="55" borderId="0">
      <alignment horizontal="left"/>
    </xf>
    <xf numFmtId="220" fontId="67" fillId="0" borderId="0" applyFill="0" applyBorder="0" applyAlignment="0" applyProtection="0"/>
    <xf numFmtId="2" fontId="68" fillId="56" borderId="10" applyProtection="0">
      <alignment horizontal="left"/>
      <protection locked="0"/>
    </xf>
    <xf numFmtId="172" fontId="22" fillId="49" borderId="0" applyNumberFormat="0" applyFont="0" applyAlignment="0">
      <alignment horizontal="center"/>
    </xf>
    <xf numFmtId="221" fontId="44" fillId="49" borderId="0" applyFont="0" applyFill="0" applyBorder="0" applyAlignment="0" applyProtection="0"/>
    <xf numFmtId="172" fontId="69" fillId="0" borderId="0" applyNumberFormat="0" applyFill="0" applyBorder="0" applyAlignment="0" applyProtection="0"/>
    <xf numFmtId="172" fontId="70" fillId="0" borderId="4" applyNumberFormat="0" applyFill="0" applyAlignment="0" applyProtection="0"/>
    <xf numFmtId="172" fontId="42" fillId="0" borderId="0"/>
    <xf numFmtId="222" fontId="71" fillId="6" borderId="0" applyFont="0" applyFill="0" applyBorder="0" applyAlignment="0" applyProtection="0"/>
    <xf numFmtId="223" fontId="18" fillId="0" borderId="0" applyFont="0" applyFill="0" applyBorder="0" applyAlignment="0" applyProtection="0"/>
    <xf numFmtId="224" fontId="23" fillId="0" borderId="0" applyAlignment="0" applyProtection="0"/>
    <xf numFmtId="49" fontId="40" fillId="0" borderId="0" applyNumberFormat="0" applyAlignment="0" applyProtection="0">
      <alignment horizontal="left"/>
    </xf>
    <xf numFmtId="49" fontId="72" fillId="0" borderId="11" applyNumberFormat="0" applyAlignment="0" applyProtection="0">
      <alignment horizontal="left" wrapText="1"/>
    </xf>
    <xf numFmtId="49" fontId="73" fillId="0" borderId="0" applyAlignment="0" applyProtection="0">
      <alignment horizontal="left"/>
    </xf>
    <xf numFmtId="225" fontId="30" fillId="0" borderId="0" applyFont="0" applyFill="0" applyBorder="0" applyAlignment="0" applyProtection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5" fillId="0" borderId="0"/>
    <xf numFmtId="226" fontId="23" fillId="0" borderId="0"/>
    <xf numFmtId="227" fontId="23" fillId="0" borderId="0"/>
    <xf numFmtId="228" fontId="23" fillId="0" borderId="0"/>
    <xf numFmtId="226" fontId="23" fillId="0" borderId="12"/>
    <xf numFmtId="227" fontId="23" fillId="0" borderId="12"/>
    <xf numFmtId="227" fontId="23" fillId="0" borderId="12"/>
    <xf numFmtId="228" fontId="23" fillId="0" borderId="12"/>
    <xf numFmtId="228" fontId="23" fillId="0" borderId="12"/>
    <xf numFmtId="226" fontId="23" fillId="0" borderId="12"/>
    <xf numFmtId="229" fontId="23" fillId="0" borderId="0"/>
    <xf numFmtId="172" fontId="26" fillId="0" borderId="0" applyFill="0" applyBorder="0" applyAlignment="0"/>
    <xf numFmtId="230" fontId="23" fillId="0" borderId="0"/>
    <xf numFmtId="231" fontId="23" fillId="0" borderId="0"/>
    <xf numFmtId="229" fontId="23" fillId="0" borderId="12"/>
    <xf numFmtId="230" fontId="23" fillId="0" borderId="12"/>
    <xf numFmtId="230" fontId="23" fillId="0" borderId="12"/>
    <xf numFmtId="231" fontId="23" fillId="0" borderId="12"/>
    <xf numFmtId="231" fontId="23" fillId="0" borderId="12"/>
    <xf numFmtId="229" fontId="23" fillId="0" borderId="12"/>
    <xf numFmtId="232" fontId="23" fillId="0" borderId="0">
      <alignment horizontal="right"/>
      <protection locked="0"/>
    </xf>
    <xf numFmtId="233" fontId="23" fillId="0" borderId="0">
      <alignment horizontal="right"/>
      <protection locked="0"/>
    </xf>
    <xf numFmtId="234" fontId="23" fillId="0" borderId="0"/>
    <xf numFmtId="235" fontId="23" fillId="0" borderId="0"/>
    <xf numFmtId="236" fontId="23" fillId="0" borderId="0"/>
    <xf numFmtId="234" fontId="23" fillId="0" borderId="12"/>
    <xf numFmtId="235" fontId="23" fillId="0" borderId="12"/>
    <xf numFmtId="235" fontId="23" fillId="0" borderId="12"/>
    <xf numFmtId="236" fontId="23" fillId="0" borderId="12"/>
    <xf numFmtId="236" fontId="23" fillId="0" borderId="12"/>
    <xf numFmtId="234" fontId="23" fillId="0" borderId="12"/>
    <xf numFmtId="0" fontId="18" fillId="0" borderId="0"/>
    <xf numFmtId="0" fontId="18" fillId="0" borderId="0" applyBorder="0"/>
    <xf numFmtId="2" fontId="18" fillId="0" borderId="0"/>
    <xf numFmtId="170" fontId="18" fillId="0" borderId="0"/>
    <xf numFmtId="237" fontId="18" fillId="5" borderId="0"/>
    <xf numFmtId="172" fontId="18" fillId="0" borderId="0">
      <alignment vertical="center"/>
    </xf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7" fillId="21" borderId="13" applyNumberFormat="0" applyAlignment="0" applyProtection="0"/>
    <xf numFmtId="238" fontId="26" fillId="0" borderId="9" applyAlignment="0">
      <alignment vertical="center"/>
    </xf>
    <xf numFmtId="239" fontId="18" fillId="0" borderId="14" applyFont="0" applyFill="0" applyBorder="0" applyAlignment="0" applyProtection="0"/>
    <xf numFmtId="240" fontId="18" fillId="0" borderId="14" applyFont="0" applyFill="0" applyBorder="0" applyAlignment="0" applyProtection="0"/>
    <xf numFmtId="241" fontId="18" fillId="0" borderId="15" applyFont="0" applyFill="0" applyBorder="0" applyAlignment="0" applyProtection="0"/>
    <xf numFmtId="242" fontId="18" fillId="0" borderId="14" applyFont="0" applyFill="0" applyBorder="0" applyAlignment="0" applyProtection="0"/>
    <xf numFmtId="38" fontId="78" fillId="0" borderId="0" applyNumberFormat="0" applyFill="0" applyBorder="0" applyAlignment="0" applyProtection="0"/>
    <xf numFmtId="0" fontId="79" fillId="35" borderId="16" applyNumberFormat="0" applyAlignment="0" applyProtection="0"/>
    <xf numFmtId="0" fontId="79" fillId="58" borderId="16" applyNumberFormat="0" applyAlignment="0" applyProtection="0"/>
    <xf numFmtId="38" fontId="18" fillId="0" borderId="0" applyNumberFormat="0" applyFill="0" applyBorder="0" applyAlignment="0" applyProtection="0">
      <protection locked="0"/>
    </xf>
    <xf numFmtId="38" fontId="18" fillId="0" borderId="0" applyNumberFormat="0" applyFill="0" applyBorder="0" applyAlignment="0" applyProtection="0">
      <protection locked="0"/>
    </xf>
    <xf numFmtId="38" fontId="18" fillId="0" borderId="0" applyNumberFormat="0" applyFill="0" applyBorder="0" applyAlignment="0" applyProtection="0">
      <protection locked="0"/>
    </xf>
    <xf numFmtId="37" fontId="22" fillId="0" borderId="4">
      <alignment horizontal="center"/>
    </xf>
    <xf numFmtId="37" fontId="22" fillId="0" borderId="0">
      <alignment horizontal="center" vertical="center" wrapText="1"/>
    </xf>
    <xf numFmtId="1" fontId="80" fillId="0" borderId="17">
      <alignment vertical="top"/>
    </xf>
    <xf numFmtId="243" fontId="81" fillId="0" borderId="0" applyBorder="0">
      <alignment horizontal="right"/>
    </xf>
    <xf numFmtId="243" fontId="81" fillId="0" borderId="1" applyAlignment="0">
      <alignment horizontal="right"/>
    </xf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38" fontId="18" fillId="0" borderId="0" applyFont="0" applyFill="0" applyBorder="0" applyAlignment="0" applyProtection="0"/>
    <xf numFmtId="245" fontId="18" fillId="0" borderId="14" applyFont="0" applyFill="0" applyBorder="0" applyAlignment="0" applyProtection="0"/>
    <xf numFmtId="246" fontId="18" fillId="0" borderId="14" applyFont="0" applyFill="0" applyBorder="0" applyAlignment="0" applyProtection="0"/>
    <xf numFmtId="199" fontId="26" fillId="0" borderId="0" applyFont="0" applyFill="0" applyBorder="0" applyAlignment="0" applyProtection="0">
      <protection locked="0"/>
    </xf>
    <xf numFmtId="40" fontId="26" fillId="0" borderId="0" applyFont="0" applyFill="0" applyBorder="0" applyAlignment="0" applyProtection="0">
      <protection locked="0"/>
    </xf>
    <xf numFmtId="247" fontId="18" fillId="0" borderId="14" applyFont="0" applyFill="0" applyBorder="0" applyAlignment="0" applyProtection="0"/>
    <xf numFmtId="248" fontId="26" fillId="0" borderId="0" applyFont="0" applyFill="0" applyBorder="0" applyAlignment="0" applyProtection="0"/>
    <xf numFmtId="249" fontId="26" fillId="0" borderId="0" applyFont="0" applyFill="0" applyBorder="0" applyAlignment="0" applyProtection="0"/>
    <xf numFmtId="247" fontId="18" fillId="0" borderId="14" applyFont="0" applyFill="0" applyBorder="0" applyAlignment="0" applyProtection="0"/>
    <xf numFmtId="250" fontId="18" fillId="0" borderId="14" applyFont="0" applyFill="0" applyBorder="0" applyAlignment="0" applyProtection="0"/>
    <xf numFmtId="251" fontId="26" fillId="0" borderId="0" applyFont="0" applyFill="0" applyBorder="0" applyAlignment="0" applyProtection="0"/>
    <xf numFmtId="0" fontId="18" fillId="0" borderId="0" applyNumberFormat="0" applyFont="0" applyBorder="0" applyAlignment="0"/>
    <xf numFmtId="202" fontId="42" fillId="0" borderId="0"/>
    <xf numFmtId="252" fontId="46" fillId="0" borderId="0"/>
    <xf numFmtId="172" fontId="82" fillId="0" borderId="0" applyFont="0" applyFill="0" applyBorder="0" applyAlignment="0" applyProtection="0">
      <alignment horizontal="right"/>
    </xf>
    <xf numFmtId="253" fontId="82" fillId="0" borderId="0" applyFont="0" applyFill="0" applyBorder="0" applyAlignment="0" applyProtection="0"/>
    <xf numFmtId="172" fontId="82" fillId="0" borderId="0" applyFont="0" applyFill="0" applyBorder="0" applyAlignment="0" applyProtection="0">
      <alignment horizontal="right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25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254" fontId="27" fillId="0" borderId="0" applyFont="0" applyFill="0" applyBorder="0" applyAlignment="0" applyProtection="0"/>
    <xf numFmtId="255" fontId="27" fillId="0" borderId="0" applyFont="0" applyFill="0" applyBorder="0" applyAlignment="0" applyProtection="0"/>
    <xf numFmtId="255" fontId="27" fillId="0" borderId="0" applyFont="0" applyFill="0" applyBorder="0" applyAlignment="0" applyProtection="0"/>
    <xf numFmtId="2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256" fontId="27" fillId="0" borderId="0" applyFont="0" applyFill="0" applyBorder="0" applyAlignment="0" applyProtection="0"/>
    <xf numFmtId="256" fontId="27" fillId="0" borderId="0" applyFont="0" applyFill="0" applyBorder="0" applyAlignment="0" applyProtection="0"/>
    <xf numFmtId="256" fontId="27" fillId="0" borderId="0" applyFont="0" applyFill="0" applyBorder="0" applyAlignment="0" applyProtection="0"/>
    <xf numFmtId="243" fontId="27" fillId="0" borderId="0" applyFont="0" applyFill="0" applyBorder="0" applyAlignment="0" applyProtection="0"/>
    <xf numFmtId="2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18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57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58" fontId="1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259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1" fontId="18" fillId="0" borderId="0" applyFont="0" applyFill="0" applyBorder="0" applyAlignment="0" applyProtection="0"/>
    <xf numFmtId="38" fontId="30" fillId="0" borderId="0" applyFill="0" applyBorder="0" applyProtection="0">
      <alignment horizontal="center"/>
    </xf>
    <xf numFmtId="172" fontId="85" fillId="0" borderId="0">
      <protection locked="0"/>
    </xf>
    <xf numFmtId="262" fontId="18" fillId="0" borderId="0" applyBorder="0"/>
    <xf numFmtId="263" fontId="40" fillId="0" borderId="0" applyBorder="0"/>
    <xf numFmtId="172" fontId="86" fillId="0" borderId="0"/>
    <xf numFmtId="264" fontId="18" fillId="0" borderId="0" applyFill="0" applyBorder="0">
      <alignment horizontal="left"/>
    </xf>
    <xf numFmtId="172" fontId="87" fillId="0" borderId="0" applyNumberFormat="0" applyAlignment="0">
      <alignment horizontal="left"/>
    </xf>
    <xf numFmtId="37" fontId="18" fillId="59" borderId="0" applyFont="0" applyBorder="0" applyAlignment="0" applyProtection="0"/>
    <xf numFmtId="187" fontId="37" fillId="59" borderId="0" applyFont="0" applyBorder="0" applyAlignment="0" applyProtection="0"/>
    <xf numFmtId="39" fontId="37" fillId="59" borderId="0" applyFont="0" applyBorder="0" applyAlignment="0" applyProtection="0"/>
    <xf numFmtId="168" fontId="88" fillId="0" borderId="0"/>
    <xf numFmtId="265" fontId="26" fillId="0" borderId="0" applyFont="0" applyFill="0" applyBorder="0" applyProtection="0">
      <alignment horizontal="right" vertical="center"/>
    </xf>
    <xf numFmtId="266" fontId="18" fillId="0" borderId="0" applyFont="0" applyFill="0" applyBorder="0" applyAlignment="0" applyProtection="0"/>
    <xf numFmtId="267" fontId="26" fillId="0" borderId="0" applyFont="0" applyFill="0" applyBorder="0" applyAlignment="0" applyProtection="0">
      <protection locked="0"/>
    </xf>
    <xf numFmtId="174" fontId="26" fillId="0" borderId="0" applyFont="0" applyFill="0" applyBorder="0" applyAlignment="0" applyProtection="0">
      <protection locked="0"/>
    </xf>
    <xf numFmtId="268" fontId="26" fillId="0" borderId="0" applyFont="0" applyFill="0" applyBorder="0" applyAlignment="0" applyProtection="0"/>
    <xf numFmtId="269" fontId="26" fillId="0" borderId="0" applyFont="0" applyFill="0" applyBorder="0" applyAlignment="0" applyProtection="0"/>
    <xf numFmtId="270" fontId="26" fillId="0" borderId="0" applyFont="0" applyFill="0" applyBorder="0" applyAlignment="0" applyProtection="0"/>
    <xf numFmtId="242" fontId="26" fillId="0" borderId="0" applyFont="0" applyFill="0" applyBorder="0" applyAlignment="0" applyProtection="0"/>
    <xf numFmtId="271" fontId="26" fillId="0" borderId="0" applyFont="0" applyFill="0" applyBorder="0" applyAlignment="0" applyProtection="0"/>
    <xf numFmtId="272" fontId="18" fillId="0" borderId="0">
      <alignment horizontal="right"/>
    </xf>
    <xf numFmtId="171" fontId="89" fillId="0" borderId="0" applyFill="0" applyBorder="0">
      <protection locked="0"/>
    </xf>
    <xf numFmtId="273" fontId="18" fillId="0" borderId="0" applyFill="0" applyBorder="0"/>
    <xf numFmtId="273" fontId="89" fillId="0" borderId="0" applyFill="0" applyBorder="0">
      <protection locked="0"/>
    </xf>
    <xf numFmtId="172" fontId="82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74" fontId="18" fillId="0" borderId="0" applyFont="0" applyFill="0" applyBorder="0" applyAlignment="0" applyProtection="0"/>
    <xf numFmtId="172" fontId="82" fillId="0" borderId="0" applyFont="0" applyFill="0" applyBorder="0" applyAlignment="0" applyProtection="0">
      <alignment horizontal="right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264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275" fontId="26" fillId="0" borderId="0" applyFont="0" applyFill="0" applyBorder="0" applyAlignment="0" applyProtection="0"/>
    <xf numFmtId="276" fontId="26" fillId="0" borderId="0" applyFont="0" applyFill="0" applyBorder="0" applyAlignment="0" applyProtection="0"/>
    <xf numFmtId="27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78" fontId="25" fillId="5" borderId="10">
      <alignment horizontal="right"/>
    </xf>
    <xf numFmtId="279" fontId="30" fillId="0" borderId="0" applyFont="0" applyFill="0" applyBorder="0" applyAlignment="0" applyProtection="0"/>
    <xf numFmtId="226" fontId="23" fillId="6" borderId="6">
      <protection locked="0"/>
    </xf>
    <xf numFmtId="227" fontId="23" fillId="6" borderId="6">
      <protection locked="0"/>
    </xf>
    <xf numFmtId="228" fontId="23" fillId="6" borderId="6">
      <protection locked="0"/>
    </xf>
    <xf numFmtId="229" fontId="23" fillId="6" borderId="6">
      <protection locked="0"/>
    </xf>
    <xf numFmtId="230" fontId="23" fillId="6" borderId="6">
      <protection locked="0"/>
    </xf>
    <xf numFmtId="231" fontId="23" fillId="6" borderId="6">
      <protection locked="0"/>
    </xf>
    <xf numFmtId="232" fontId="23" fillId="60" borderId="6">
      <alignment horizontal="right"/>
      <protection locked="0"/>
    </xf>
    <xf numFmtId="233" fontId="23" fillId="60" borderId="6">
      <alignment horizontal="right"/>
      <protection locked="0"/>
    </xf>
    <xf numFmtId="0" fontId="90" fillId="6" borderId="7">
      <alignment horizontal="right"/>
    </xf>
    <xf numFmtId="280" fontId="23" fillId="61" borderId="6">
      <alignment horizontal="left"/>
      <protection locked="0"/>
    </xf>
    <xf numFmtId="49" fontId="23" fillId="62" borderId="6">
      <alignment horizontal="left" vertical="top" wrapText="1"/>
      <protection locked="0"/>
    </xf>
    <xf numFmtId="234" fontId="23" fillId="6" borderId="6">
      <protection locked="0"/>
    </xf>
    <xf numFmtId="235" fontId="23" fillId="6" borderId="6">
      <protection locked="0"/>
    </xf>
    <xf numFmtId="236" fontId="23" fillId="6" borderId="6">
      <protection locked="0"/>
    </xf>
    <xf numFmtId="0" fontId="44" fillId="0" borderId="0"/>
    <xf numFmtId="49" fontId="23" fillId="62" borderId="6">
      <alignment horizontal="left"/>
      <protection locked="0"/>
    </xf>
    <xf numFmtId="281" fontId="23" fillId="6" borderId="6">
      <alignment horizontal="left" indent="1"/>
      <protection locked="0"/>
    </xf>
    <xf numFmtId="282" fontId="91" fillId="6" borderId="7">
      <protection locked="0"/>
    </xf>
    <xf numFmtId="283" fontId="18" fillId="0" borderId="0" applyFill="0" applyBorder="0"/>
    <xf numFmtId="283" fontId="18" fillId="0" borderId="0" applyFill="0" applyBorder="0"/>
    <xf numFmtId="172" fontId="82" fillId="0" borderId="0" applyFont="0" applyFill="0" applyBorder="0" applyAlignment="0" applyProtection="0"/>
    <xf numFmtId="284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5" fontId="92" fillId="63" borderId="7">
      <alignment horizontal="center" vertical="center"/>
    </xf>
    <xf numFmtId="172" fontId="81" fillId="56" borderId="0">
      <alignment horizontal="left"/>
    </xf>
    <xf numFmtId="15" fontId="89" fillId="0" borderId="0" applyFill="0" applyBorder="0">
      <protection locked="0"/>
    </xf>
    <xf numFmtId="283" fontId="18" fillId="0" borderId="0" applyFill="0" applyBorder="0"/>
    <xf numFmtId="285" fontId="18" fillId="0" borderId="0" applyFont="0" applyFill="0" applyBorder="0" applyAlignment="0" applyProtection="0"/>
    <xf numFmtId="15" fontId="93" fillId="0" borderId="0"/>
    <xf numFmtId="286" fontId="18" fillId="0" borderId="0" applyFont="0" applyFill="0" applyBorder="0" applyAlignment="0" applyProtection="0"/>
    <xf numFmtId="287" fontId="18" fillId="0" borderId="0" applyFont="0" applyFill="0" applyBorder="0" applyAlignment="0" applyProtection="0"/>
    <xf numFmtId="206" fontId="46" fillId="0" borderId="0">
      <alignment horizontal="right"/>
    </xf>
    <xf numFmtId="202" fontId="46" fillId="0" borderId="0">
      <alignment horizontal="right"/>
      <protection locked="0"/>
    </xf>
    <xf numFmtId="202" fontId="46" fillId="0" borderId="0"/>
    <xf numFmtId="288" fontId="46" fillId="0" borderId="0">
      <alignment horizontal="right"/>
      <protection locked="0"/>
    </xf>
    <xf numFmtId="202" fontId="47" fillId="0" borderId="0"/>
    <xf numFmtId="1" fontId="18" fillId="0" borderId="0" applyFill="0" applyBorder="0">
      <alignment horizontal="right"/>
    </xf>
    <xf numFmtId="2" fontId="18" fillId="0" borderId="0" applyFill="0" applyBorder="0">
      <alignment horizontal="right"/>
    </xf>
    <xf numFmtId="2" fontId="89" fillId="0" borderId="0" applyFill="0" applyBorder="0">
      <protection locked="0"/>
    </xf>
    <xf numFmtId="170" fontId="18" fillId="0" borderId="0" applyFill="0" applyBorder="0">
      <alignment horizontal="right"/>
    </xf>
    <xf numFmtId="170" fontId="89" fillId="0" borderId="0" applyFill="0" applyBorder="0">
      <protection locked="0"/>
    </xf>
    <xf numFmtId="289" fontId="18" fillId="0" borderId="0" applyFont="0" applyFill="0" applyBorder="0" applyAlignment="0" applyProtection="0"/>
    <xf numFmtId="290" fontId="18" fillId="0" borderId="0" applyFont="0" applyFill="0" applyBorder="0" applyAlignment="0" applyProtection="0"/>
    <xf numFmtId="199" fontId="55" fillId="5" borderId="0" applyNumberFormat="0" applyFont="0" applyBorder="0" applyAlignment="0" applyProtection="0"/>
    <xf numFmtId="174" fontId="30" fillId="0" borderId="0" applyFill="0" applyBorder="0" applyProtection="0">
      <alignment horizontal="center"/>
    </xf>
    <xf numFmtId="267" fontId="30" fillId="0" borderId="0">
      <alignment horizontal="center"/>
    </xf>
    <xf numFmtId="174" fontId="30" fillId="0" borderId="0" applyFill="0" applyBorder="0" applyProtection="0">
      <alignment horizontal="center"/>
    </xf>
    <xf numFmtId="264" fontId="94" fillId="0" borderId="0">
      <alignment horizontal="center"/>
    </xf>
    <xf numFmtId="172" fontId="82" fillId="0" borderId="18" applyNumberFormat="0" applyFont="0" applyFill="0" applyAlignment="0" applyProtection="0"/>
    <xf numFmtId="171" fontId="95" fillId="0" borderId="12"/>
    <xf numFmtId="205" fontId="46" fillId="0" borderId="0"/>
    <xf numFmtId="9" fontId="96" fillId="6" borderId="15">
      <alignment horizontal="center"/>
    </xf>
    <xf numFmtId="9" fontId="96" fillId="6" borderId="19">
      <alignment horizontal="center"/>
    </xf>
    <xf numFmtId="9" fontId="96" fillId="6" borderId="19">
      <alignment horizontal="center"/>
    </xf>
    <xf numFmtId="38" fontId="34" fillId="0" borderId="0" applyFont="0" applyFill="0" applyBorder="0" applyAlignment="0" applyProtection="0"/>
    <xf numFmtId="172" fontId="97" fillId="0" borderId="0" applyFont="0" applyFill="0" applyBorder="0" applyAlignment="0" applyProtection="0"/>
    <xf numFmtId="0" fontId="98" fillId="64" borderId="0" applyNumberFormat="0" applyBorder="0" applyAlignment="0" applyProtection="0"/>
    <xf numFmtId="0" fontId="98" fillId="65" borderId="0" applyNumberFormat="0" applyBorder="0" applyAlignment="0" applyProtection="0"/>
    <xf numFmtId="0" fontId="98" fillId="66" borderId="0" applyNumberFormat="0" applyBorder="0" applyAlignment="0" applyProtection="0"/>
    <xf numFmtId="172" fontId="99" fillId="0" borderId="0" applyNumberFormat="0" applyAlignment="0">
      <alignment horizontal="left"/>
    </xf>
    <xf numFmtId="291" fontId="25" fillId="0" borderId="0"/>
    <xf numFmtId="292" fontId="25" fillId="0" borderId="0"/>
    <xf numFmtId="293" fontId="25" fillId="0" borderId="0"/>
    <xf numFmtId="294" fontId="25" fillId="0" borderId="0"/>
    <xf numFmtId="295" fontId="25" fillId="0" borderId="0"/>
    <xf numFmtId="296" fontId="25" fillId="0" borderId="0"/>
    <xf numFmtId="169" fontId="26" fillId="0" borderId="0" applyFont="0" applyFill="0" applyBorder="0" applyAlignment="0" applyProtection="0"/>
    <xf numFmtId="169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8" fontId="18" fillId="0" borderId="0" applyFont="0" applyFill="0" applyBorder="0" applyAlignment="0" applyProtection="0"/>
    <xf numFmtId="29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2" fontId="30" fillId="58" borderId="0" applyNumberFormat="0" applyFont="0" applyBorder="0" applyAlignment="0" applyProtection="0"/>
    <xf numFmtId="172" fontId="102" fillId="0" borderId="0" applyNumberFormat="0" applyFill="0" applyBorder="0" applyAlignment="0" applyProtection="0"/>
    <xf numFmtId="300" fontId="103" fillId="0" borderId="0" applyFill="0" applyBorder="0"/>
    <xf numFmtId="15" fontId="48" fillId="0" borderId="0" applyFill="0" applyBorder="0" applyProtection="0">
      <alignment horizontal="center"/>
    </xf>
    <xf numFmtId="172" fontId="30" fillId="10" borderId="0" applyNumberFormat="0" applyFont="0" applyBorder="0" applyAlignment="0" applyProtection="0"/>
    <xf numFmtId="301" fontId="18" fillId="0" borderId="0" applyFont="0" applyFill="0" applyBorder="0" applyAlignment="0" applyProtection="0"/>
    <xf numFmtId="302" fontId="104" fillId="67" borderId="0" applyBorder="0" applyAlignment="0">
      <alignment vertical="center"/>
    </xf>
    <xf numFmtId="3" fontId="105" fillId="60" borderId="7" applyNumberFormat="0" applyFont="0" applyAlignment="0" applyProtection="0">
      <alignment vertical="center"/>
    </xf>
    <xf numFmtId="238" fontId="106" fillId="12" borderId="9" applyAlignment="0">
      <alignment vertical="center"/>
    </xf>
    <xf numFmtId="0" fontId="34" fillId="0" borderId="0" applyFont="0" applyFill="0" applyBorder="0" applyAlignment="0" applyProtection="0"/>
    <xf numFmtId="0" fontId="107" fillId="48" borderId="0"/>
    <xf numFmtId="1" fontId="108" fillId="68" borderId="20" applyNumberFormat="0"/>
    <xf numFmtId="0" fontId="109" fillId="69" borderId="0" applyNumberFormat="0" applyBorder="0" applyAlignment="0">
      <alignment vertical="top"/>
    </xf>
    <xf numFmtId="0" fontId="70" fillId="0" borderId="0" applyNumberFormat="0" applyFill="0" applyBorder="0" applyProtection="0">
      <alignment vertical="center"/>
    </xf>
    <xf numFmtId="0" fontId="110" fillId="0" borderId="0" applyNumberFormat="0" applyFill="0" applyBorder="0" applyProtection="0">
      <alignment vertical="center"/>
    </xf>
    <xf numFmtId="3" fontId="107" fillId="68" borderId="0" applyNumberFormat="0" applyAlignment="0">
      <alignment vertical="center"/>
    </xf>
    <xf numFmtId="3" fontId="22" fillId="49" borderId="0" applyNumberFormat="0" applyBorder="0" applyAlignment="0" applyProtection="0">
      <alignment vertical="center"/>
    </xf>
    <xf numFmtId="0" fontId="111" fillId="69" borderId="0"/>
    <xf numFmtId="4" fontId="109" fillId="70" borderId="0" applyNumberFormat="0" applyAlignment="0">
      <alignment horizontal="left" vertical="center"/>
    </xf>
    <xf numFmtId="303" fontId="51" fillId="0" borderId="0" applyAlignment="0">
      <alignment horizontal="right"/>
      <protection hidden="1"/>
    </xf>
    <xf numFmtId="0" fontId="37" fillId="0" borderId="0" applyFont="0" applyFill="0" applyBorder="0" applyAlignment="0" applyProtection="0">
      <alignment horizontal="left"/>
    </xf>
    <xf numFmtId="304" fontId="40" fillId="0" borderId="0" applyFill="0" applyBorder="0"/>
    <xf numFmtId="10" fontId="18" fillId="71" borderId="0" applyBorder="0" applyProtection="0"/>
    <xf numFmtId="10" fontId="18" fillId="0" borderId="0" applyBorder="0"/>
    <xf numFmtId="305" fontId="18" fillId="0" borderId="0"/>
    <xf numFmtId="0" fontId="112" fillId="37" borderId="0"/>
    <xf numFmtId="3" fontId="18" fillId="0" borderId="21" applyFill="0" applyBorder="0"/>
    <xf numFmtId="10" fontId="18" fillId="0" borderId="21" applyFont="0" applyFill="0" applyBorder="0"/>
    <xf numFmtId="15" fontId="18" fillId="0" borderId="0">
      <alignment horizontal="center"/>
    </xf>
    <xf numFmtId="216" fontId="26" fillId="21" borderId="9" applyAlignment="0">
      <alignment vertical="center"/>
    </xf>
    <xf numFmtId="216" fontId="113" fillId="72" borderId="9" applyNumberFormat="0" applyAlignment="0">
      <alignment vertical="center"/>
    </xf>
    <xf numFmtId="0" fontId="114" fillId="0" borderId="0" applyFont="0" applyFill="0" applyBorder="0" applyAlignment="0" applyProtection="0"/>
    <xf numFmtId="0" fontId="115" fillId="0" borderId="0"/>
    <xf numFmtId="216" fontId="106" fillId="71" borderId="9" applyAlignment="0">
      <alignment vertical="center"/>
      <protection locked="0"/>
    </xf>
    <xf numFmtId="10" fontId="106" fillId="6" borderId="7">
      <alignment vertical="center"/>
      <protection locked="0"/>
    </xf>
    <xf numFmtId="306" fontId="90" fillId="73" borderId="7" applyNumberFormat="0" applyAlignment="0">
      <alignment vertical="top"/>
    </xf>
    <xf numFmtId="216" fontId="106" fillId="6" borderId="9" applyAlignment="0">
      <alignment vertical="center"/>
      <protection locked="0"/>
    </xf>
    <xf numFmtId="1" fontId="115" fillId="0" borderId="0"/>
    <xf numFmtId="0" fontId="115" fillId="0" borderId="0" applyFont="0" applyFill="0" applyBorder="0" applyAlignment="0" applyProtection="0"/>
    <xf numFmtId="307" fontId="26" fillId="0" borderId="0" applyFont="0" applyFill="0" applyBorder="0" applyAlignment="0" applyProtection="0"/>
    <xf numFmtId="308" fontId="26" fillId="0" borderId="0" applyFont="0" applyFill="0" applyBorder="0" applyAlignment="0" applyProtection="0"/>
    <xf numFmtId="38" fontId="116" fillId="0" borderId="0"/>
    <xf numFmtId="38" fontId="117" fillId="0" borderId="0"/>
    <xf numFmtId="38" fontId="118" fillId="0" borderId="0"/>
    <xf numFmtId="38" fontId="119" fillId="0" borderId="0"/>
    <xf numFmtId="0" fontId="58" fillId="0" borderId="0"/>
    <xf numFmtId="0" fontId="58" fillId="0" borderId="0"/>
    <xf numFmtId="0" fontId="28" fillId="56" borderId="0" applyFill="0" applyBorder="0">
      <alignment wrapText="1"/>
    </xf>
    <xf numFmtId="0" fontId="23" fillId="0" borderId="0"/>
    <xf numFmtId="0" fontId="120" fillId="0" borderId="0"/>
    <xf numFmtId="0" fontId="121" fillId="0" borderId="0">
      <alignment horizontal="center"/>
    </xf>
    <xf numFmtId="0" fontId="122" fillId="0" borderId="0"/>
    <xf numFmtId="171" fontId="123" fillId="0" borderId="2" applyNumberFormat="0" applyFont="0" applyFill="0" applyAlignment="0">
      <alignment horizontal="left" vertical="center"/>
    </xf>
    <xf numFmtId="2" fontId="94" fillId="0" borderId="7"/>
    <xf numFmtId="3" fontId="105" fillId="74" borderId="0" applyNumberFormat="0" applyFont="0" applyBorder="0" applyAlignment="0" applyProtection="0">
      <alignment vertical="center"/>
    </xf>
    <xf numFmtId="309" fontId="26" fillId="0" borderId="0" applyFont="0" applyFill="0" applyBorder="0" applyAlignment="0" applyProtection="0"/>
    <xf numFmtId="310" fontId="26" fillId="0" borderId="0" applyFont="0" applyFill="0" applyBorder="0" applyAlignment="0" applyProtection="0"/>
    <xf numFmtId="216" fontId="26" fillId="75" borderId="7" applyNumberFormat="0" applyAlignment="0">
      <alignment vertical="center"/>
      <protection locked="0"/>
    </xf>
    <xf numFmtId="0" fontId="124" fillId="0" borderId="0" applyNumberFormat="0" applyBorder="0" applyProtection="0">
      <alignment vertical="top"/>
    </xf>
    <xf numFmtId="311" fontId="40" fillId="0" borderId="0" applyFill="0" applyBorder="0" applyProtection="0"/>
    <xf numFmtId="312" fontId="18" fillId="0" borderId="0" applyFont="0" applyFill="0" applyBorder="0" applyAlignment="0" applyProtection="0"/>
    <xf numFmtId="313" fontId="18" fillId="0" borderId="0" applyFont="0" applyFill="0" applyBorder="0" applyAlignment="0" applyProtection="0"/>
    <xf numFmtId="314" fontId="26" fillId="0" borderId="0" applyFont="0" applyFill="0" applyBorder="0" applyAlignment="0" applyProtection="0"/>
    <xf numFmtId="315" fontId="26" fillId="0" borderId="0" applyFont="0" applyFill="0" applyBorder="0" applyAlignment="0" applyProtection="0"/>
    <xf numFmtId="0" fontId="40" fillId="0" borderId="0"/>
    <xf numFmtId="217" fontId="18" fillId="0" borderId="0" applyFont="0" applyFill="0" applyBorder="0" applyAlignment="0" applyProtection="0"/>
    <xf numFmtId="316" fontId="18" fillId="0" borderId="0" applyFont="0" applyFill="0" applyBorder="0" applyAlignment="0" applyProtection="0"/>
    <xf numFmtId="0" fontId="125" fillId="0" borderId="0" applyFont="0" applyFill="0" applyBorder="0" applyAlignment="0" applyProtection="0"/>
    <xf numFmtId="17" fontId="22" fillId="0" borderId="0">
      <alignment horizontal="center"/>
    </xf>
    <xf numFmtId="317" fontId="40" fillId="0" borderId="0" applyFill="0" applyBorder="0"/>
    <xf numFmtId="318" fontId="40" fillId="0" borderId="0"/>
    <xf numFmtId="319" fontId="40" fillId="0" borderId="0" applyFill="0" applyAlignment="0"/>
    <xf numFmtId="320" fontId="126" fillId="0" borderId="0"/>
    <xf numFmtId="321" fontId="18" fillId="0" borderId="14" applyFont="0" applyFill="0" applyBorder="0" applyAlignment="0" applyProtection="0"/>
    <xf numFmtId="322" fontId="18" fillId="0" borderId="14" applyFont="0" applyFill="0" applyBorder="0" applyAlignment="0" applyProtection="0"/>
    <xf numFmtId="323" fontId="18" fillId="0" borderId="14" applyFont="0" applyFill="0" applyBorder="0" applyAlignment="0" applyProtection="0"/>
    <xf numFmtId="324" fontId="18" fillId="0" borderId="14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4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 applyFont="0" applyFill="0" applyBorder="0" applyAlignment="0" applyProtection="0"/>
    <xf numFmtId="0" fontId="84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27" fillId="0" borderId="0"/>
    <xf numFmtId="0" fontId="20" fillId="0" borderId="0"/>
    <xf numFmtId="0" fontId="27" fillId="0" borderId="0"/>
    <xf numFmtId="0" fontId="18" fillId="0" borderId="0"/>
    <xf numFmtId="0" fontId="12" fillId="0" borderId="0"/>
    <xf numFmtId="0" fontId="12" fillId="0" borderId="0"/>
    <xf numFmtId="0" fontId="127" fillId="0" borderId="0"/>
    <xf numFmtId="0" fontId="12" fillId="0" borderId="0"/>
    <xf numFmtId="0" fontId="12" fillId="0" borderId="0"/>
    <xf numFmtId="0" fontId="12" fillId="0" borderId="0"/>
    <xf numFmtId="0" fontId="27" fillId="0" borderId="0">
      <alignment vertical="top"/>
    </xf>
    <xf numFmtId="0" fontId="12" fillId="0" borderId="0"/>
    <xf numFmtId="0" fontId="27" fillId="0" borderId="0">
      <alignment vertical="top"/>
    </xf>
    <xf numFmtId="0" fontId="89" fillId="0" borderId="0" applyFill="0" applyBorder="0">
      <protection locked="0"/>
    </xf>
    <xf numFmtId="0" fontId="18" fillId="0" borderId="0"/>
    <xf numFmtId="0" fontId="28" fillId="6" borderId="19" applyBorder="0">
      <alignment horizontal="right" vertical="center"/>
    </xf>
    <xf numFmtId="0" fontId="28" fillId="6" borderId="0">
      <alignment vertical="center"/>
    </xf>
    <xf numFmtId="305" fontId="28" fillId="6" borderId="0"/>
    <xf numFmtId="325" fontId="26" fillId="0" borderId="0">
      <alignment horizontal="right"/>
    </xf>
    <xf numFmtId="167" fontId="18" fillId="6" borderId="7"/>
    <xf numFmtId="0" fontId="128" fillId="0" borderId="0">
      <alignment horizontal="left"/>
    </xf>
    <xf numFmtId="326" fontId="18" fillId="0" borderId="0" applyFill="0" applyBorder="0" applyAlignment="0" applyProtection="0"/>
    <xf numFmtId="327" fontId="18" fillId="0" borderId="0" applyAlignment="0" applyProtection="0"/>
    <xf numFmtId="0" fontId="45" fillId="0" borderId="4" applyNumberFormat="0" applyFill="0" applyBorder="0" applyAlignment="0" applyProtection="0"/>
    <xf numFmtId="0" fontId="45" fillId="0" borderId="4" applyNumberFormat="0" applyFill="0" applyBorder="0" applyAlignment="0" applyProtection="0"/>
    <xf numFmtId="0" fontId="129" fillId="0" borderId="0" applyFill="0" applyBorder="0" applyAlignment="0">
      <alignment horizontal="left"/>
    </xf>
    <xf numFmtId="0" fontId="44" fillId="0" borderId="0" applyNumberFormat="0" applyFill="0" applyBorder="0" applyAlignment="0"/>
    <xf numFmtId="0" fontId="130" fillId="0" borderId="0">
      <alignment horizontal="left"/>
    </xf>
    <xf numFmtId="0" fontId="131" fillId="0" borderId="0" applyFill="0" applyBorder="0" applyProtection="0">
      <alignment horizontal="center"/>
    </xf>
    <xf numFmtId="328" fontId="18" fillId="0" borderId="0" applyFill="0" applyBorder="0" applyAlignment="0" applyProtection="0"/>
    <xf numFmtId="329" fontId="132" fillId="0" borderId="0" applyFill="0" applyBorder="0" applyAlignment="0" applyProtection="0"/>
    <xf numFmtId="330" fontId="23" fillId="0" borderId="0">
      <alignment horizontal="center" vertical="top" wrapText="1"/>
    </xf>
    <xf numFmtId="331" fontId="18" fillId="0" borderId="0" applyAlignment="0" applyProtection="0"/>
    <xf numFmtId="0" fontId="94" fillId="0" borderId="0"/>
    <xf numFmtId="331" fontId="18" fillId="0" borderId="0" applyFont="0" applyFill="0" applyBorder="0" applyAlignment="0" applyProtection="0"/>
    <xf numFmtId="10" fontId="18" fillId="0" borderId="10"/>
    <xf numFmtId="3" fontId="18" fillId="13" borderId="7" applyFill="0" applyBorder="0"/>
    <xf numFmtId="0" fontId="58" fillId="56" borderId="19" applyBorder="0"/>
    <xf numFmtId="0" fontId="58" fillId="56" borderId="19" applyBorder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332" fontId="18" fillId="0" borderId="0" applyFont="0" applyFill="0" applyBorder="0" applyAlignment="0" applyProtection="0"/>
    <xf numFmtId="333" fontId="18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334" fontId="18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8" fillId="0" borderId="0" applyNumberFormat="0" applyFont="0" applyFill="0" applyAlignment="0" applyProtection="0"/>
    <xf numFmtId="10" fontId="18" fillId="0" borderId="0" applyFont="0" applyFill="0" applyBorder="0" applyAlignment="0" applyProtection="0"/>
    <xf numFmtId="305" fontId="114" fillId="0" borderId="0" applyFont="0" applyFill="0" applyBorder="0" applyAlignment="0" applyProtection="0"/>
    <xf numFmtId="184" fontId="28" fillId="56" borderId="0"/>
    <xf numFmtId="0" fontId="28" fillId="0" borderId="0" applyFill="0" applyBorder="0">
      <alignment vertical="center"/>
    </xf>
    <xf numFmtId="0" fontId="28" fillId="56" borderId="0"/>
    <xf numFmtId="2" fontId="28" fillId="56" borderId="0" applyBorder="0"/>
    <xf numFmtId="216" fontId="26" fillId="0" borderId="0" applyFont="0" applyFill="0" applyBorder="0" applyAlignment="0" applyProtection="0">
      <alignment vertical="center"/>
    </xf>
    <xf numFmtId="216" fontId="26" fillId="0" borderId="0" applyAlignment="0">
      <alignment vertical="center"/>
    </xf>
    <xf numFmtId="0" fontId="28" fillId="0" borderId="0" applyNumberFormat="0" applyFont="0" applyAlignment="0" applyProtection="0"/>
    <xf numFmtId="10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335" fontId="18" fillId="0" borderId="0" applyFill="0" applyBorder="0"/>
    <xf numFmtId="335" fontId="89" fillId="0" borderId="0" applyFill="0" applyBorder="0"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8" fillId="0" borderId="0"/>
    <xf numFmtId="336" fontId="18" fillId="0" borderId="0"/>
    <xf numFmtId="171" fontId="138" fillId="6" borderId="0">
      <alignment horizontal="right"/>
    </xf>
    <xf numFmtId="0" fontId="40" fillId="0" borderId="0">
      <alignment horizontal="center"/>
    </xf>
    <xf numFmtId="3" fontId="18" fillId="0" borderId="0"/>
    <xf numFmtId="1" fontId="139" fillId="0" borderId="0" applyNumberFormat="0" applyFont="0" applyFill="0">
      <alignment horizontal="center"/>
    </xf>
    <xf numFmtId="3" fontId="140" fillId="0" borderId="0" applyNumberFormat="0" applyAlignment="0">
      <alignment vertical="center"/>
    </xf>
    <xf numFmtId="337" fontId="18" fillId="0" borderId="0">
      <alignment vertical="top"/>
    </xf>
    <xf numFmtId="338" fontId="30" fillId="0" borderId="0" applyFont="0" applyFill="0" applyBorder="0" applyAlignment="0" applyProtection="0"/>
    <xf numFmtId="0" fontId="30" fillId="0" borderId="22" applyNumberFormat="0" applyFont="0" applyFill="0" applyAlignment="0" applyProtection="0"/>
    <xf numFmtId="0" fontId="30" fillId="0" borderId="23" applyNumberFormat="0" applyFont="0" applyFill="0" applyAlignment="0" applyProtection="0"/>
    <xf numFmtId="0" fontId="30" fillId="0" borderId="24" applyNumberFormat="0" applyFont="0" applyFill="0" applyAlignment="0" applyProtection="0"/>
    <xf numFmtId="0" fontId="30" fillId="0" borderId="25" applyNumberFormat="0" applyFont="0" applyFill="0" applyAlignment="0" applyProtection="0"/>
    <xf numFmtId="0" fontId="30" fillId="0" borderId="26" applyNumberFormat="0" applyFont="0" applyFill="0" applyAlignment="0" applyProtection="0"/>
    <xf numFmtId="0" fontId="30" fillId="0" borderId="26" applyNumberFormat="0" applyFont="0" applyFill="0" applyAlignment="0" applyProtection="0"/>
    <xf numFmtId="0" fontId="30" fillId="13" borderId="0" applyNumberFormat="0" applyFont="0" applyBorder="0" applyAlignment="0" applyProtection="0"/>
    <xf numFmtId="0" fontId="30" fillId="0" borderId="27" applyNumberFormat="0" applyFont="0" applyFill="0" applyAlignment="0" applyProtection="0"/>
    <xf numFmtId="0" fontId="30" fillId="0" borderId="28" applyNumberFormat="0" applyFont="0" applyFill="0" applyAlignment="0" applyProtection="0"/>
    <xf numFmtId="46" fontId="30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30" fillId="0" borderId="29" applyNumberFormat="0" applyFont="0" applyFill="0" applyAlignment="0" applyProtection="0"/>
    <xf numFmtId="0" fontId="30" fillId="0" borderId="30" applyNumberFormat="0" applyFont="0" applyFill="0" applyAlignment="0" applyProtection="0"/>
    <xf numFmtId="0" fontId="30" fillId="0" borderId="9" applyNumberFormat="0" applyFont="0" applyFill="0" applyAlignment="0" applyProtection="0"/>
    <xf numFmtId="0" fontId="30" fillId="0" borderId="31" applyNumberFormat="0" applyFont="0" applyFill="0" applyAlignment="0" applyProtection="0"/>
    <xf numFmtId="0" fontId="30" fillId="0" borderId="31" applyNumberFormat="0" applyFont="0" applyFill="0" applyAlignment="0" applyProtection="0"/>
    <xf numFmtId="0" fontId="30" fillId="0" borderId="9" applyNumberFormat="0" applyFont="0" applyFill="0" applyAlignment="0" applyProtection="0"/>
    <xf numFmtId="0" fontId="30" fillId="0" borderId="0" applyNumberFormat="0" applyFont="0" applyFill="0" applyBorder="0" applyProtection="0">
      <alignment horizontal="center"/>
    </xf>
    <xf numFmtId="0" fontId="14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3" fillId="0" borderId="0" applyNumberFormat="0" applyFill="0" applyBorder="0" applyProtection="0">
      <alignment horizontal="left"/>
    </xf>
    <xf numFmtId="0" fontId="30" fillId="13" borderId="0" applyNumberFormat="0" applyFont="0" applyBorder="0" applyAlignment="0" applyProtection="0"/>
    <xf numFmtId="0" fontId="14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0" fillId="0" borderId="32" applyNumberFormat="0" applyFont="0" applyFill="0" applyAlignment="0" applyProtection="0"/>
    <xf numFmtId="0" fontId="30" fillId="0" borderId="33" applyNumberFormat="0" applyFont="0" applyFill="0" applyAlignment="0" applyProtection="0"/>
    <xf numFmtId="0" fontId="30" fillId="0" borderId="33" applyNumberFormat="0" applyFont="0" applyFill="0" applyAlignment="0" applyProtection="0"/>
    <xf numFmtId="339" fontId="30" fillId="0" borderId="0" applyFont="0" applyFill="0" applyBorder="0" applyAlignment="0" applyProtection="0"/>
    <xf numFmtId="0" fontId="30" fillId="0" borderId="34" applyNumberFormat="0" applyFont="0" applyFill="0" applyAlignment="0" applyProtection="0"/>
    <xf numFmtId="0" fontId="30" fillId="0" borderId="34" applyNumberFormat="0" applyFont="0" applyFill="0" applyAlignment="0" applyProtection="0"/>
    <xf numFmtId="0" fontId="30" fillId="0" borderId="35" applyNumberFormat="0" applyFont="0" applyFill="0" applyAlignment="0" applyProtection="0"/>
    <xf numFmtId="0" fontId="30" fillId="0" borderId="35" applyNumberFormat="0" applyFont="0" applyFill="0" applyAlignment="0" applyProtection="0"/>
    <xf numFmtId="0" fontId="30" fillId="0" borderId="36" applyNumberFormat="0" applyFont="0" applyFill="0" applyAlignment="0" applyProtection="0"/>
    <xf numFmtId="0" fontId="30" fillId="0" borderId="36" applyNumberFormat="0" applyFont="0" applyFill="0" applyAlignment="0" applyProtection="0"/>
    <xf numFmtId="0" fontId="30" fillId="0" borderId="37" applyNumberFormat="0" applyFont="0" applyFill="0" applyAlignment="0" applyProtection="0"/>
    <xf numFmtId="0" fontId="30" fillId="0" borderId="37" applyNumberFormat="0" applyFont="0" applyFill="0" applyAlignment="0" applyProtection="0"/>
    <xf numFmtId="0" fontId="30" fillId="0" borderId="38" applyNumberFormat="0" applyFont="0" applyFill="0" applyAlignment="0" applyProtection="0"/>
    <xf numFmtId="0" fontId="30" fillId="0" borderId="38" applyNumberFormat="0" applyFont="0" applyFill="0" applyAlignment="0" applyProtection="0"/>
    <xf numFmtId="0" fontId="45" fillId="0" borderId="0"/>
    <xf numFmtId="0" fontId="44" fillId="0" borderId="0"/>
    <xf numFmtId="0" fontId="145" fillId="68" borderId="0"/>
    <xf numFmtId="0" fontId="145" fillId="68" borderId="0">
      <alignment wrapText="1"/>
    </xf>
    <xf numFmtId="0" fontId="18" fillId="0" borderId="0"/>
    <xf numFmtId="0" fontId="146" fillId="0" borderId="0" applyNumberFormat="0" applyFill="0" applyBorder="0" applyAlignment="0" applyProtection="0"/>
    <xf numFmtId="0" fontId="147" fillId="0" borderId="0"/>
    <xf numFmtId="2" fontId="22" fillId="0" borderId="2"/>
    <xf numFmtId="0" fontId="18" fillId="0" borderId="0"/>
    <xf numFmtId="340" fontId="48" fillId="0" borderId="0" applyFill="0" applyBorder="0" applyAlignment="0"/>
    <xf numFmtId="0" fontId="18" fillId="62" borderId="7"/>
    <xf numFmtId="0" fontId="148" fillId="0" borderId="0" applyNumberFormat="0" applyFill="0" applyBorder="0" applyAlignment="0" applyProtection="0"/>
    <xf numFmtId="0" fontId="35" fillId="0" borderId="0"/>
    <xf numFmtId="0" fontId="51" fillId="70" borderId="0"/>
    <xf numFmtId="0" fontId="51" fillId="76" borderId="0"/>
    <xf numFmtId="0" fontId="18" fillId="49" borderId="0"/>
    <xf numFmtId="0" fontId="94" fillId="0" borderId="39" applyBorder="0"/>
    <xf numFmtId="0" fontId="149" fillId="0" borderId="0" applyNumberFormat="0" applyBorder="0" applyAlignment="0">
      <alignment vertical="top"/>
    </xf>
    <xf numFmtId="0" fontId="150" fillId="0" borderId="0" applyNumberFormat="0" applyBorder="0" applyProtection="0">
      <alignment vertical="top"/>
    </xf>
    <xf numFmtId="0" fontId="151" fillId="0" borderId="0">
      <alignment vertical="top"/>
    </xf>
    <xf numFmtId="0" fontId="152" fillId="77" borderId="0"/>
    <xf numFmtId="0" fontId="153" fillId="0" borderId="0"/>
    <xf numFmtId="0" fontId="154" fillId="5" borderId="3"/>
    <xf numFmtId="167" fontId="18" fillId="0" borderId="40"/>
    <xf numFmtId="171" fontId="155" fillId="0" borderId="41">
      <alignment vertical="center"/>
    </xf>
    <xf numFmtId="167" fontId="18" fillId="0" borderId="42"/>
    <xf numFmtId="171" fontId="155" fillId="0" borderId="41">
      <alignment vertical="center"/>
    </xf>
    <xf numFmtId="167" fontId="18" fillId="0" borderId="40"/>
    <xf numFmtId="167" fontId="18" fillId="0" borderId="40"/>
    <xf numFmtId="10" fontId="22" fillId="78" borderId="0" applyNumberFormat="0" applyBorder="0" applyAlignment="0"/>
    <xf numFmtId="0" fontId="156" fillId="5" borderId="7">
      <protection locked="0"/>
    </xf>
    <xf numFmtId="341" fontId="40" fillId="0" borderId="0" applyFill="0" applyBorder="0" applyProtection="0"/>
    <xf numFmtId="0" fontId="157" fillId="0" borderId="0" applyFill="0" applyBorder="0" applyAlignment="0"/>
    <xf numFmtId="0" fontId="22" fillId="6" borderId="10">
      <alignment horizontal="left" vertical="center"/>
    </xf>
    <xf numFmtId="342" fontId="26" fillId="0" borderId="0" applyFont="0" applyFill="0" applyBorder="0" applyAlignment="0" applyProtection="0"/>
    <xf numFmtId="343" fontId="26" fillId="0" borderId="0" applyFont="0" applyFill="0" applyBorder="0" applyAlignment="0" applyProtection="0"/>
    <xf numFmtId="0" fontId="158" fillId="0" borderId="0">
      <alignment horizontal="center"/>
    </xf>
    <xf numFmtId="15" fontId="158" fillId="0" borderId="0">
      <alignment horizontal="center"/>
    </xf>
    <xf numFmtId="167" fontId="18" fillId="0" borderId="0"/>
    <xf numFmtId="171" fontId="159" fillId="53" borderId="0" applyNumberFormat="0">
      <alignment vertical="center"/>
    </xf>
    <xf numFmtId="171" fontId="160" fillId="61" borderId="0" applyNumberFormat="0">
      <alignment vertical="center"/>
    </xf>
    <xf numFmtId="171" fontId="45" fillId="0" borderId="0" applyNumberFormat="0">
      <alignment vertical="center"/>
    </xf>
    <xf numFmtId="171" fontId="155" fillId="0" borderId="0" applyNumberFormat="0">
      <alignment vertical="center"/>
    </xf>
    <xf numFmtId="0" fontId="18" fillId="5" borderId="0" applyNumberFormat="0" applyFont="0" applyBorder="0" applyAlignment="0"/>
    <xf numFmtId="0" fontId="161" fillId="0" borderId="0">
      <alignment vertical="center"/>
    </xf>
    <xf numFmtId="3" fontId="105" fillId="79" borderId="7" applyNumberFormat="0" applyFont="0" applyAlignment="0" applyProtection="0">
      <alignment vertical="center"/>
    </xf>
    <xf numFmtId="171" fontId="155" fillId="0" borderId="43">
      <alignment vertical="center"/>
    </xf>
    <xf numFmtId="171" fontId="155" fillId="0" borderId="41">
      <alignment vertical="center"/>
    </xf>
    <xf numFmtId="171" fontId="155" fillId="0" borderId="41">
      <alignment vertical="center"/>
    </xf>
    <xf numFmtId="171" fontId="22" fillId="0" borderId="42" applyFill="0"/>
    <xf numFmtId="171" fontId="22" fillId="0" borderId="42" applyFill="0"/>
    <xf numFmtId="171" fontId="22" fillId="0" borderId="42" applyFill="0"/>
    <xf numFmtId="171" fontId="22" fillId="0" borderId="42" applyFill="0"/>
    <xf numFmtId="171" fontId="22" fillId="0" borderId="44" applyFill="0"/>
    <xf numFmtId="171" fontId="22" fillId="0" borderId="44" applyFill="0"/>
    <xf numFmtId="171" fontId="22" fillId="0" borderId="44" applyFill="0"/>
    <xf numFmtId="171" fontId="22" fillId="0" borderId="44" applyFill="0"/>
    <xf numFmtId="171" fontId="18" fillId="0" borderId="42" applyFill="0"/>
    <xf numFmtId="171" fontId="18" fillId="0" borderId="42" applyFill="0"/>
    <xf numFmtId="171" fontId="18" fillId="0" borderId="42" applyFill="0"/>
    <xf numFmtId="171" fontId="18" fillId="0" borderId="42" applyFill="0"/>
    <xf numFmtId="171" fontId="18" fillId="0" borderId="44" applyFill="0"/>
    <xf numFmtId="171" fontId="18" fillId="0" borderId="44" applyFill="0"/>
    <xf numFmtId="171" fontId="18" fillId="0" borderId="44" applyFill="0"/>
    <xf numFmtId="171" fontId="18" fillId="0" borderId="44" applyFill="0"/>
    <xf numFmtId="0" fontId="22" fillId="0" borderId="0"/>
    <xf numFmtId="167" fontId="18" fillId="0" borderId="45"/>
    <xf numFmtId="0" fontId="162" fillId="76" borderId="7"/>
    <xf numFmtId="0" fontId="28" fillId="0" borderId="10" applyFill="0" applyBorder="0">
      <alignment horizontal="center" vertical="center"/>
    </xf>
    <xf numFmtId="344" fontId="18" fillId="0" borderId="0" applyFont="0" applyFill="0" applyBorder="0" applyAlignment="0" applyProtection="0"/>
    <xf numFmtId="345" fontId="18" fillId="0" borderId="0" applyFont="0" applyFill="0" applyBorder="0" applyAlignment="0" applyProtection="0"/>
    <xf numFmtId="0" fontId="89" fillId="0" borderId="0" applyNumberFormat="0" applyFill="0" applyBorder="0"/>
    <xf numFmtId="216" fontId="26" fillId="17" borderId="9" applyAlignment="0">
      <alignment vertical="center"/>
    </xf>
    <xf numFmtId="216" fontId="26" fillId="17" borderId="9" applyAlignment="0">
      <alignment vertical="center"/>
    </xf>
    <xf numFmtId="346" fontId="26" fillId="17" borderId="9" applyAlignment="0">
      <alignment vertical="center"/>
    </xf>
    <xf numFmtId="49" fontId="26" fillId="17" borderId="9" applyAlignment="0">
      <alignment vertical="center"/>
    </xf>
    <xf numFmtId="0" fontId="22" fillId="0" borderId="0">
      <alignment horizontal="center"/>
    </xf>
    <xf numFmtId="347" fontId="22" fillId="0" borderId="0"/>
    <xf numFmtId="348" fontId="40" fillId="0" borderId="0" applyFill="0" applyProtection="0"/>
    <xf numFmtId="349" fontId="18" fillId="0" borderId="0" applyFont="0" applyFill="0" applyBorder="0" applyAlignment="0" applyProtection="0"/>
    <xf numFmtId="0" fontId="18" fillId="0" borderId="0"/>
    <xf numFmtId="0" fontId="18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42"/>
    <xf numFmtId="167" fontId="18" fillId="0" borderId="42"/>
    <xf numFmtId="167" fontId="18" fillId="0" borderId="42"/>
    <xf numFmtId="167" fontId="18" fillId="0" borderId="42"/>
    <xf numFmtId="167" fontId="18" fillId="0" borderId="42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/>
    <xf numFmtId="0" fontId="5" fillId="2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2" fillId="0" borderId="0" applyFont="0" applyFill="0" applyBorder="0" applyAlignment="0" applyProtection="0">
      <alignment horizontal="right"/>
    </xf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18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1" fontId="22" fillId="0" borderId="40" applyFill="0"/>
    <xf numFmtId="171" fontId="22" fillId="0" borderId="40" applyFill="0"/>
    <xf numFmtId="171" fontId="18" fillId="0" borderId="40" applyFill="0"/>
    <xf numFmtId="171" fontId="18" fillId="0" borderId="40" applyFill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8" fillId="56" borderId="46" applyBorder="0"/>
    <xf numFmtId="0" fontId="58" fillId="56" borderId="46" applyBorder="0"/>
    <xf numFmtId="9" fontId="96" fillId="6" borderId="46">
      <alignment horizontal="center"/>
    </xf>
    <xf numFmtId="9" fontId="96" fillId="6" borderId="46">
      <alignment horizont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0" fillId="0" borderId="47" applyNumberFormat="0" applyFont="0" applyFill="0" applyAlignment="0" applyProtection="0"/>
    <xf numFmtId="0" fontId="30" fillId="0" borderId="47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4" applyNumberFormat="0" applyFont="0" applyFill="0" applyAlignment="0" applyProtection="0"/>
    <xf numFmtId="0" fontId="30" fillId="0" borderId="54" applyNumberFormat="0" applyFont="0" applyFill="0" applyAlignment="0" applyProtection="0"/>
    <xf numFmtId="167" fontId="18" fillId="0" borderId="55"/>
    <xf numFmtId="171" fontId="155" fillId="0" borderId="56">
      <alignment vertical="center"/>
    </xf>
    <xf numFmtId="167" fontId="18" fillId="0" borderId="40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22" fillId="0" borderId="57" applyFill="0"/>
    <xf numFmtId="171" fontId="22" fillId="0" borderId="57" applyFill="0"/>
    <xf numFmtId="171" fontId="22" fillId="0" borderId="57" applyFill="0"/>
    <xf numFmtId="171" fontId="22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67" fontId="18" fillId="0" borderId="58"/>
    <xf numFmtId="167" fontId="18" fillId="0" borderId="40"/>
    <xf numFmtId="167" fontId="18" fillId="0" borderId="40"/>
    <xf numFmtId="167" fontId="18" fillId="0" borderId="40"/>
    <xf numFmtId="167" fontId="18" fillId="0" borderId="40"/>
    <xf numFmtId="167" fontId="18" fillId="0" borderId="40"/>
    <xf numFmtId="0" fontId="18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18" fillId="0" borderId="55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216" fontId="106" fillId="6" borderId="71" applyAlignment="0">
      <alignment vertical="center"/>
      <protection locked="0"/>
    </xf>
    <xf numFmtId="216" fontId="106" fillId="71" borderId="71" applyAlignment="0">
      <alignment vertical="center"/>
      <protection locked="0"/>
    </xf>
    <xf numFmtId="216" fontId="113" fillId="72" borderId="71" applyNumberFormat="0" applyAlignment="0">
      <alignment vertical="center"/>
    </xf>
    <xf numFmtId="216" fontId="26" fillId="21" borderId="71" applyAlignment="0">
      <alignment vertical="center"/>
    </xf>
    <xf numFmtId="238" fontId="106" fillId="12" borderId="71" applyAlignment="0">
      <alignment vertical="center"/>
    </xf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238" fontId="26" fillId="0" borderId="71" applyAlignment="0">
      <alignment vertical="center"/>
    </xf>
    <xf numFmtId="0" fontId="77" fillId="21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216" fontId="26" fillId="54" borderId="71" applyNumberFormat="0" applyFont="0" applyAlignment="0" applyProtection="0">
      <alignment vertic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9" fontId="96" fillId="6" borderId="46">
      <alignment horizontal="center"/>
    </xf>
    <xf numFmtId="9" fontId="96" fillId="6" borderId="46">
      <alignment horizontal="center"/>
    </xf>
    <xf numFmtId="0" fontId="58" fillId="56" borderId="46" applyBorder="0"/>
    <xf numFmtId="0" fontId="58" fillId="56" borderId="46" applyBorder="0"/>
    <xf numFmtId="167" fontId="18" fillId="0" borderId="55"/>
    <xf numFmtId="0" fontId="30" fillId="0" borderId="47" applyNumberFormat="0" applyFont="0" applyFill="0" applyAlignment="0" applyProtection="0"/>
    <xf numFmtId="0" fontId="30" fillId="0" borderId="47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4" applyNumberFormat="0" applyFont="0" applyFill="0" applyAlignment="0" applyProtection="0"/>
    <xf numFmtId="0" fontId="30" fillId="0" borderId="54" applyNumberFormat="0" applyFont="0" applyFill="0" applyAlignment="0" applyProtection="0"/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57" applyFill="0"/>
    <xf numFmtId="171" fontId="22" fillId="0" borderId="57" applyFill="0"/>
    <xf numFmtId="171" fontId="22" fillId="0" borderId="57" applyFill="0"/>
    <xf numFmtId="171" fontId="22" fillId="0" borderId="57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0" fontId="58" fillId="56" borderId="46" applyBorder="0"/>
    <xf numFmtId="0" fontId="58" fillId="56" borderId="46" applyBorder="0"/>
    <xf numFmtId="9" fontId="96" fillId="6" borderId="46">
      <alignment horizontal="center"/>
    </xf>
    <xf numFmtId="9" fontId="96" fillId="6" borderId="46">
      <alignment horizont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47" applyNumberFormat="0" applyFont="0" applyFill="0" applyAlignment="0" applyProtection="0"/>
    <xf numFmtId="0" fontId="30" fillId="0" borderId="47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4" applyNumberFormat="0" applyFont="0" applyFill="0" applyAlignment="0" applyProtection="0"/>
    <xf numFmtId="0" fontId="30" fillId="0" borderId="54" applyNumberFormat="0" applyFont="0" applyFill="0" applyAlignment="0" applyProtection="0"/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22" fillId="0" borderId="57" applyFill="0"/>
    <xf numFmtId="171" fontId="22" fillId="0" borderId="57" applyFill="0"/>
    <xf numFmtId="171" fontId="22" fillId="0" borderId="57" applyFill="0"/>
    <xf numFmtId="171" fontId="22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96" fillId="6" borderId="59">
      <alignment horizontal="center"/>
    </xf>
    <xf numFmtId="9" fontId="96" fillId="6" borderId="59">
      <alignment horizont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0" fontId="58" fillId="56" borderId="59" applyBorder="0"/>
    <xf numFmtId="0" fontId="58" fillId="56" borderId="59" applyBorder="0"/>
    <xf numFmtId="167" fontId="18" fillId="0" borderId="55"/>
    <xf numFmtId="167" fontId="18" fillId="0" borderId="55"/>
    <xf numFmtId="167" fontId="18" fillId="0" borderId="55"/>
    <xf numFmtId="167" fontId="18" fillId="0" borderId="5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55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8" fillId="56" borderId="59" applyBorder="0"/>
    <xf numFmtId="0" fontId="58" fillId="56" borderId="59" applyBorder="0"/>
    <xf numFmtId="9" fontId="96" fillId="6" borderId="59">
      <alignment horizontal="center"/>
    </xf>
    <xf numFmtId="9" fontId="96" fillId="6" borderId="59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155" fillId="0" borderId="69">
      <alignment vertical="center"/>
    </xf>
    <xf numFmtId="9" fontId="96" fillId="6" borderId="59">
      <alignment horizontal="center"/>
    </xf>
    <xf numFmtId="9" fontId="96" fillId="6" borderId="59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56" borderId="59" applyBorder="0"/>
    <xf numFmtId="0" fontId="58" fillId="56" borderId="59" applyBorder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8" fillId="0" borderId="68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8" fillId="56" borderId="59" applyBorder="0"/>
    <xf numFmtId="0" fontId="58" fillId="56" borderId="59" applyBorder="0"/>
    <xf numFmtId="9" fontId="96" fillId="6" borderId="59">
      <alignment horizontal="center"/>
    </xf>
    <xf numFmtId="9" fontId="96" fillId="6" borderId="59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55" fillId="0" borderId="69">
      <alignment vertical="center"/>
    </xf>
    <xf numFmtId="167" fontId="18" fillId="0" borderId="68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71" fontId="155" fillId="0" borderId="69">
      <alignment vertical="center"/>
    </xf>
    <xf numFmtId="167" fontId="18" fillId="0" borderId="68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155" fillId="0" borderId="69">
      <alignment vertical="center"/>
    </xf>
    <xf numFmtId="0" fontId="30" fillId="0" borderId="71" applyNumberFormat="0" applyFont="0" applyFill="0" applyAlignment="0" applyProtection="0"/>
    <xf numFmtId="0" fontId="30" fillId="0" borderId="71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55"/>
    <xf numFmtId="171" fontId="155" fillId="0" borderId="69">
      <alignment vertical="center"/>
    </xf>
    <xf numFmtId="167" fontId="18" fillId="0" borderId="68"/>
    <xf numFmtId="167" fontId="18" fillId="0" borderId="68"/>
    <xf numFmtId="216" fontId="26" fillId="17" borderId="71" applyAlignment="0">
      <alignment vertical="center"/>
    </xf>
    <xf numFmtId="216" fontId="26" fillId="17" borderId="71" applyAlignment="0">
      <alignment vertical="center"/>
    </xf>
    <xf numFmtId="346" fontId="26" fillId="17" borderId="71" applyAlignment="0">
      <alignment vertical="center"/>
    </xf>
    <xf numFmtId="49" fontId="26" fillId="17" borderId="71" applyAlignment="0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18" fillId="0" borderId="0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155" fillId="0" borderId="56">
      <alignment vertical="center"/>
    </xf>
    <xf numFmtId="43" fontId="1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9" fontId="96" fillId="6" borderId="59">
      <alignment horizontal="center"/>
    </xf>
    <xf numFmtId="9" fontId="96" fillId="6" borderId="59">
      <alignment horizontal="center"/>
    </xf>
    <xf numFmtId="0" fontId="58" fillId="56" borderId="59" applyBorder="0"/>
    <xf numFmtId="0" fontId="58" fillId="56" borderId="59" applyBorder="0"/>
    <xf numFmtId="167" fontId="18" fillId="0" borderId="68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58" fillId="56" borderId="59" applyBorder="0"/>
    <xf numFmtId="0" fontId="58" fillId="56" borderId="59" applyBorder="0"/>
    <xf numFmtId="9" fontId="96" fillId="6" borderId="59">
      <alignment horizontal="center"/>
    </xf>
    <xf numFmtId="9" fontId="96" fillId="6" borderId="59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68"/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155" fillId="0" borderId="69">
      <alignment vertical="center"/>
    </xf>
  </cellStyleXfs>
  <cellXfs count="144">
    <xf numFmtId="0" fontId="0" fillId="0" borderId="0" xfId="0"/>
    <xf numFmtId="0" fontId="163" fillId="0" borderId="0" xfId="8749" applyFont="1" applyFill="1" applyBorder="1"/>
    <xf numFmtId="0" fontId="163" fillId="0" borderId="0" xfId="8749" applyFont="1" applyFill="1" applyBorder="1" applyAlignment="1">
      <alignment horizontal="center"/>
    </xf>
    <xf numFmtId="0" fontId="163" fillId="0" borderId="0" xfId="8749" applyNumberFormat="1" applyFont="1" applyFill="1" applyBorder="1" applyAlignment="1">
      <alignment horizontal="center"/>
    </xf>
    <xf numFmtId="243" fontId="163" fillId="0" borderId="0" xfId="8749" applyNumberFormat="1" applyFont="1" applyFill="1" applyBorder="1" applyAlignment="1">
      <alignment horizontal="right"/>
    </xf>
    <xf numFmtId="305" fontId="163" fillId="0" borderId="0" xfId="8749" applyNumberFormat="1" applyFont="1" applyFill="1" applyBorder="1"/>
    <xf numFmtId="0" fontId="165" fillId="0" borderId="0" xfId="0" applyFont="1" applyFill="1" applyBorder="1" applyAlignment="1">
      <alignment horizontal="right" vertical="top" wrapText="1"/>
    </xf>
    <xf numFmtId="0" fontId="165" fillId="0" borderId="0" xfId="42" applyFont="1" applyFill="1" applyBorder="1" applyAlignment="1">
      <alignment horizontal="right"/>
    </xf>
    <xf numFmtId="1" fontId="165" fillId="0" borderId="0" xfId="42" applyNumberFormat="1" applyFont="1" applyFill="1" applyBorder="1" applyAlignment="1">
      <alignment horizontal="right"/>
    </xf>
    <xf numFmtId="0" fontId="165" fillId="0" borderId="0" xfId="42" applyFont="1" applyFill="1" applyBorder="1" applyAlignment="1">
      <alignment horizontal="left"/>
    </xf>
    <xf numFmtId="170" fontId="165" fillId="0" borderId="0" xfId="0" applyNumberFormat="1" applyFont="1" applyFill="1" applyBorder="1" applyAlignment="1">
      <alignment horizontal="right"/>
    </xf>
    <xf numFmtId="0" fontId="165" fillId="0" borderId="0" xfId="0" applyFont="1" applyFill="1" applyBorder="1"/>
    <xf numFmtId="0" fontId="165" fillId="0" borderId="0" xfId="0" applyFont="1" applyFill="1" applyBorder="1" applyAlignment="1">
      <alignment horizontal="left" vertical="center" wrapText="1"/>
    </xf>
    <xf numFmtId="1" fontId="165" fillId="0" borderId="0" xfId="0" applyNumberFormat="1" applyFont="1" applyFill="1" applyBorder="1" applyAlignment="1">
      <alignment horizontal="right" vertical="center" wrapText="1"/>
    </xf>
    <xf numFmtId="1" fontId="165" fillId="0" borderId="0" xfId="0" applyNumberFormat="1" applyFont="1" applyFill="1" applyBorder="1" applyAlignment="1">
      <alignment horizontal="right" vertical="top" wrapText="1"/>
    </xf>
    <xf numFmtId="0" fontId="165" fillId="0" borderId="0" xfId="0" applyFont="1" applyFill="1" applyBorder="1" applyAlignment="1">
      <alignment vertical="top" wrapText="1"/>
    </xf>
    <xf numFmtId="1" fontId="165" fillId="0" borderId="0" xfId="4444" applyNumberFormat="1" applyFont="1" applyFill="1" applyBorder="1" applyAlignment="1">
      <alignment horizontal="right"/>
    </xf>
    <xf numFmtId="3" fontId="165" fillId="0" borderId="0" xfId="0" applyNumberFormat="1" applyFont="1" applyFill="1" applyBorder="1" applyAlignment="1">
      <alignment horizontal="center" vertical="center" wrapText="1"/>
    </xf>
    <xf numFmtId="0" fontId="165" fillId="0" borderId="0" xfId="42" applyFont="1" applyFill="1"/>
    <xf numFmtId="1" fontId="165" fillId="0" borderId="0" xfId="42" applyNumberFormat="1" applyFont="1" applyFill="1"/>
    <xf numFmtId="1" fontId="165" fillId="0" borderId="0" xfId="2" applyNumberFormat="1" applyFont="1" applyFill="1" applyBorder="1" applyAlignment="1">
      <alignment horizontal="right" shrinkToFit="1"/>
    </xf>
    <xf numFmtId="1" fontId="165" fillId="0" borderId="0" xfId="2" applyNumberFormat="1" applyFont="1" applyFill="1" applyBorder="1" applyAlignment="1">
      <alignment horizontal="right"/>
    </xf>
    <xf numFmtId="2" fontId="163" fillId="0" borderId="0" xfId="4668" applyNumberFormat="1" applyFont="1" applyFill="1"/>
    <xf numFmtId="2" fontId="163" fillId="0" borderId="0" xfId="4668" applyNumberFormat="1" applyFont="1" applyFill="1" applyBorder="1"/>
    <xf numFmtId="305" fontId="163" fillId="0" borderId="0" xfId="4668" applyNumberFormat="1" applyFont="1" applyFill="1" applyAlignment="1">
      <alignment horizontal="right"/>
    </xf>
    <xf numFmtId="0" fontId="165" fillId="0" borderId="0" xfId="0" applyFont="1" applyFill="1" applyBorder="1" applyAlignment="1">
      <alignment vertical="top"/>
    </xf>
    <xf numFmtId="0" fontId="166" fillId="0" borderId="0" xfId="0" applyFont="1" applyFill="1" applyBorder="1" applyAlignment="1"/>
    <xf numFmtId="3" fontId="165" fillId="0" borderId="0" xfId="0" applyNumberFormat="1" applyFont="1" applyFill="1" applyBorder="1" applyAlignment="1">
      <alignment horizontal="left" vertical="top"/>
    </xf>
    <xf numFmtId="0" fontId="165" fillId="0" borderId="0" xfId="0" applyFont="1" applyFill="1" applyBorder="1" applyAlignment="1">
      <alignment horizontal="left"/>
    </xf>
    <xf numFmtId="0" fontId="165" fillId="0" borderId="0" xfId="0" applyFont="1" applyFill="1" applyBorder="1" applyAlignment="1">
      <alignment horizontal="right"/>
    </xf>
    <xf numFmtId="0" fontId="166" fillId="0" borderId="0" xfId="0" applyFont="1" applyFill="1" applyBorder="1" applyAlignment="1">
      <alignment horizontal="right"/>
    </xf>
    <xf numFmtId="1" fontId="165" fillId="0" borderId="0" xfId="0" applyNumberFormat="1" applyFont="1" applyFill="1" applyBorder="1" applyAlignment="1">
      <alignment horizontal="right"/>
    </xf>
    <xf numFmtId="0" fontId="166" fillId="0" borderId="0" xfId="0" applyFont="1" applyFill="1" applyBorder="1" applyAlignment="1">
      <alignment horizontal="left"/>
    </xf>
    <xf numFmtId="0" fontId="165" fillId="0" borderId="0" xfId="0" applyFont="1" applyFill="1" applyBorder="1" applyAlignment="1"/>
    <xf numFmtId="1" fontId="165" fillId="0" borderId="0" xfId="0" applyNumberFormat="1" applyFont="1" applyFill="1" applyBorder="1" applyAlignment="1">
      <alignment horizontal="right" vertical="center"/>
    </xf>
    <xf numFmtId="3" fontId="165" fillId="0" borderId="0" xfId="0" applyNumberFormat="1" applyFont="1" applyFill="1" applyBorder="1" applyAlignment="1">
      <alignment horizontal="center" vertical="top"/>
    </xf>
    <xf numFmtId="1" fontId="166" fillId="0" borderId="0" xfId="0" applyNumberFormat="1" applyFont="1" applyFill="1" applyBorder="1" applyAlignment="1">
      <alignment horizontal="right"/>
    </xf>
    <xf numFmtId="1" fontId="166" fillId="0" borderId="0" xfId="0" applyNumberFormat="1" applyFont="1" applyFill="1" applyBorder="1" applyAlignment="1">
      <alignment horizontal="right" vertical="center"/>
    </xf>
    <xf numFmtId="1" fontId="165" fillId="0" borderId="0" xfId="0" applyNumberFormat="1" applyFont="1" applyFill="1" applyBorder="1" applyAlignment="1"/>
    <xf numFmtId="1" fontId="165" fillId="0" borderId="0" xfId="0" applyNumberFormat="1" applyFont="1" applyFill="1" applyBorder="1" applyAlignment="1">
      <alignment vertical="top"/>
    </xf>
    <xf numFmtId="1" fontId="165" fillId="0" borderId="0" xfId="0" applyNumberFormat="1" applyFont="1" applyFill="1" applyBorder="1" applyAlignment="1">
      <alignment vertical="center"/>
    </xf>
    <xf numFmtId="1" fontId="165" fillId="0" borderId="0" xfId="2" applyNumberFormat="1" applyFont="1" applyFill="1" applyBorder="1" applyAlignment="1"/>
    <xf numFmtId="1" fontId="165" fillId="0" borderId="0" xfId="2" applyNumberFormat="1" applyFont="1" applyFill="1" applyBorder="1" applyAlignment="1">
      <alignment vertical="center"/>
    </xf>
    <xf numFmtId="1" fontId="165" fillId="0" borderId="0" xfId="4441" applyNumberFormat="1" applyFont="1" applyFill="1" applyBorder="1" applyAlignment="1">
      <alignment shrinkToFit="1"/>
    </xf>
    <xf numFmtId="305" fontId="165" fillId="0" borderId="0" xfId="0" applyNumberFormat="1" applyFont="1" applyFill="1" applyBorder="1" applyAlignment="1">
      <alignment horizontal="right"/>
    </xf>
    <xf numFmtId="1" fontId="165" fillId="0" borderId="70" xfId="2" applyNumberFormat="1" applyFont="1" applyFill="1" applyBorder="1" applyAlignment="1"/>
    <xf numFmtId="1" fontId="165" fillId="0" borderId="70" xfId="0" applyNumberFormat="1" applyFont="1" applyFill="1" applyBorder="1" applyAlignment="1">
      <alignment horizontal="right" vertical="top" wrapText="1"/>
    </xf>
    <xf numFmtId="166" fontId="165" fillId="0" borderId="0" xfId="11" applyNumberFormat="1" applyFont="1" applyFill="1" applyBorder="1" applyAlignment="1">
      <alignment horizontal="right" vertical="center"/>
    </xf>
    <xf numFmtId="305" fontId="163" fillId="0" borderId="0" xfId="15297" applyNumberFormat="1" applyFont="1" applyFill="1" applyBorder="1"/>
    <xf numFmtId="3" fontId="165" fillId="0" borderId="0" xfId="0" applyNumberFormat="1" applyFont="1" applyFill="1" applyBorder="1" applyAlignment="1">
      <alignment vertical="top"/>
    </xf>
    <xf numFmtId="171" fontId="165" fillId="0" borderId="0" xfId="15" applyNumberFormat="1" applyFont="1" applyFill="1" applyBorder="1" applyAlignment="1">
      <alignment vertical="center" wrapText="1"/>
    </xf>
    <xf numFmtId="0" fontId="165" fillId="0" borderId="0" xfId="15" applyFont="1" applyFill="1" applyBorder="1" applyAlignment="1">
      <alignment vertical="top" wrapText="1"/>
    </xf>
    <xf numFmtId="1" fontId="163" fillId="0" borderId="0" xfId="4668" applyNumberFormat="1" applyFont="1" applyFill="1" applyBorder="1" applyAlignment="1">
      <alignment horizontal="right"/>
    </xf>
    <xf numFmtId="0" fontId="168" fillId="0" borderId="0" xfId="0" applyFont="1" applyFill="1" applyBorder="1" applyAlignment="1">
      <alignment horizontal="left"/>
    </xf>
    <xf numFmtId="0" fontId="169" fillId="0" borderId="0" xfId="8749" applyFont="1" applyFill="1" applyBorder="1"/>
    <xf numFmtId="1" fontId="165" fillId="0" borderId="70" xfId="0" applyNumberFormat="1" applyFont="1" applyFill="1" applyBorder="1" applyAlignment="1">
      <alignment horizontal="right" vertical="center" wrapText="1"/>
    </xf>
    <xf numFmtId="1" fontId="165" fillId="0" borderId="44" xfId="42" applyNumberFormat="1" applyFont="1" applyFill="1" applyBorder="1"/>
    <xf numFmtId="0" fontId="166" fillId="0" borderId="0" xfId="0" applyFont="1" applyFill="1" applyBorder="1" applyAlignment="1">
      <alignment horizontal="left" vertical="center"/>
    </xf>
    <xf numFmtId="0" fontId="166" fillId="0" borderId="0" xfId="0" applyFont="1" applyFill="1" applyBorder="1"/>
    <xf numFmtId="0" fontId="18" fillId="0" borderId="0" xfId="0" applyFont="1"/>
    <xf numFmtId="1" fontId="165" fillId="0" borderId="0" xfId="15" applyNumberFormat="1" applyFont="1" applyFill="1" applyBorder="1" applyAlignment="1">
      <alignment horizontal="right" vertical="center" wrapText="1"/>
    </xf>
    <xf numFmtId="1" fontId="163" fillId="0" borderId="0" xfId="4668" applyNumberFormat="1" applyFont="1" applyFill="1"/>
    <xf numFmtId="1" fontId="163" fillId="0" borderId="0" xfId="4668" applyNumberFormat="1" applyFont="1" applyFill="1" applyAlignment="1">
      <alignment horizontal="right"/>
    </xf>
    <xf numFmtId="1" fontId="165" fillId="0" borderId="0" xfId="1" applyNumberFormat="1" applyFont="1" applyFill="1" applyBorder="1" applyAlignment="1">
      <alignment horizontal="right"/>
    </xf>
    <xf numFmtId="1" fontId="165" fillId="0" borderId="0" xfId="15" applyNumberFormat="1" applyFont="1" applyFill="1" applyBorder="1" applyAlignment="1">
      <alignment horizontal="right" vertical="top" wrapText="1"/>
    </xf>
    <xf numFmtId="1" fontId="165" fillId="0" borderId="0" xfId="0" applyNumberFormat="1" applyFont="1" applyFill="1" applyBorder="1" applyAlignment="1">
      <alignment horizontal="left"/>
    </xf>
    <xf numFmtId="1" fontId="165" fillId="0" borderId="0" xfId="4" applyNumberFormat="1" applyFont="1" applyFill="1" applyBorder="1" applyAlignment="1">
      <alignment horizontal="right"/>
    </xf>
    <xf numFmtId="305" fontId="163" fillId="0" borderId="0" xfId="4" applyNumberFormat="1" applyFont="1" applyFill="1" applyAlignment="1">
      <alignment horizontal="right"/>
    </xf>
    <xf numFmtId="1" fontId="164" fillId="0" borderId="0" xfId="4668" applyNumberFormat="1" applyFont="1" applyFill="1" applyBorder="1"/>
    <xf numFmtId="1" fontId="163" fillId="0" borderId="0" xfId="4668" applyNumberFormat="1" applyFont="1" applyFill="1" applyBorder="1"/>
    <xf numFmtId="1" fontId="163" fillId="0" borderId="0" xfId="4" applyNumberFormat="1" applyFont="1" applyFill="1" applyBorder="1" applyAlignment="1">
      <alignment horizontal="right"/>
    </xf>
    <xf numFmtId="1" fontId="163" fillId="0" borderId="0" xfId="8749" applyNumberFormat="1" applyFont="1" applyFill="1" applyBorder="1" applyAlignment="1">
      <alignment horizontal="center"/>
    </xf>
    <xf numFmtId="1" fontId="163" fillId="0" borderId="0" xfId="8749" applyNumberFormat="1" applyFont="1" applyFill="1" applyBorder="1"/>
    <xf numFmtId="1" fontId="165" fillId="0" borderId="0" xfId="4" applyNumberFormat="1" applyFont="1" applyFill="1" applyBorder="1"/>
    <xf numFmtId="1" fontId="165" fillId="0" borderId="0" xfId="4262" applyNumberFormat="1" applyFont="1" applyFill="1" applyBorder="1"/>
    <xf numFmtId="1" fontId="165" fillId="0" borderId="0" xfId="10" applyNumberFormat="1" applyFont="1" applyFill="1" applyBorder="1" applyAlignment="1">
      <alignment horizontal="right"/>
    </xf>
    <xf numFmtId="1" fontId="163" fillId="0" borderId="0" xfId="8749" applyNumberFormat="1" applyFont="1" applyFill="1" applyBorder="1" applyAlignment="1">
      <alignment horizontal="right"/>
    </xf>
    <xf numFmtId="1" fontId="169" fillId="0" borderId="0" xfId="8749" applyNumberFormat="1" applyFont="1" applyFill="1" applyBorder="1" applyAlignment="1">
      <alignment horizontal="center"/>
    </xf>
    <xf numFmtId="170" fontId="165" fillId="0" borderId="0" xfId="4" applyNumberFormat="1" applyFont="1" applyFill="1" applyBorder="1" applyAlignment="1">
      <alignment horizontal="right"/>
    </xf>
    <xf numFmtId="1" fontId="165" fillId="0" borderId="0" xfId="4" applyNumberFormat="1" applyFont="1" applyFill="1" applyBorder="1" applyAlignment="1">
      <alignment horizontal="right" vertical="center" wrapText="1"/>
    </xf>
    <xf numFmtId="170" fontId="165" fillId="0" borderId="0" xfId="4" applyNumberFormat="1" applyFont="1" applyFill="1" applyBorder="1" applyAlignment="1">
      <alignment horizontal="right" vertical="top" wrapText="1"/>
    </xf>
    <xf numFmtId="170" fontId="165" fillId="0" borderId="0" xfId="1" applyNumberFormat="1" applyFont="1" applyFill="1" applyBorder="1" applyAlignment="1">
      <alignment horizontal="right"/>
    </xf>
    <xf numFmtId="170" fontId="163" fillId="0" borderId="0" xfId="4" applyNumberFormat="1" applyFont="1" applyFill="1" applyBorder="1" applyAlignment="1">
      <alignment horizontal="right"/>
    </xf>
    <xf numFmtId="165" fontId="165" fillId="0" borderId="0" xfId="1" applyFont="1" applyFill="1" applyBorder="1" applyAlignment="1">
      <alignment horizontal="right"/>
    </xf>
    <xf numFmtId="165" fontId="165" fillId="0" borderId="0" xfId="1" applyFont="1" applyFill="1" applyBorder="1" applyAlignment="1">
      <alignment vertical="top"/>
    </xf>
    <xf numFmtId="165" fontId="165" fillId="0" borderId="0" xfId="1" applyFont="1" applyFill="1" applyBorder="1" applyAlignment="1">
      <alignment horizontal="right" shrinkToFit="1"/>
    </xf>
    <xf numFmtId="165" fontId="165" fillId="0" borderId="0" xfId="1" applyFont="1" applyFill="1" applyBorder="1" applyAlignment="1"/>
    <xf numFmtId="243" fontId="165" fillId="0" borderId="0" xfId="4" applyNumberFormat="1" applyFont="1" applyFill="1" applyBorder="1" applyAlignment="1">
      <alignment horizontal="right" vertical="center" wrapText="1"/>
    </xf>
    <xf numFmtId="243" fontId="165" fillId="0" borderId="0" xfId="0" applyNumberFormat="1" applyFont="1" applyFill="1" applyBorder="1" applyAlignment="1">
      <alignment horizontal="right"/>
    </xf>
    <xf numFmtId="1" fontId="165" fillId="0" borderId="70" xfId="2" applyNumberFormat="1" applyFont="1" applyFill="1" applyBorder="1" applyAlignment="1">
      <alignment vertical="center"/>
    </xf>
    <xf numFmtId="2" fontId="163" fillId="0" borderId="0" xfId="4668" applyNumberFormat="1" applyFont="1" applyFill="1" applyAlignment="1"/>
    <xf numFmtId="0" fontId="165" fillId="0" borderId="0" xfId="15" applyFont="1" applyFill="1" applyBorder="1" applyAlignment="1">
      <alignment vertical="center" wrapText="1"/>
    </xf>
    <xf numFmtId="0" fontId="166" fillId="0" borderId="0" xfId="0" applyFont="1" applyFill="1"/>
    <xf numFmtId="1" fontId="165" fillId="0" borderId="0" xfId="0" applyNumberFormat="1" applyFont="1" applyFill="1"/>
    <xf numFmtId="1" fontId="167" fillId="0" borderId="0" xfId="0" applyNumberFormat="1" applyFont="1" applyFill="1" applyBorder="1" applyAlignment="1">
      <alignment vertical="center" wrapText="1"/>
    </xf>
    <xf numFmtId="2" fontId="164" fillId="0" borderId="0" xfId="4668" applyNumberFormat="1" applyFont="1" applyFill="1" applyBorder="1"/>
    <xf numFmtId="1" fontId="164" fillId="0" borderId="0" xfId="4668" applyNumberFormat="1" applyFont="1" applyFill="1" applyBorder="1" applyAlignment="1">
      <alignment horizontal="right"/>
    </xf>
    <xf numFmtId="1" fontId="166" fillId="0" borderId="0" xfId="0" applyNumberFormat="1" applyFont="1" applyFill="1"/>
    <xf numFmtId="0" fontId="164" fillId="0" borderId="0" xfId="8749" applyFont="1" applyFill="1" applyBorder="1"/>
    <xf numFmtId="1" fontId="164" fillId="0" borderId="0" xfId="8749" applyNumberFormat="1" applyFont="1" applyFill="1" applyBorder="1" applyAlignment="1">
      <alignment horizontal="center"/>
    </xf>
    <xf numFmtId="1" fontId="164" fillId="0" borderId="0" xfId="8749" applyNumberFormat="1" applyFont="1" applyFill="1" applyBorder="1"/>
    <xf numFmtId="2" fontId="164" fillId="0" borderId="0" xfId="4668" applyNumberFormat="1" applyFont="1" applyFill="1" applyBorder="1" applyAlignment="1">
      <alignment horizontal="right"/>
    </xf>
    <xf numFmtId="0" fontId="165" fillId="0" borderId="0" xfId="0" applyFont="1" applyFill="1"/>
    <xf numFmtId="0" fontId="165" fillId="0" borderId="0" xfId="0" applyFont="1" applyFill="1" applyAlignment="1">
      <alignment horizontal="right"/>
    </xf>
    <xf numFmtId="170" fontId="165" fillId="0" borderId="73" xfId="0" applyNumberFormat="1" applyFont="1" applyFill="1" applyBorder="1" applyAlignment="1">
      <alignment horizontal="right" vertical="center" wrapText="1"/>
    </xf>
    <xf numFmtId="350" fontId="165" fillId="0" borderId="0" xfId="0" applyNumberFormat="1" applyFont="1" applyFill="1" applyBorder="1" applyAlignment="1">
      <alignment horizontal="right"/>
    </xf>
    <xf numFmtId="0" fontId="163" fillId="0" borderId="0" xfId="15297" applyFont="1" applyFill="1" applyBorder="1"/>
    <xf numFmtId="0" fontId="164" fillId="0" borderId="0" xfId="15297" applyFont="1" applyFill="1" applyBorder="1"/>
    <xf numFmtId="1" fontId="163" fillId="0" borderId="0" xfId="15297" applyNumberFormat="1" applyFont="1" applyFill="1" applyBorder="1" applyAlignment="1">
      <alignment horizontal="center"/>
    </xf>
    <xf numFmtId="1" fontId="163" fillId="0" borderId="0" xfId="15297" applyNumberFormat="1" applyFont="1" applyFill="1" applyBorder="1"/>
    <xf numFmtId="1" fontId="163" fillId="0" borderId="0" xfId="15363" applyNumberFormat="1" applyFont="1" applyFill="1" applyBorder="1" applyAlignment="1">
      <alignment horizontal="right"/>
    </xf>
    <xf numFmtId="2" fontId="163" fillId="0" borderId="0" xfId="15363" applyNumberFormat="1" applyFont="1" applyFill="1" applyBorder="1"/>
    <xf numFmtId="1" fontId="165" fillId="0" borderId="0" xfId="0" applyNumberFormat="1" applyFont="1" applyFill="1" applyBorder="1" applyAlignment="1">
      <alignment horizontal="right" wrapText="1"/>
    </xf>
    <xf numFmtId="3" fontId="166" fillId="0" borderId="0" xfId="0" applyNumberFormat="1" applyFont="1" applyFill="1" applyBorder="1" applyAlignment="1">
      <alignment horizontal="center" vertical="top"/>
    </xf>
    <xf numFmtId="2" fontId="164" fillId="0" borderId="0" xfId="15363" applyNumberFormat="1" applyFont="1" applyFill="1" applyBorder="1"/>
    <xf numFmtId="1" fontId="165" fillId="0" borderId="70" xfId="15" applyNumberFormat="1" applyFont="1" applyFill="1" applyBorder="1" applyAlignment="1">
      <alignment horizontal="right" vertical="center" wrapText="1"/>
    </xf>
    <xf numFmtId="1" fontId="165" fillId="0" borderId="70" xfId="0" applyNumberFormat="1" applyFont="1" applyFill="1" applyBorder="1" applyAlignment="1">
      <alignment horizontal="right"/>
    </xf>
    <xf numFmtId="1" fontId="166" fillId="0" borderId="0" xfId="0" applyNumberFormat="1" applyFont="1" applyFill="1" applyBorder="1" applyAlignment="1">
      <alignment vertical="top"/>
    </xf>
    <xf numFmtId="1" fontId="165" fillId="0" borderId="42" xfId="1" applyNumberFormat="1" applyFont="1" applyFill="1" applyBorder="1" applyAlignment="1">
      <alignment vertical="center"/>
    </xf>
    <xf numFmtId="170" fontId="165" fillId="0" borderId="0" xfId="4" applyNumberFormat="1" applyFont="1" applyFill="1" applyBorder="1" applyAlignment="1">
      <alignment horizontal="right" vertical="center" wrapText="1"/>
    </xf>
    <xf numFmtId="170" fontId="165" fillId="0" borderId="0" xfId="0" applyNumberFormat="1" applyFont="1" applyFill="1" applyBorder="1" applyAlignment="1">
      <alignment horizontal="right" vertical="center" wrapText="1"/>
    </xf>
    <xf numFmtId="243" fontId="165" fillId="0" borderId="70" xfId="0" applyNumberFormat="1" applyFont="1" applyFill="1" applyBorder="1" applyAlignment="1">
      <alignment horizontal="right" vertical="top" wrapText="1"/>
    </xf>
    <xf numFmtId="9" fontId="165" fillId="0" borderId="0" xfId="4" applyFont="1" applyFill="1" applyBorder="1" applyAlignment="1">
      <alignment horizontal="right"/>
    </xf>
    <xf numFmtId="170" fontId="165" fillId="0" borderId="70" xfId="0" applyNumberFormat="1" applyFont="1" applyFill="1" applyBorder="1" applyAlignment="1">
      <alignment horizontal="right"/>
    </xf>
    <xf numFmtId="170" fontId="163" fillId="0" borderId="0" xfId="4668" applyNumberFormat="1" applyFont="1" applyFill="1" applyBorder="1" applyAlignment="1">
      <alignment horizontal="right"/>
    </xf>
    <xf numFmtId="1" fontId="163" fillId="0" borderId="70" xfId="4668" applyNumberFormat="1" applyFont="1" applyFill="1" applyBorder="1" applyAlignment="1">
      <alignment horizontal="right"/>
    </xf>
    <xf numFmtId="243" fontId="163" fillId="0" borderId="70" xfId="4668" applyNumberFormat="1" applyFont="1" applyFill="1" applyBorder="1" applyAlignment="1">
      <alignment horizontal="right"/>
    </xf>
    <xf numFmtId="243" fontId="163" fillId="0" borderId="0" xfId="4668" applyNumberFormat="1" applyFont="1" applyFill="1" applyBorder="1" applyAlignment="1">
      <alignment horizontal="right"/>
    </xf>
    <xf numFmtId="1" fontId="163" fillId="0" borderId="70" xfId="15363" applyNumberFormat="1" applyFont="1" applyFill="1" applyBorder="1" applyAlignment="1">
      <alignment horizontal="right"/>
    </xf>
    <xf numFmtId="243" fontId="163" fillId="0" borderId="70" xfId="15363" applyNumberFormat="1" applyFont="1" applyFill="1" applyBorder="1" applyAlignment="1">
      <alignment horizontal="right"/>
    </xf>
    <xf numFmtId="184" fontId="165" fillId="0" borderId="70" xfId="4" applyNumberFormat="1" applyFont="1" applyFill="1" applyBorder="1"/>
    <xf numFmtId="184" fontId="163" fillId="0" borderId="0" xfId="4" applyNumberFormat="1" applyFont="1" applyFill="1" applyBorder="1" applyAlignment="1">
      <alignment horizontal="right"/>
    </xf>
    <xf numFmtId="170" fontId="165" fillId="0" borderId="0" xfId="0" applyNumberFormat="1" applyFont="1" applyFill="1"/>
    <xf numFmtId="243" fontId="165" fillId="0" borderId="0" xfId="0" applyNumberFormat="1" applyFont="1" applyFill="1"/>
    <xf numFmtId="0" fontId="165" fillId="0" borderId="0" xfId="0" applyFont="1" applyFill="1" applyAlignment="1">
      <alignment horizontal="center"/>
    </xf>
    <xf numFmtId="0" fontId="173" fillId="0" borderId="0" xfId="0" applyFont="1" applyFill="1" applyAlignment="1">
      <alignment horizontal="center"/>
    </xf>
    <xf numFmtId="243" fontId="163" fillId="0" borderId="0" xfId="15363" applyNumberFormat="1" applyFont="1" applyFill="1" applyBorder="1"/>
    <xf numFmtId="243" fontId="163" fillId="0" borderId="0" xfId="15363" applyNumberFormat="1" applyFont="1" applyFill="1" applyBorder="1" applyAlignment="1">
      <alignment horizontal="right"/>
    </xf>
    <xf numFmtId="2" fontId="165" fillId="0" borderId="0" xfId="0" applyNumberFormat="1" applyFont="1" applyFill="1" applyBorder="1"/>
    <xf numFmtId="1" fontId="173" fillId="0" borderId="0" xfId="0" applyNumberFormat="1" applyFont="1" applyFill="1" applyBorder="1" applyAlignment="1">
      <alignment horizontal="left"/>
    </xf>
    <xf numFmtId="2" fontId="164" fillId="0" borderId="0" xfId="4668" applyNumberFormat="1" applyFont="1" applyFill="1" applyBorder="1" applyAlignment="1">
      <alignment horizontal="right" wrapText="1"/>
    </xf>
    <xf numFmtId="0" fontId="18" fillId="0" borderId="0" xfId="0" quotePrefix="1" applyFont="1"/>
    <xf numFmtId="1" fontId="175" fillId="0" borderId="0" xfId="4668" applyNumberFormat="1" applyFont="1" applyFill="1" applyBorder="1" applyAlignment="1">
      <alignment horizontal="right"/>
    </xf>
    <xf numFmtId="1" fontId="165" fillId="0" borderId="0" xfId="0" applyNumberFormat="1" applyFont="1" applyFill="1" applyBorder="1" applyAlignment="1">
      <alignment horizontal="center"/>
    </xf>
  </cellXfs>
  <cellStyles count="16628">
    <cellStyle name=" 1" xfId="44"/>
    <cellStyle name=" 1 10" xfId="45"/>
    <cellStyle name=" 1 10 2" xfId="46"/>
    <cellStyle name=" 1 10 3" xfId="47"/>
    <cellStyle name=" 1 10 4" xfId="48"/>
    <cellStyle name=" 1 10 5" xfId="49"/>
    <cellStyle name=" 1 10 6" xfId="50"/>
    <cellStyle name=" 1 10 7" xfId="51"/>
    <cellStyle name=" 1 10 8" xfId="52"/>
    <cellStyle name=" 1 11" xfId="53"/>
    <cellStyle name=" 1 11 2" xfId="54"/>
    <cellStyle name=" 1 11 3" xfId="55"/>
    <cellStyle name=" 1 11 4" xfId="56"/>
    <cellStyle name=" 1 11 5" xfId="57"/>
    <cellStyle name=" 1 11 6" xfId="58"/>
    <cellStyle name=" 1 11 7" xfId="59"/>
    <cellStyle name=" 1 11 8" xfId="60"/>
    <cellStyle name=" 1 12" xfId="61"/>
    <cellStyle name=" 1 12 2" xfId="62"/>
    <cellStyle name=" 1 12 3" xfId="63"/>
    <cellStyle name=" 1 12 4" xfId="64"/>
    <cellStyle name=" 1 12 5" xfId="65"/>
    <cellStyle name=" 1 12 6" xfId="66"/>
    <cellStyle name=" 1 12 7" xfId="67"/>
    <cellStyle name=" 1 12 8" xfId="68"/>
    <cellStyle name=" 1 13" xfId="69"/>
    <cellStyle name=" 1 13 2" xfId="70"/>
    <cellStyle name=" 1 13 3" xfId="71"/>
    <cellStyle name=" 1 13 4" xfId="72"/>
    <cellStyle name=" 1 13 5" xfId="73"/>
    <cellStyle name=" 1 13 6" xfId="74"/>
    <cellStyle name=" 1 13 7" xfId="75"/>
    <cellStyle name=" 1 13 8" xfId="76"/>
    <cellStyle name=" 1 14" xfId="77"/>
    <cellStyle name=" 1 14 2" xfId="78"/>
    <cellStyle name=" 1 14 3" xfId="79"/>
    <cellStyle name=" 1 14 4" xfId="80"/>
    <cellStyle name=" 1 14 5" xfId="81"/>
    <cellStyle name=" 1 14 6" xfId="82"/>
    <cellStyle name=" 1 14 7" xfId="83"/>
    <cellStyle name=" 1 14 8" xfId="84"/>
    <cellStyle name=" 1 15" xfId="85"/>
    <cellStyle name=" 1 15 2" xfId="86"/>
    <cellStyle name=" 1 15 3" xfId="87"/>
    <cellStyle name=" 1 15 4" xfId="88"/>
    <cellStyle name=" 1 15 5" xfId="89"/>
    <cellStyle name=" 1 15 6" xfId="90"/>
    <cellStyle name=" 1 15 7" xfId="91"/>
    <cellStyle name=" 1 15 8" xfId="92"/>
    <cellStyle name=" 1 16" xfId="93"/>
    <cellStyle name=" 1 16 2" xfId="94"/>
    <cellStyle name=" 1 16 3" xfId="95"/>
    <cellStyle name=" 1 16 4" xfId="96"/>
    <cellStyle name=" 1 16 5" xfId="97"/>
    <cellStyle name=" 1 16 6" xfId="98"/>
    <cellStyle name=" 1 16 7" xfId="99"/>
    <cellStyle name=" 1 16 8" xfId="100"/>
    <cellStyle name=" 1 17" xfId="101"/>
    <cellStyle name=" 1 17 2" xfId="102"/>
    <cellStyle name=" 1 17 3" xfId="103"/>
    <cellStyle name=" 1 17 4" xfId="104"/>
    <cellStyle name=" 1 17 5" xfId="105"/>
    <cellStyle name=" 1 17 6" xfId="106"/>
    <cellStyle name=" 1 17 7" xfId="107"/>
    <cellStyle name=" 1 17 8" xfId="108"/>
    <cellStyle name=" 1 18" xfId="109"/>
    <cellStyle name=" 1 18 2" xfId="110"/>
    <cellStyle name=" 1 18 3" xfId="111"/>
    <cellStyle name=" 1 18 4" xfId="112"/>
    <cellStyle name=" 1 18 5" xfId="113"/>
    <cellStyle name=" 1 18 6" xfId="114"/>
    <cellStyle name=" 1 18 7" xfId="115"/>
    <cellStyle name=" 1 18 8" xfId="116"/>
    <cellStyle name=" 1 19" xfId="117"/>
    <cellStyle name=" 1 19 2" xfId="118"/>
    <cellStyle name=" 1 19 3" xfId="119"/>
    <cellStyle name=" 1 19 4" xfId="120"/>
    <cellStyle name=" 1 19 5" xfId="121"/>
    <cellStyle name=" 1 19 6" xfId="122"/>
    <cellStyle name=" 1 19 7" xfId="123"/>
    <cellStyle name=" 1 19 8" xfId="124"/>
    <cellStyle name=" 1 2" xfId="125"/>
    <cellStyle name=" 1 2 10" xfId="126"/>
    <cellStyle name=" 1 2 11" xfId="127"/>
    <cellStyle name=" 1 2 12" xfId="128"/>
    <cellStyle name=" 1 2 2" xfId="129"/>
    <cellStyle name=" 1 2 2 2" xfId="130"/>
    <cellStyle name=" 1 2 2 3" xfId="131"/>
    <cellStyle name=" 1 2 2 4" xfId="132"/>
    <cellStyle name=" 1 2 2 5" xfId="133"/>
    <cellStyle name=" 1 2 2 6" xfId="134"/>
    <cellStyle name=" 1 2 3" xfId="135"/>
    <cellStyle name=" 1 2 3 2" xfId="136"/>
    <cellStyle name=" 1 2 3 3" xfId="137"/>
    <cellStyle name=" 1 2 3 4" xfId="138"/>
    <cellStyle name=" 1 2 3 5" xfId="139"/>
    <cellStyle name=" 1 2 3 6" xfId="140"/>
    <cellStyle name=" 1 2 4" xfId="141"/>
    <cellStyle name=" 1 2 4 2" xfId="142"/>
    <cellStyle name=" 1 2 4 3" xfId="143"/>
    <cellStyle name=" 1 2 4 4" xfId="144"/>
    <cellStyle name=" 1 2 4 5" xfId="145"/>
    <cellStyle name=" 1 2 4 6" xfId="146"/>
    <cellStyle name=" 1 2 5" xfId="147"/>
    <cellStyle name=" 1 2 5 2" xfId="148"/>
    <cellStyle name=" 1 2 5 3" xfId="149"/>
    <cellStyle name=" 1 2 5 4" xfId="150"/>
    <cellStyle name=" 1 2 5 5" xfId="151"/>
    <cellStyle name=" 1 2 5 6" xfId="152"/>
    <cellStyle name=" 1 2 6" xfId="153"/>
    <cellStyle name=" 1 2 6 2" xfId="154"/>
    <cellStyle name=" 1 2 6 3" xfId="155"/>
    <cellStyle name=" 1 2 6 4" xfId="156"/>
    <cellStyle name=" 1 2 6 5" xfId="157"/>
    <cellStyle name=" 1 2 7" xfId="158"/>
    <cellStyle name=" 1 2 8" xfId="159"/>
    <cellStyle name=" 1 2 9" xfId="160"/>
    <cellStyle name=" 1 20" xfId="161"/>
    <cellStyle name=" 1 20 2" xfId="162"/>
    <cellStyle name=" 1 20 3" xfId="163"/>
    <cellStyle name=" 1 20 4" xfId="164"/>
    <cellStyle name=" 1 20 5" xfId="165"/>
    <cellStyle name=" 1 20 6" xfId="166"/>
    <cellStyle name=" 1 20 7" xfId="167"/>
    <cellStyle name=" 1 20 8" xfId="168"/>
    <cellStyle name=" 1 21" xfId="169"/>
    <cellStyle name=" 1 21 2" xfId="170"/>
    <cellStyle name=" 1 21 3" xfId="171"/>
    <cellStyle name=" 1 21 4" xfId="172"/>
    <cellStyle name=" 1 21 5" xfId="173"/>
    <cellStyle name=" 1 21 6" xfId="174"/>
    <cellStyle name=" 1 21 7" xfId="175"/>
    <cellStyle name=" 1 21 8" xfId="176"/>
    <cellStyle name=" 1 22" xfId="177"/>
    <cellStyle name=" 1 22 2" xfId="178"/>
    <cellStyle name=" 1 22 3" xfId="179"/>
    <cellStyle name=" 1 22 4" xfId="180"/>
    <cellStyle name=" 1 22 5" xfId="181"/>
    <cellStyle name=" 1 22 6" xfId="182"/>
    <cellStyle name=" 1 22 7" xfId="183"/>
    <cellStyle name=" 1 22 8" xfId="184"/>
    <cellStyle name=" 1 23" xfId="185"/>
    <cellStyle name=" 1 23 2" xfId="186"/>
    <cellStyle name=" 1 23 3" xfId="187"/>
    <cellStyle name=" 1 23 4" xfId="188"/>
    <cellStyle name=" 1 23 5" xfId="189"/>
    <cellStyle name=" 1 23 6" xfId="190"/>
    <cellStyle name=" 1 23 7" xfId="191"/>
    <cellStyle name=" 1 23 8" xfId="192"/>
    <cellStyle name=" 1 24" xfId="193"/>
    <cellStyle name=" 1 24 2" xfId="194"/>
    <cellStyle name=" 1 24 3" xfId="195"/>
    <cellStyle name=" 1 24 4" xfId="196"/>
    <cellStyle name=" 1 24 5" xfId="197"/>
    <cellStyle name=" 1 25" xfId="198"/>
    <cellStyle name=" 1 25 2" xfId="199"/>
    <cellStyle name=" 1 25 3" xfId="200"/>
    <cellStyle name=" 1 25 4" xfId="201"/>
    <cellStyle name=" 1 25 5" xfId="202"/>
    <cellStyle name=" 1 3" xfId="203"/>
    <cellStyle name=" 1 3 10" xfId="204"/>
    <cellStyle name=" 1 3 11" xfId="205"/>
    <cellStyle name=" 1 3 2" xfId="206"/>
    <cellStyle name=" 1 3 2 2" xfId="207"/>
    <cellStyle name=" 1 3 2 3" xfId="208"/>
    <cellStyle name=" 1 3 2 4" xfId="209"/>
    <cellStyle name=" 1 3 2 5" xfId="210"/>
    <cellStyle name=" 1 3 2 6" xfId="211"/>
    <cellStyle name=" 1 3 3" xfId="212"/>
    <cellStyle name=" 1 3 3 2" xfId="213"/>
    <cellStyle name=" 1 3 3 3" xfId="214"/>
    <cellStyle name=" 1 3 3 4" xfId="215"/>
    <cellStyle name=" 1 3 3 5" xfId="216"/>
    <cellStyle name=" 1 3 3 6" xfId="217"/>
    <cellStyle name=" 1 3 4" xfId="218"/>
    <cellStyle name=" 1 3 4 2" xfId="219"/>
    <cellStyle name=" 1 3 4 3" xfId="220"/>
    <cellStyle name=" 1 3 4 4" xfId="221"/>
    <cellStyle name=" 1 3 4 5" xfId="222"/>
    <cellStyle name=" 1 3 4 6" xfId="223"/>
    <cellStyle name=" 1 3 5" xfId="224"/>
    <cellStyle name=" 1 3 5 2" xfId="225"/>
    <cellStyle name=" 1 3 5 3" xfId="226"/>
    <cellStyle name=" 1 3 5 4" xfId="227"/>
    <cellStyle name=" 1 3 5 5" xfId="228"/>
    <cellStyle name=" 1 3 5 6" xfId="229"/>
    <cellStyle name=" 1 3 6" xfId="230"/>
    <cellStyle name=" 1 3 7" xfId="231"/>
    <cellStyle name=" 1 3 8" xfId="232"/>
    <cellStyle name=" 1 3 9" xfId="233"/>
    <cellStyle name=" 1 4" xfId="234"/>
    <cellStyle name=" 1 4 2" xfId="235"/>
    <cellStyle name=" 1 4 3" xfId="236"/>
    <cellStyle name=" 1 4 4" xfId="237"/>
    <cellStyle name=" 1 4 5" xfId="238"/>
    <cellStyle name=" 1 4 6" xfId="239"/>
    <cellStyle name=" 1 4 7" xfId="240"/>
    <cellStyle name=" 1 4 8" xfId="241"/>
    <cellStyle name=" 1 5" xfId="242"/>
    <cellStyle name=" 1 5 2" xfId="243"/>
    <cellStyle name=" 1 5 3" xfId="244"/>
    <cellStyle name=" 1 5 4" xfId="245"/>
    <cellStyle name=" 1 5 5" xfId="246"/>
    <cellStyle name=" 1 5 6" xfId="247"/>
    <cellStyle name=" 1 5 7" xfId="248"/>
    <cellStyle name=" 1 5 8" xfId="249"/>
    <cellStyle name=" 1 6" xfId="250"/>
    <cellStyle name=" 1 6 2" xfId="251"/>
    <cellStyle name=" 1 6 3" xfId="252"/>
    <cellStyle name=" 1 6 4" xfId="253"/>
    <cellStyle name=" 1 6 5" xfId="254"/>
    <cellStyle name=" 1 6 6" xfId="255"/>
    <cellStyle name=" 1 6 7" xfId="256"/>
    <cellStyle name=" 1 6 8" xfId="257"/>
    <cellStyle name=" 1 7" xfId="258"/>
    <cellStyle name=" 1 7 2" xfId="259"/>
    <cellStyle name=" 1 7 3" xfId="260"/>
    <cellStyle name=" 1 7 4" xfId="261"/>
    <cellStyle name=" 1 7 5" xfId="262"/>
    <cellStyle name=" 1 7 6" xfId="263"/>
    <cellStyle name=" 1 7 7" xfId="264"/>
    <cellStyle name=" 1 7 8" xfId="265"/>
    <cellStyle name=" 1 8" xfId="266"/>
    <cellStyle name=" 1 8 2" xfId="267"/>
    <cellStyle name=" 1 8 3" xfId="268"/>
    <cellStyle name=" 1 8 4" xfId="269"/>
    <cellStyle name=" 1 8 5" xfId="270"/>
    <cellStyle name=" 1 8 6" xfId="271"/>
    <cellStyle name=" 1 8 7" xfId="272"/>
    <cellStyle name=" 1 8 8" xfId="273"/>
    <cellStyle name=" 1 9" xfId="274"/>
    <cellStyle name=" 1 9 2" xfId="275"/>
    <cellStyle name=" 1 9 3" xfId="276"/>
    <cellStyle name=" 1 9 4" xfId="277"/>
    <cellStyle name=" 1 9 5" xfId="278"/>
    <cellStyle name=" 1 9 6" xfId="279"/>
    <cellStyle name=" 1 9 7" xfId="280"/>
    <cellStyle name=" 1 9 8" xfId="281"/>
    <cellStyle name=" 2" xfId="282"/>
    <cellStyle name=" 3" xfId="283"/>
    <cellStyle name="$" xfId="284"/>
    <cellStyle name="$ BOX" xfId="285"/>
    <cellStyle name="$_DCF Shell 2" xfId="286"/>
    <cellStyle name="$_DCF Shell 2_Draft RIIO plan presentation template - Customer Opsx Centre V7" xfId="287"/>
    <cellStyle name="$_DCF Shell 2_Spreadsheet to populate plan slides 120810" xfId="288"/>
    <cellStyle name="$_DCF Shell 2_SS templates" xfId="289"/>
    <cellStyle name="$_DCF Shell 2_Total summary" xfId="290"/>
    <cellStyle name="$_Marathon SOP Backup_v10" xfId="291"/>
    <cellStyle name="$_Model_Sep_2_02" xfId="292"/>
    <cellStyle name="$_Pipeline Model v1 (09_09_02) v3" xfId="293"/>
    <cellStyle name="$_Pipeline Model v1 (09_09_02) v3_Draft RIIO plan presentation template - Customer Opsx Centre V7" xfId="294"/>
    <cellStyle name="$_Pipeline Model v1 (09_09_02) v3_Spreadsheet to populate plan slides 120810" xfId="295"/>
    <cellStyle name="$_Pipeline Model v1 (09_09_02) v3_SS templates" xfId="296"/>
    <cellStyle name="$_Pipeline Model v1 (09_09_02) v3_Total summary" xfId="297"/>
    <cellStyle name="$1000s (0)" xfId="298"/>
    <cellStyle name="$m" xfId="299"/>
    <cellStyle name="$q" xfId="300"/>
    <cellStyle name="$q*" xfId="301"/>
    <cellStyle name="$qA" xfId="302"/>
    <cellStyle name="$qRange" xfId="303"/>
    <cellStyle name="%" xfId="304"/>
    <cellStyle name="% 10" xfId="305"/>
    <cellStyle name="% 10 2" xfId="306"/>
    <cellStyle name="% 10 2 2" xfId="307"/>
    <cellStyle name="% 100" xfId="308"/>
    <cellStyle name="% 101" xfId="309"/>
    <cellStyle name="% 102" xfId="310"/>
    <cellStyle name="% 103" xfId="311"/>
    <cellStyle name="% 104" xfId="312"/>
    <cellStyle name="% 105" xfId="313"/>
    <cellStyle name="% 106" xfId="314"/>
    <cellStyle name="% 107" xfId="315"/>
    <cellStyle name="% 108" xfId="316"/>
    <cellStyle name="% 109" xfId="317"/>
    <cellStyle name="% 11" xfId="318"/>
    <cellStyle name="% 110" xfId="319"/>
    <cellStyle name="% 111" xfId="320"/>
    <cellStyle name="% 112" xfId="321"/>
    <cellStyle name="% 113" xfId="322"/>
    <cellStyle name="% 12" xfId="323"/>
    <cellStyle name="% 13" xfId="324"/>
    <cellStyle name="% 14" xfId="325"/>
    <cellStyle name="% 15" xfId="326"/>
    <cellStyle name="% 16" xfId="327"/>
    <cellStyle name="% 17" xfId="328"/>
    <cellStyle name="% 18" xfId="329"/>
    <cellStyle name="% 19" xfId="330"/>
    <cellStyle name="% 2" xfId="331"/>
    <cellStyle name="% 2 10" xfId="332"/>
    <cellStyle name="% 2 11" xfId="333"/>
    <cellStyle name="% 2 12" xfId="334"/>
    <cellStyle name="% 2 13" xfId="335"/>
    <cellStyle name="% 2 14" xfId="336"/>
    <cellStyle name="% 2 15" xfId="337"/>
    <cellStyle name="% 2 16" xfId="338"/>
    <cellStyle name="% 2 17" xfId="339"/>
    <cellStyle name="% 2 18" xfId="340"/>
    <cellStyle name="% 2 19" xfId="341"/>
    <cellStyle name="% 2 2" xfId="342"/>
    <cellStyle name="% 2 2 2" xfId="343"/>
    <cellStyle name="% 2 2 2 2" xfId="344"/>
    <cellStyle name="% 2 2 2 3" xfId="345"/>
    <cellStyle name="% 2 2 2 4" xfId="346"/>
    <cellStyle name="% 2 2 2 5" xfId="347"/>
    <cellStyle name="% 2 2 2 6" xfId="348"/>
    <cellStyle name="% 2 2 2 7" xfId="349"/>
    <cellStyle name="% 2 2 2 8" xfId="350"/>
    <cellStyle name="% 2 2 3" xfId="351"/>
    <cellStyle name="% 2 2 3 2" xfId="352"/>
    <cellStyle name="% 2 2 3 3" xfId="353"/>
    <cellStyle name="% 2 2 4" xfId="354"/>
    <cellStyle name="% 2 2 4 2" xfId="355"/>
    <cellStyle name="% 2 2 4 3" xfId="356"/>
    <cellStyle name="% 2 2 4 4" xfId="357"/>
    <cellStyle name="% 2 2_3.1.2 DB Pension Detail" xfId="358"/>
    <cellStyle name="% 2 20" xfId="359"/>
    <cellStyle name="% 2 21" xfId="360"/>
    <cellStyle name="% 2 22" xfId="361"/>
    <cellStyle name="% 2 23" xfId="362"/>
    <cellStyle name="% 2 24" xfId="363"/>
    <cellStyle name="% 2 25" xfId="364"/>
    <cellStyle name="% 2 26" xfId="365"/>
    <cellStyle name="% 2 27" xfId="366"/>
    <cellStyle name="% 2 28" xfId="367"/>
    <cellStyle name="% 2 29" xfId="368"/>
    <cellStyle name="% 2 3" xfId="369"/>
    <cellStyle name="% 2 30" xfId="370"/>
    <cellStyle name="% 2 31" xfId="371"/>
    <cellStyle name="% 2 32" xfId="372"/>
    <cellStyle name="% 2 33" xfId="373"/>
    <cellStyle name="% 2 34" xfId="374"/>
    <cellStyle name="% 2 35" xfId="375"/>
    <cellStyle name="% 2 36" xfId="376"/>
    <cellStyle name="% 2 37" xfId="377"/>
    <cellStyle name="% 2 38" xfId="378"/>
    <cellStyle name="% 2 39" xfId="379"/>
    <cellStyle name="% 2 4" xfId="380"/>
    <cellStyle name="% 2 40" xfId="381"/>
    <cellStyle name="% 2 41" xfId="382"/>
    <cellStyle name="% 2 42" xfId="383"/>
    <cellStyle name="% 2 43" xfId="384"/>
    <cellStyle name="% 2 44" xfId="385"/>
    <cellStyle name="% 2 45" xfId="386"/>
    <cellStyle name="% 2 46" xfId="387"/>
    <cellStyle name="% 2 47" xfId="388"/>
    <cellStyle name="% 2 5" xfId="389"/>
    <cellStyle name="% 2 6" xfId="390"/>
    <cellStyle name="% 2 7" xfId="391"/>
    <cellStyle name="% 2 8" xfId="392"/>
    <cellStyle name="% 2 9" xfId="393"/>
    <cellStyle name="% 2_1.3s Accounting C Costs Scots" xfId="394"/>
    <cellStyle name="% 20" xfId="395"/>
    <cellStyle name="% 21" xfId="396"/>
    <cellStyle name="% 22" xfId="397"/>
    <cellStyle name="% 23" xfId="398"/>
    <cellStyle name="% 24" xfId="399"/>
    <cellStyle name="% 25" xfId="400"/>
    <cellStyle name="% 26" xfId="401"/>
    <cellStyle name="% 27" xfId="402"/>
    <cellStyle name="% 28" xfId="403"/>
    <cellStyle name="% 29" xfId="404"/>
    <cellStyle name="% 3" xfId="405"/>
    <cellStyle name="% 3 10" xfId="406"/>
    <cellStyle name="% 3 11" xfId="407"/>
    <cellStyle name="% 3 12" xfId="408"/>
    <cellStyle name="% 3 13" xfId="409"/>
    <cellStyle name="% 3 14" xfId="410"/>
    <cellStyle name="% 3 15" xfId="411"/>
    <cellStyle name="% 3 16" xfId="412"/>
    <cellStyle name="% 3 17" xfId="413"/>
    <cellStyle name="% 3 18" xfId="414"/>
    <cellStyle name="% 3 19" xfId="415"/>
    <cellStyle name="% 3 2" xfId="416"/>
    <cellStyle name="% 3 2 10" xfId="417"/>
    <cellStyle name="% 3 2 11" xfId="418"/>
    <cellStyle name="% 3 2 12" xfId="419"/>
    <cellStyle name="% 3 2 13" xfId="420"/>
    <cellStyle name="% 3 2 14" xfId="421"/>
    <cellStyle name="% 3 2 15" xfId="422"/>
    <cellStyle name="% 3 2 16" xfId="423"/>
    <cellStyle name="% 3 2 17" xfId="424"/>
    <cellStyle name="% 3 2 18" xfId="425"/>
    <cellStyle name="% 3 2 19" xfId="426"/>
    <cellStyle name="% 3 2 2" xfId="427"/>
    <cellStyle name="% 3 2 2 10" xfId="428"/>
    <cellStyle name="% 3 2 2 11" xfId="429"/>
    <cellStyle name="% 3 2 2 12" xfId="430"/>
    <cellStyle name="% 3 2 2 13" xfId="431"/>
    <cellStyle name="% 3 2 2 14" xfId="432"/>
    <cellStyle name="% 3 2 2 15" xfId="433"/>
    <cellStyle name="% 3 2 2 16" xfId="434"/>
    <cellStyle name="% 3 2 2 17" xfId="435"/>
    <cellStyle name="% 3 2 2 2" xfId="436"/>
    <cellStyle name="% 3 2 2 3" xfId="437"/>
    <cellStyle name="% 3 2 2 4" xfId="438"/>
    <cellStyle name="% 3 2 2 5" xfId="439"/>
    <cellStyle name="% 3 2 2 6" xfId="440"/>
    <cellStyle name="% 3 2 2 7" xfId="441"/>
    <cellStyle name="% 3 2 2 8" xfId="442"/>
    <cellStyle name="% 3 2 2 9" xfId="443"/>
    <cellStyle name="% 3 2 20" xfId="444"/>
    <cellStyle name="% 3 2 21" xfId="445"/>
    <cellStyle name="% 3 2 22" xfId="446"/>
    <cellStyle name="% 3 2 23" xfId="447"/>
    <cellStyle name="% 3 2 24" xfId="448"/>
    <cellStyle name="% 3 2 25" xfId="449"/>
    <cellStyle name="% 3 2 26" xfId="450"/>
    <cellStyle name="% 3 2 27" xfId="451"/>
    <cellStyle name="% 3 2 28" xfId="452"/>
    <cellStyle name="% 3 2 29" xfId="453"/>
    <cellStyle name="% 3 2 3" xfId="454"/>
    <cellStyle name="% 3 2 30" xfId="455"/>
    <cellStyle name="% 3 2 31" xfId="456"/>
    <cellStyle name="% 3 2 32" xfId="457"/>
    <cellStyle name="% 3 2 33" xfId="458"/>
    <cellStyle name="% 3 2 34" xfId="459"/>
    <cellStyle name="% 3 2 35" xfId="460"/>
    <cellStyle name="% 3 2 36" xfId="461"/>
    <cellStyle name="% 3 2 37" xfId="462"/>
    <cellStyle name="% 3 2 38" xfId="463"/>
    <cellStyle name="% 3 2 39" xfId="464"/>
    <cellStyle name="% 3 2 4" xfId="465"/>
    <cellStyle name="% 3 2 40" xfId="466"/>
    <cellStyle name="% 3 2 41" xfId="467"/>
    <cellStyle name="% 3 2 42" xfId="468"/>
    <cellStyle name="% 3 2 43" xfId="469"/>
    <cellStyle name="% 3 2 44" xfId="470"/>
    <cellStyle name="% 3 2 45" xfId="471"/>
    <cellStyle name="% 3 2 46" xfId="472"/>
    <cellStyle name="% 3 2 47" xfId="473"/>
    <cellStyle name="% 3 2 48" xfId="474"/>
    <cellStyle name="% 3 2 49" xfId="475"/>
    <cellStyle name="% 3 2 5" xfId="476"/>
    <cellStyle name="% 3 2 50" xfId="477"/>
    <cellStyle name="% 3 2 51" xfId="478"/>
    <cellStyle name="% 3 2 52" xfId="479"/>
    <cellStyle name="% 3 2 53" xfId="480"/>
    <cellStyle name="% 3 2 54" xfId="481"/>
    <cellStyle name="% 3 2 55" xfId="482"/>
    <cellStyle name="% 3 2 56" xfId="483"/>
    <cellStyle name="% 3 2 57" xfId="484"/>
    <cellStyle name="% 3 2 58" xfId="485"/>
    <cellStyle name="% 3 2 59" xfId="486"/>
    <cellStyle name="% 3 2 6" xfId="487"/>
    <cellStyle name="% 3 2 60" xfId="488"/>
    <cellStyle name="% 3 2 61" xfId="489"/>
    <cellStyle name="% 3 2 62" xfId="490"/>
    <cellStyle name="% 3 2 63" xfId="491"/>
    <cellStyle name="% 3 2 64" xfId="492"/>
    <cellStyle name="% 3 2 65" xfId="493"/>
    <cellStyle name="% 3 2 66" xfId="494"/>
    <cellStyle name="% 3 2 67" xfId="495"/>
    <cellStyle name="% 3 2 68" xfId="496"/>
    <cellStyle name="% 3 2 69" xfId="497"/>
    <cellStyle name="% 3 2 7" xfId="498"/>
    <cellStyle name="% 3 2 70" xfId="499"/>
    <cellStyle name="% 3 2 71" xfId="500"/>
    <cellStyle name="% 3 2 72" xfId="501"/>
    <cellStyle name="% 3 2 73" xfId="502"/>
    <cellStyle name="% 3 2 74" xfId="503"/>
    <cellStyle name="% 3 2 75" xfId="504"/>
    <cellStyle name="% 3 2 76" xfId="505"/>
    <cellStyle name="% 3 2 77" xfId="506"/>
    <cellStyle name="% 3 2 78" xfId="507"/>
    <cellStyle name="% 3 2 8" xfId="508"/>
    <cellStyle name="% 3 2 9" xfId="509"/>
    <cellStyle name="% 3 20" xfId="510"/>
    <cellStyle name="% 3 21" xfId="511"/>
    <cellStyle name="% 3 22" xfId="512"/>
    <cellStyle name="% 3 23" xfId="513"/>
    <cellStyle name="% 3 24" xfId="514"/>
    <cellStyle name="% 3 25" xfId="515"/>
    <cellStyle name="% 3 26" xfId="516"/>
    <cellStyle name="% 3 27" xfId="517"/>
    <cellStyle name="% 3 28" xfId="518"/>
    <cellStyle name="% 3 29" xfId="519"/>
    <cellStyle name="% 3 3" xfId="520"/>
    <cellStyle name="% 3 3 10" xfId="521"/>
    <cellStyle name="% 3 3 11" xfId="522"/>
    <cellStyle name="% 3 3 12" xfId="523"/>
    <cellStyle name="% 3 3 13" xfId="524"/>
    <cellStyle name="% 3 3 14" xfId="525"/>
    <cellStyle name="% 3 3 15" xfId="526"/>
    <cellStyle name="% 3 3 16" xfId="527"/>
    <cellStyle name="% 3 3 17" xfId="528"/>
    <cellStyle name="% 3 3 2" xfId="529"/>
    <cellStyle name="% 3 3 3" xfId="530"/>
    <cellStyle name="% 3 3 4" xfId="531"/>
    <cellStyle name="% 3 3 5" xfId="532"/>
    <cellStyle name="% 3 3 6" xfId="533"/>
    <cellStyle name="% 3 3 7" xfId="534"/>
    <cellStyle name="% 3 3 8" xfId="535"/>
    <cellStyle name="% 3 3 9" xfId="536"/>
    <cellStyle name="% 3 30" xfId="537"/>
    <cellStyle name="% 3 31" xfId="538"/>
    <cellStyle name="% 3 32" xfId="539"/>
    <cellStyle name="% 3 33" xfId="540"/>
    <cellStyle name="% 3 34" xfId="541"/>
    <cellStyle name="% 3 35" xfId="542"/>
    <cellStyle name="% 3 36" xfId="543"/>
    <cellStyle name="% 3 37" xfId="544"/>
    <cellStyle name="% 3 38" xfId="545"/>
    <cellStyle name="% 3 39" xfId="546"/>
    <cellStyle name="% 3 4" xfId="547"/>
    <cellStyle name="% 3 4 10" xfId="548"/>
    <cellStyle name="% 3 4 11" xfId="549"/>
    <cellStyle name="% 3 4 12" xfId="550"/>
    <cellStyle name="% 3 4 13" xfId="551"/>
    <cellStyle name="% 3 4 14" xfId="552"/>
    <cellStyle name="% 3 4 15" xfId="553"/>
    <cellStyle name="% 3 4 16" xfId="554"/>
    <cellStyle name="% 3 4 17" xfId="555"/>
    <cellStyle name="% 3 4 2" xfId="556"/>
    <cellStyle name="% 3 4 3" xfId="557"/>
    <cellStyle name="% 3 4 4" xfId="558"/>
    <cellStyle name="% 3 4 5" xfId="559"/>
    <cellStyle name="% 3 4 6" xfId="560"/>
    <cellStyle name="% 3 4 7" xfId="561"/>
    <cellStyle name="% 3 4 8" xfId="562"/>
    <cellStyle name="% 3 4 9" xfId="563"/>
    <cellStyle name="% 3 40" xfId="564"/>
    <cellStyle name="% 3 41" xfId="565"/>
    <cellStyle name="% 3 42" xfId="566"/>
    <cellStyle name="% 3 43" xfId="567"/>
    <cellStyle name="% 3 44" xfId="568"/>
    <cellStyle name="% 3 45" xfId="569"/>
    <cellStyle name="% 3 46" xfId="570"/>
    <cellStyle name="% 3 47" xfId="571"/>
    <cellStyle name="% 3 48" xfId="572"/>
    <cellStyle name="% 3 49" xfId="573"/>
    <cellStyle name="% 3 5" xfId="574"/>
    <cellStyle name="% 3 50" xfId="575"/>
    <cellStyle name="% 3 51" xfId="576"/>
    <cellStyle name="% 3 52" xfId="577"/>
    <cellStyle name="% 3 53" xfId="578"/>
    <cellStyle name="% 3 54" xfId="579"/>
    <cellStyle name="% 3 55" xfId="580"/>
    <cellStyle name="% 3 56" xfId="581"/>
    <cellStyle name="% 3 57" xfId="582"/>
    <cellStyle name="% 3 58" xfId="583"/>
    <cellStyle name="% 3 59" xfId="584"/>
    <cellStyle name="% 3 6" xfId="585"/>
    <cellStyle name="% 3 60" xfId="586"/>
    <cellStyle name="% 3 61" xfId="587"/>
    <cellStyle name="% 3 62" xfId="588"/>
    <cellStyle name="% 3 63" xfId="589"/>
    <cellStyle name="% 3 64" xfId="590"/>
    <cellStyle name="% 3 65" xfId="591"/>
    <cellStyle name="% 3 66" xfId="592"/>
    <cellStyle name="% 3 67" xfId="593"/>
    <cellStyle name="% 3 68" xfId="594"/>
    <cellStyle name="% 3 69" xfId="595"/>
    <cellStyle name="% 3 7" xfId="596"/>
    <cellStyle name="% 3 70" xfId="597"/>
    <cellStyle name="% 3 71" xfId="598"/>
    <cellStyle name="% 3 72" xfId="599"/>
    <cellStyle name="% 3 73" xfId="600"/>
    <cellStyle name="% 3 74" xfId="601"/>
    <cellStyle name="% 3 75" xfId="602"/>
    <cellStyle name="% 3 76" xfId="603"/>
    <cellStyle name="% 3 77" xfId="604"/>
    <cellStyle name="% 3 78" xfId="605"/>
    <cellStyle name="% 3 8" xfId="606"/>
    <cellStyle name="% 3 9" xfId="607"/>
    <cellStyle name="% 30" xfId="608"/>
    <cellStyle name="% 31" xfId="609"/>
    <cellStyle name="% 32" xfId="610"/>
    <cellStyle name="% 33" xfId="611"/>
    <cellStyle name="% 34" xfId="612"/>
    <cellStyle name="% 35" xfId="613"/>
    <cellStyle name="% 36" xfId="614"/>
    <cellStyle name="% 37" xfId="615"/>
    <cellStyle name="% 38" xfId="616"/>
    <cellStyle name="% 39" xfId="617"/>
    <cellStyle name="% 4" xfId="618"/>
    <cellStyle name="% 4 2" xfId="619"/>
    <cellStyle name="% 4 3" xfId="620"/>
    <cellStyle name="% 4 4" xfId="621"/>
    <cellStyle name="% 4 5" xfId="622"/>
    <cellStyle name="% 4 6" xfId="623"/>
    <cellStyle name="% 4 7" xfId="624"/>
    <cellStyle name="% 4 8" xfId="625"/>
    <cellStyle name="% 40" xfId="626"/>
    <cellStyle name="% 41" xfId="627"/>
    <cellStyle name="% 42" xfId="628"/>
    <cellStyle name="% 43" xfId="629"/>
    <cellStyle name="% 44" xfId="630"/>
    <cellStyle name="% 45" xfId="631"/>
    <cellStyle name="% 46" xfId="632"/>
    <cellStyle name="% 47" xfId="633"/>
    <cellStyle name="% 48" xfId="634"/>
    <cellStyle name="% 49" xfId="635"/>
    <cellStyle name="% 5" xfId="636"/>
    <cellStyle name="% 50" xfId="637"/>
    <cellStyle name="% 51" xfId="638"/>
    <cellStyle name="% 52" xfId="639"/>
    <cellStyle name="% 53" xfId="640"/>
    <cellStyle name="% 54" xfId="641"/>
    <cellStyle name="% 55" xfId="642"/>
    <cellStyle name="% 56" xfId="643"/>
    <cellStyle name="% 57" xfId="644"/>
    <cellStyle name="% 58" xfId="645"/>
    <cellStyle name="% 59" xfId="646"/>
    <cellStyle name="% 6" xfId="647"/>
    <cellStyle name="% 60" xfId="648"/>
    <cellStyle name="% 61" xfId="649"/>
    <cellStyle name="% 62" xfId="650"/>
    <cellStyle name="% 63" xfId="651"/>
    <cellStyle name="% 64" xfId="652"/>
    <cellStyle name="% 65" xfId="653"/>
    <cellStyle name="% 66" xfId="654"/>
    <cellStyle name="% 67" xfId="655"/>
    <cellStyle name="% 68" xfId="656"/>
    <cellStyle name="% 69" xfId="657"/>
    <cellStyle name="% 7" xfId="658"/>
    <cellStyle name="% 70" xfId="659"/>
    <cellStyle name="% 71" xfId="660"/>
    <cellStyle name="% 72" xfId="661"/>
    <cellStyle name="% 73" xfId="662"/>
    <cellStyle name="% 74" xfId="663"/>
    <cellStyle name="% 75" xfId="664"/>
    <cellStyle name="% 76" xfId="665"/>
    <cellStyle name="% 77" xfId="666"/>
    <cellStyle name="% 78" xfId="667"/>
    <cellStyle name="% 79" xfId="668"/>
    <cellStyle name="% 8" xfId="669"/>
    <cellStyle name="% 80" xfId="670"/>
    <cellStyle name="% 81" xfId="671"/>
    <cellStyle name="% 82" xfId="672"/>
    <cellStyle name="% 83" xfId="673"/>
    <cellStyle name="% 84" xfId="674"/>
    <cellStyle name="% 85" xfId="675"/>
    <cellStyle name="% 86" xfId="676"/>
    <cellStyle name="% 87" xfId="677"/>
    <cellStyle name="% 88" xfId="678"/>
    <cellStyle name="% 89" xfId="679"/>
    <cellStyle name="% 9" xfId="680"/>
    <cellStyle name="% 90" xfId="681"/>
    <cellStyle name="% 91" xfId="682"/>
    <cellStyle name="% 92" xfId="683"/>
    <cellStyle name="% 93" xfId="684"/>
    <cellStyle name="% 94" xfId="685"/>
    <cellStyle name="% 95" xfId="686"/>
    <cellStyle name="% 96" xfId="687"/>
    <cellStyle name="% 97" xfId="688"/>
    <cellStyle name="% 98" xfId="689"/>
    <cellStyle name="% 99" xfId="690"/>
    <cellStyle name="%_1. +-Changes from RIIO vD4 to vD5" xfId="691"/>
    <cellStyle name="%_1.3 Acc Costs NG (2011)" xfId="692"/>
    <cellStyle name="%_1.3 Acc Costs NG (2011) 2" xfId="693"/>
    <cellStyle name="%_1.3 Acc Costs NG (2011) 3" xfId="694"/>
    <cellStyle name="%_1.3 Acc Costs NG (2011) 4" xfId="695"/>
    <cellStyle name="%_1.3 Acc Costs NG (2011) 5" xfId="696"/>
    <cellStyle name="%_1.3 Acc Costs NG (2011) 6" xfId="697"/>
    <cellStyle name="%_1.3 Acc Costs NG (2011) 7" xfId="698"/>
    <cellStyle name="%_1.3 Acc Costs NG (2011) 8" xfId="699"/>
    <cellStyle name="%_1.3 Rec to old modelling" xfId="700"/>
    <cellStyle name="%_1.3s Accounting C Costs Scots" xfId="701"/>
    <cellStyle name="%_1.5 Opex Reconciliation NG" xfId="702"/>
    <cellStyle name="%_1.8 Irregular Items" xfId="703"/>
    <cellStyle name="%_1.8 Irregular Items 2" xfId="704"/>
    <cellStyle name="%_1.8 Irregular Items 3" xfId="705"/>
    <cellStyle name="%_1.8 Irregular Items 4" xfId="706"/>
    <cellStyle name="%_1.8 Irregular Items 5" xfId="707"/>
    <cellStyle name="%_1.8 Irregular Items 6" xfId="708"/>
    <cellStyle name="%_1.8 Irregular Items 7" xfId="709"/>
    <cellStyle name="%_1.8 Irregular Items 8" xfId="710"/>
    <cellStyle name="%_2.14 Year on Year Movt" xfId="711"/>
    <cellStyle name="%_2.14 Year on Year Movt ( (2013)" xfId="712"/>
    <cellStyle name="%_2.14 Year on Year Movt ( (2013) 2" xfId="713"/>
    <cellStyle name="%_2.14 Year on Year Movt ( (2013) 3" xfId="714"/>
    <cellStyle name="%_2.14 Year on Year Movt ( (2013) 4" xfId="715"/>
    <cellStyle name="%_2.14 Year on Year Movt ( (2013) 5" xfId="716"/>
    <cellStyle name="%_2.14 Year on Year Movt ( (2013) 6" xfId="717"/>
    <cellStyle name="%_2.14 Year on Year Movt ( (2013) 7" xfId="718"/>
    <cellStyle name="%_2.14 Year on Year Movt ( (2013) 8" xfId="719"/>
    <cellStyle name="%_2.14 Year on Year Movt (2011)" xfId="720"/>
    <cellStyle name="%_2.14 Year on Year Movt (2011) 2" xfId="721"/>
    <cellStyle name="%_2.14 Year on Year Movt (2011) 3" xfId="722"/>
    <cellStyle name="%_2.14 Year on Year Movt (2011) 4" xfId="723"/>
    <cellStyle name="%_2.14 Year on Year Movt (2011) 5" xfId="724"/>
    <cellStyle name="%_2.14 Year on Year Movt (2011) 6" xfId="725"/>
    <cellStyle name="%_2.14 Year on Year Movt (2011) 7" xfId="726"/>
    <cellStyle name="%_2.14 Year on Year Movt (2011) 8" xfId="727"/>
    <cellStyle name="%_2.14 Year on Year Movt (2012)" xfId="728"/>
    <cellStyle name="%_2.14 Year on Year Movt (2012) 2" xfId="729"/>
    <cellStyle name="%_2.14 Year on Year Movt (2012) 3" xfId="730"/>
    <cellStyle name="%_2.14 Year on Year Movt (2012) 4" xfId="731"/>
    <cellStyle name="%_2.14 Year on Year Movt (2012) 5" xfId="732"/>
    <cellStyle name="%_2.14 Year on Year Movt (2012) 6" xfId="733"/>
    <cellStyle name="%_2.14 Year on Year Movt (2012) 7" xfId="734"/>
    <cellStyle name="%_2.14 Year on Year Movt (2012) 8" xfId="735"/>
    <cellStyle name="%_2.4 Exc &amp; Demin " xfId="736"/>
    <cellStyle name="%_2.7s Insurance" xfId="737"/>
    <cellStyle name="%_2010_NGET_TPCR4_RO_FBPQ(Opex) trace only FINAL(DPP)" xfId="738"/>
    <cellStyle name="%_2010_NGET_TPCR4_RO_FBPQ(Opex) trace only FINAL(DPP) 2" xfId="739"/>
    <cellStyle name="%_2010_NGET_TPCR4_RO_FBPQ(Opex) trace only FINAL(DPP) 3" xfId="740"/>
    <cellStyle name="%_2010_NGET_TPCR4_RO_FBPQ(Opex) trace only FINAL(DPP) 4" xfId="741"/>
    <cellStyle name="%_2010_NGET_TPCR4_RO_FBPQ(Opex) trace only FINAL(DPP) 5" xfId="742"/>
    <cellStyle name="%_2010_NGET_TPCR4_RO_FBPQ(Opex) trace only FINAL(DPP) 6" xfId="743"/>
    <cellStyle name="%_2010_NGET_TPCR4_RO_FBPQ(Opex) trace only FINAL(DPP) 7" xfId="744"/>
    <cellStyle name="%_2010_NGET_TPCR4_RO_FBPQ(Opex) trace only FINAL(DPP) 8" xfId="745"/>
    <cellStyle name="%_3.1.2 DB Pension Detail" xfId="746"/>
    <cellStyle name="%_3.3 Tax" xfId="747"/>
    <cellStyle name="%_3.3 Tax 2" xfId="748"/>
    <cellStyle name="%_3.3 Tax 2 2" xfId="749"/>
    <cellStyle name="%_3.3 Tax 3" xfId="750"/>
    <cellStyle name="%_3.3 Tax_2.14 Year on Year Movt" xfId="751"/>
    <cellStyle name="%_3.3 Tax_2.4 Exc &amp; Demin " xfId="752"/>
    <cellStyle name="%_3.3 Tax_2.7s Insurance" xfId="753"/>
    <cellStyle name="%_3.3 Tax_3.1.2 DB Pension Detail" xfId="754"/>
    <cellStyle name="%_3.3 Tax_4.16 Asset lives" xfId="755"/>
    <cellStyle name="%_4.16 Asset lives" xfId="756"/>
    <cellStyle name="%_4.2 Activity Indicators" xfId="757"/>
    <cellStyle name="%_4.2 Activity Indicators 2" xfId="758"/>
    <cellStyle name="%_4.2 Activity Indicators 2 2" xfId="759"/>
    <cellStyle name="%_4.2 Activity Indicators 3" xfId="760"/>
    <cellStyle name="%_4.20 Scheme Listing NLR" xfId="761"/>
    <cellStyle name="%_4.3 Transmission system performance" xfId="762"/>
    <cellStyle name="%_5.15.1 Cond &amp; Risk-Entry Points" xfId="763"/>
    <cellStyle name="%_5.15.2 Cond &amp; Risk-Exit Points" xfId="764"/>
    <cellStyle name="%_5.15.3 Cond &amp; Risk-Comps" xfId="765"/>
    <cellStyle name="%_5.15.4 Cond &amp; Risk-Pipelines" xfId="766"/>
    <cellStyle name="%_5.15.5 Cond &amp; Risk-Multijunctin" xfId="767"/>
    <cellStyle name="%_5.6 Environmental " xfId="768"/>
    <cellStyle name="%_5.9 Asset data " xfId="769"/>
    <cellStyle name="%_Book1" xfId="770"/>
    <cellStyle name="%_BP10+ GTO Capex Split CN" xfId="771"/>
    <cellStyle name="%_Business Plan " xfId="772"/>
    <cellStyle name="%_Copy of Repair Draft RIIO Plan v0.11" xfId="773"/>
    <cellStyle name="%_Customer Operations Business Plan Input Reqs (3)" xfId="774"/>
    <cellStyle name="%_Draft RIIO plan presentation template - Commercial (2)" xfId="775"/>
    <cellStyle name="%_Draft RIIO plan presentation template - Customer Opsx Centre V2 (2)" xfId="776"/>
    <cellStyle name="%_Draft RIIO plan presentation template - Customer Opsx Centre V2 (2) - updated with mapping" xfId="777"/>
    <cellStyle name="%_Draft RIIO plan presentation template - Customer Opsx Centre V7" xfId="778"/>
    <cellStyle name="%_Emergency DRAFT RIIO Plan V0 3 1" xfId="779"/>
    <cellStyle name="%_Emergency DRAFT RIIO Plan V0 9" xfId="780"/>
    <cellStyle name="%_EMS 0.1 Emergency Process" xfId="781"/>
    <cellStyle name="%_EMS 0.1 Emergency Process - Opex plan template" xfId="782"/>
    <cellStyle name="%_EMS 0.2 Emergency Process" xfId="783"/>
    <cellStyle name="%_GTO Non Operational Capex Roll-over submission (FINAL with property)" xfId="784"/>
    <cellStyle name="%_Inputs" xfId="785"/>
    <cellStyle name="%_Maintenance Draft RIIO Plan v0.1" xfId="786"/>
    <cellStyle name="%_Manual Adjustments" xfId="787"/>
    <cellStyle name="%_Network Strategy Business Plan Input Reqs - v10" xfId="788"/>
    <cellStyle name="%_NGET Opex PCRRP Tables 31 Mar 2010 Final" xfId="789"/>
    <cellStyle name="%_NGET Opex PCRRP Tables 31 Mar 2010 Final 2" xfId="790"/>
    <cellStyle name="%_NGG Capex PCRRP Tables 31 Mar 2010 DraftV6 FINAL" xfId="791"/>
    <cellStyle name="%_NGG Opex PCRRP Tables 31 Mar 2009" xfId="792"/>
    <cellStyle name="%_NGG Opex PCRRP Tables 31 Mar 2009 2" xfId="793"/>
    <cellStyle name="%_NGG Opex PCRRP Tables 31 Mar 2010 final" xfId="794"/>
    <cellStyle name="%_NGG TPCR4 MG Workings" xfId="795"/>
    <cellStyle name="%_NGG TPCR4 Rollover FBPQ (Capex)" xfId="796"/>
    <cellStyle name="%_Non formula" xfId="797"/>
    <cellStyle name="%_Opex Consolidation v0.4" xfId="798"/>
    <cellStyle name="%_Opex plan template draft5" xfId="799"/>
    <cellStyle name="%_Opex plan template draft5b" xfId="800"/>
    <cellStyle name="%_Opex plan template draft5b 2" xfId="801"/>
    <cellStyle name="%_Opex plan template draft5b 2 2" xfId="802"/>
    <cellStyle name="%_Opex plan template draft5b 3" xfId="803"/>
    <cellStyle name="%_Opex plan template draft5b 3 2" xfId="804"/>
    <cellStyle name="%_Opex plan template draft6" xfId="805"/>
    <cellStyle name="%_Reactor (No scheme)" xfId="806"/>
    <cellStyle name="%_Reactor (Schemes)" xfId="807"/>
    <cellStyle name="%_Reactor_revisit (No scheme)" xfId="808"/>
    <cellStyle name="%_Reactor_revisit (Schemes)" xfId="809"/>
    <cellStyle name="%_Repair Draft RIIO Plan v0.12" xfId="810"/>
    <cellStyle name="%_Repair Draft RIIO Plan v0.18" xfId="811"/>
    <cellStyle name="%_Repair Draft RIIO Plan v0.19" xfId="812"/>
    <cellStyle name="%_Repair Draft RIIO Plan v0.20" xfId="813"/>
    <cellStyle name="%_Repair Draft RIIO Plan v0.5" xfId="814"/>
    <cellStyle name="%_Repair Draft RIIO Plan v0.6" xfId="815"/>
    <cellStyle name="%_Repair Draft RIIO Plan v0.9" xfId="816"/>
    <cellStyle name="%_RIIO Baseline Plan v3A with Reg Comparison &amp; Graphs" xfId="817"/>
    <cellStyle name="%_RIIO plan template - NS v1" xfId="818"/>
    <cellStyle name="%_RRP table" xfId="819"/>
    <cellStyle name="%_RRP table_1" xfId="820"/>
    <cellStyle name="%_Sch 2.1 Eng schedule 2009-10 Final @ 270710" xfId="821"/>
    <cellStyle name="%_Sch 2.1 Eng schedule 2009-10 Final @ 270710 2" xfId="822"/>
    <cellStyle name="%_Sch 2.1 Eng schedule 2009-10 Final @ 270710 3" xfId="823"/>
    <cellStyle name="%_Sch 2.1 Eng schedule 2009-10 Final @ 270710 4" xfId="824"/>
    <cellStyle name="%_Sch 2.1 Eng schedule 2009-10 Final @ 270710 5" xfId="825"/>
    <cellStyle name="%_Sch 2.1 Eng schedule 2009-10 Final @ 270710 6" xfId="826"/>
    <cellStyle name="%_Sch 2.1 Eng schedule 2009-10 Final @ 270710 7" xfId="827"/>
    <cellStyle name="%_Sch 2.1 Eng schedule 2009-10 Final @ 270710 8" xfId="828"/>
    <cellStyle name="%_Sheet1" xfId="829"/>
    <cellStyle name="%_Stat  Accounts" xfId="830"/>
    <cellStyle name="%_Switchgear (No scheme)" xfId="831"/>
    <cellStyle name="%_Switchgear (Schemes)" xfId="832"/>
    <cellStyle name="%_Switchgear_revisit (No scheme)" xfId="833"/>
    <cellStyle name="%_Switchgear_revisit (Schemes)" xfId="834"/>
    <cellStyle name="%_Table 4 28_Final" xfId="835"/>
    <cellStyle name="%_Table 4-16 - Asset Lives - 2009-10_Final" xfId="836"/>
    <cellStyle name="%_Table 4-16 - Asset Lives - 2009-10_Final (2)" xfId="837"/>
    <cellStyle name="%_Total summary" xfId="838"/>
    <cellStyle name="%_TPCR4 RollOver NGG Draft Table 5.8 v2" xfId="839"/>
    <cellStyle name="%_TPCR4 RollOver NGG Draft Table 5.8 v2 2" xfId="840"/>
    <cellStyle name="%_TPCR4 RollOver NGG Draft Table 5.8 v2 3" xfId="841"/>
    <cellStyle name="%_TPCR4 RollOver NGG Draft Table 5.8 v2 4" xfId="842"/>
    <cellStyle name="%_TPCR4 RollOver NGG Draft Table 5.8 v2 5" xfId="843"/>
    <cellStyle name="%_TPCR4 RollOver NGG Draft Table 5.8 v2 6" xfId="844"/>
    <cellStyle name="%_TPCR4 RollOver NGG Draft Table 5.8 v2 7" xfId="845"/>
    <cellStyle name="%_TPCR4 RollOver NGG Draft Table 5.8 v2 8" xfId="846"/>
    <cellStyle name="%_Transformer data based on November Freeze and RIIObaseline D6 data 10062011" xfId="847"/>
    <cellStyle name="%_Transmission PCRRP tables_SPTL_200809 V1" xfId="848"/>
    <cellStyle name="%_Transmission PCRRP tables_SPTL_200809 V1 2" xfId="849"/>
    <cellStyle name="%_Transmission PCRRP tables_SPTL_200809 V1 3" xfId="850"/>
    <cellStyle name="%_Transmission PCRRP tables_SPTL_200809 V1 4" xfId="851"/>
    <cellStyle name="%_Transmission PCRRP tables_SPTL_200809 V1_3.1.2 DB Pension Detail" xfId="852"/>
    <cellStyle name="%_Transmission PCRRP tables_SPTL_200809 V1_4.20 Scheme Listing NLR" xfId="853"/>
    <cellStyle name="%_Transmission PCRRP tables_SPTL_200809 V1_Table 4 28_Final" xfId="854"/>
    <cellStyle name="%_Transmission PCRRP tables_SPTL_200809 V1_Table 4-16 - Asset Lives - 2009-10_Final" xfId="855"/>
    <cellStyle name="%_Transmission PCRRP tables_SPTL_200809 V1_Table 4-16 - Asset Lives - 2009-10_Final (2)" xfId="856"/>
    <cellStyle name="%_Tx (No scheme)" xfId="857"/>
    <cellStyle name="%_Tx (Schemes)" xfId="858"/>
    <cellStyle name="%_Tx_revisit (No scheme)" xfId="859"/>
    <cellStyle name="%_Tx_revisit (Schemes)" xfId="860"/>
    <cellStyle name="%_VR Asset Man NGET 1.3 1.7 1.8, 2.14 2.15" xfId="861"/>
    <cellStyle name="%_VR NGET Opex tables" xfId="862"/>
    <cellStyle name="%_VR NGET Opex tables_1.5 Opex Reconciliation NG" xfId="863"/>
    <cellStyle name="%_VR Pensions Opex tables" xfId="864"/>
    <cellStyle name="%_VR Pensions Opex tables_2010_NGET_TPCR4_RO_FBPQ(Opex) trace only FINAL(DPP)" xfId="865"/>
    <cellStyle name="%_Winter - Pay deal impacts - Repair" xfId="866"/>
    <cellStyle name="%_WJBP Acc Ctrl v3" xfId="867"/>
    <cellStyle name="%1_Inputs" xfId="868"/>
    <cellStyle name="******************************************" xfId="869"/>
    <cellStyle name=".744" xfId="870"/>
    <cellStyle name="?? [0]_VERA" xfId="871"/>
    <cellStyle name="?????_VERA" xfId="872"/>
    <cellStyle name="??_VERA" xfId="873"/>
    <cellStyle name="_070323 - 5yr opex BPQ (Final)" xfId="874"/>
    <cellStyle name="_070323 - 5yr opex BPQ (Final) 2" xfId="875"/>
    <cellStyle name="_070323 - 5yr opex BPQ (Final) 3" xfId="876"/>
    <cellStyle name="_070323 - 5yr opex BPQ (Final) 4" xfId="877"/>
    <cellStyle name="_070323 - 5yr opex BPQ (Final) 5" xfId="878"/>
    <cellStyle name="_070323 - 5yr opex BPQ (Final) 6" xfId="879"/>
    <cellStyle name="_070323 - 5yr opex BPQ (Final) 7" xfId="880"/>
    <cellStyle name="_070323 - 5yr opex BPQ (Final) 8" xfId="881"/>
    <cellStyle name="_0708 GSO Capex RRP (detail)" xfId="882"/>
    <cellStyle name="_0708 GSO Capex RRP (detail)_RRP table" xfId="883"/>
    <cellStyle name="_0708 TO Non-Op Capex (detail)" xfId="884"/>
    <cellStyle name="_0708 TO Non-Op Capex (detail) 2" xfId="885"/>
    <cellStyle name="_0708 TO Non-Op Capex (detail) 3" xfId="886"/>
    <cellStyle name="_0708 TO Non-Op Capex (detail) 4" xfId="887"/>
    <cellStyle name="_0708 TO Non-Op Capex (detail) 5" xfId="888"/>
    <cellStyle name="_0708 TO Non-Op Capex (detail) 6" xfId="889"/>
    <cellStyle name="_0708 TO Non-Op Capex (detail) 7" xfId="890"/>
    <cellStyle name="_0708 TO Non-Op Capex (detail) 8" xfId="891"/>
    <cellStyle name="_0708 TO Non-Op Capex (detail)_1.3 Rec to old modelling" xfId="892"/>
    <cellStyle name="_0708 TO Non-Op Capex (detail)_1.5 Opex Reconciliation NG" xfId="893"/>
    <cellStyle name="_0708 TO Non-Op Capex (detail)_2010_NGET_TPCR4_RO_FBPQ(Opex) trace only FINAL(DPP)" xfId="894"/>
    <cellStyle name="_0708 TO Non-Op Capex (detail)_2010_NGET_TPCR4_RO_FBPQ(Opex) trace only FINAL(DPP) 2" xfId="895"/>
    <cellStyle name="_0708 TO Non-Op Capex (detail)_2010_NGET_TPCR4_RO_FBPQ(Opex) trace only FINAL(DPP) 3" xfId="896"/>
    <cellStyle name="_0708 TO Non-Op Capex (detail)_2010_NGET_TPCR4_RO_FBPQ(Opex) trace only FINAL(DPP) 4" xfId="897"/>
    <cellStyle name="_0708 TO Non-Op Capex (detail)_2010_NGET_TPCR4_RO_FBPQ(Opex) trace only FINAL(DPP) 5" xfId="898"/>
    <cellStyle name="_0708 TO Non-Op Capex (detail)_2010_NGET_TPCR4_RO_FBPQ(Opex) trace only FINAL(DPP) 6" xfId="899"/>
    <cellStyle name="_0708 TO Non-Op Capex (detail)_2010_NGET_TPCR4_RO_FBPQ(Opex) trace only FINAL(DPP) 7" xfId="900"/>
    <cellStyle name="_0708 TO Non-Op Capex (detail)_2010_NGET_TPCR4_RO_FBPQ(Opex) trace only FINAL(DPP) 8" xfId="901"/>
    <cellStyle name="_0708 TO Non-Op Capex (detail)_Manual Adjustments" xfId="902"/>
    <cellStyle name="_0708 TO Non-Op Capex (detail)_NGET Opex PCRRP Tables 31 Mar 2010 Final" xfId="903"/>
    <cellStyle name="_0708 TO Non-Op Capex (detail)_RRP table" xfId="904"/>
    <cellStyle name="_0708 TO Non-Op Capex (detail)_Sheet1" xfId="905"/>
    <cellStyle name="_070822 Mains and services workload phasing (2)" xfId="906"/>
    <cellStyle name="_070822 Repex - submission vp (2)" xfId="907"/>
    <cellStyle name="_0decimals" xfId="908"/>
    <cellStyle name="_1.3 Acc Costs NG (2011)" xfId="909"/>
    <cellStyle name="_1.8 Irregular Items" xfId="910"/>
    <cellStyle name="_2.14 Year on Year Movt ( (2013)" xfId="911"/>
    <cellStyle name="_2.14 Year on Year Movt (2011)" xfId="912"/>
    <cellStyle name="_2.14 Year on Year Movt (2012)" xfId="913"/>
    <cellStyle name="_2.9 UK BS Reconciliation" xfId="914"/>
    <cellStyle name="_2.9 UK BS Reconciliation_RRP table" xfId="915"/>
    <cellStyle name="_2010 Budget workings (Draft 5)" xfId="916"/>
    <cellStyle name="_2010 Draft Budgeted Summary 150709 (2)" xfId="917"/>
    <cellStyle name="_Accounting entries Feb 09" xfId="918"/>
    <cellStyle name="_Actuals" xfId="919"/>
    <cellStyle name="_Actuals 2" xfId="920"/>
    <cellStyle name="_Admin 01e" xfId="921"/>
    <cellStyle name="_Admin 01e 2" xfId="922"/>
    <cellStyle name="_Admin 01e 2 2" xfId="923"/>
    <cellStyle name="_Admin 01e 3" xfId="924"/>
    <cellStyle name="_Admin 01e_SGN_14m" xfId="925"/>
    <cellStyle name="_Admin 01e_strategic model 05j (INDEXATION)" xfId="926"/>
    <cellStyle name="_Admin 01o" xfId="927"/>
    <cellStyle name="_Admin 01o 2" xfId="928"/>
    <cellStyle name="_Admin 01o 2 2" xfId="929"/>
    <cellStyle name="_Admin 01o 3" xfId="930"/>
    <cellStyle name="_Admin 01o_SGN_14m" xfId="931"/>
    <cellStyle name="_Admin 01o_strategic model 05j (INDEXATION)" xfId="932"/>
    <cellStyle name="_Admin 02b" xfId="933"/>
    <cellStyle name="_Admin 02b 2" xfId="934"/>
    <cellStyle name="_Admin 02b 2 2" xfId="935"/>
    <cellStyle name="_Admin 02b 3" xfId="936"/>
    <cellStyle name="_Admin 02b_SGN_14m" xfId="937"/>
    <cellStyle name="_Admin 02b_strategic model 05j (INDEXATION)" xfId="938"/>
    <cellStyle name="_Amended Capex position 2011-12" xfId="939"/>
    <cellStyle name="_Balance Sheet Rec" xfId="940"/>
    <cellStyle name="_Balance Sheet Rec 2" xfId="941"/>
    <cellStyle name="_Berr Strading Analysis v 04 (2012 to 2020) v0 8 (no capex from 2012)" xfId="942"/>
    <cellStyle name="_Book1 (2)" xfId="943"/>
    <cellStyle name="_Book2" xfId="944"/>
    <cellStyle name="_Book3" xfId="945"/>
    <cellStyle name="_Book4" xfId="946"/>
    <cellStyle name="_BP10.2 v BP10v6 Reg Tables" xfId="947"/>
    <cellStyle name="_BP10.2 v BP10v6 Reg Tables_Reactor (No scheme)" xfId="948"/>
    <cellStyle name="_BP10.2 v BP10v6 Reg Tables_Reactor (Schemes)" xfId="949"/>
    <cellStyle name="_BP10.2 v BP10v6 Reg Tables_Reactor_revisit (No scheme)" xfId="950"/>
    <cellStyle name="_BP10.2 v BP10v6 Reg Tables_Reactor_revisit (Schemes)" xfId="951"/>
    <cellStyle name="_BP10.2 v BP10v6 Reg Tables_Tx (No scheme)" xfId="952"/>
    <cellStyle name="_BP10.2 v BP10v6 Reg Tables_Tx (Schemes)" xfId="953"/>
    <cellStyle name="_BP10.2 v BP10v6 Reg Tables_Tx_revisit (No scheme)" xfId="954"/>
    <cellStyle name="_BP10.2 v BP10v6 Reg Tables_Tx_revisit (Schemes)" xfId="955"/>
    <cellStyle name="_BP10+ GTO Capex Split CN" xfId="956"/>
    <cellStyle name="_BP10+post TIC 1 Jun" xfId="957"/>
    <cellStyle name="_BP11 GTO Capex Split CN v3 Dec-15 upload" xfId="958"/>
    <cellStyle name="_BSIS-JUN-008 APX" xfId="959"/>
    <cellStyle name="_BSIS-MAY-011 &amp; BSIS-MAY-012R Escrow Ac's" xfId="960"/>
    <cellStyle name="_Business Plan " xfId="961"/>
    <cellStyle name="_capex 1011" xfId="962"/>
    <cellStyle name="_Capex summary" xfId="963"/>
    <cellStyle name="_Capital Plan - IS UK" xfId="964"/>
    <cellStyle name="_Capital Plan - IS UK 2" xfId="965"/>
    <cellStyle name="_Capital Plan - IS UK 3" xfId="966"/>
    <cellStyle name="_Capital Plan - IS UK 4" xfId="967"/>
    <cellStyle name="_Capital Plan - IS UK 5" xfId="968"/>
    <cellStyle name="_Capital Plan - IS UK 6" xfId="969"/>
    <cellStyle name="_Capital Plan - IS UK 7" xfId="970"/>
    <cellStyle name="_Capital Plan - IS UK 8" xfId="971"/>
    <cellStyle name="_Capital Plan - IS UK_0910 GSO Capex RRP - Final (Detail) v2 220710" xfId="972"/>
    <cellStyle name="_Capital Plan - IS UK_1.3 Rec to old modelling" xfId="973"/>
    <cellStyle name="_Capital Plan - IS UK_1.5 Opex Reconciliation NG" xfId="974"/>
    <cellStyle name="_Capital Plan - IS UK_2010_NGET_TPCR4_RO_FBPQ(Opex) trace only FINAL(DPP)" xfId="975"/>
    <cellStyle name="_Capital Plan - IS UK_2010_NGET_TPCR4_RO_FBPQ(Opex) trace only FINAL(DPP) 2" xfId="976"/>
    <cellStyle name="_Capital Plan - IS UK_2010_NGET_TPCR4_RO_FBPQ(Opex) trace only FINAL(DPP) 3" xfId="977"/>
    <cellStyle name="_Capital Plan - IS UK_2010_NGET_TPCR4_RO_FBPQ(Opex) trace only FINAL(DPP) 4" xfId="978"/>
    <cellStyle name="_Capital Plan - IS UK_2010_NGET_TPCR4_RO_FBPQ(Opex) trace only FINAL(DPP) 5" xfId="979"/>
    <cellStyle name="_Capital Plan - IS UK_2010_NGET_TPCR4_RO_FBPQ(Opex) trace only FINAL(DPP) 6" xfId="980"/>
    <cellStyle name="_Capital Plan - IS UK_2010_NGET_TPCR4_RO_FBPQ(Opex) trace only FINAL(DPP) 7" xfId="981"/>
    <cellStyle name="_Capital Plan - IS UK_2010_NGET_TPCR4_RO_FBPQ(Opex) trace only FINAL(DPP) 8" xfId="982"/>
    <cellStyle name="_Capital Plan - IS UK_Manual Adjustments" xfId="983"/>
    <cellStyle name="_Capital Plan - IS UK_NGET Opex PCRRP Tables 31 Mar 2010 Final" xfId="984"/>
    <cellStyle name="_Capital Plan - IS UK_RRP table" xfId="985"/>
    <cellStyle name="_Capital Plan - IS UK_RRP table_1" xfId="986"/>
    <cellStyle name="_Capital Plan - IS UK_Sheet1" xfId="987"/>
    <cellStyle name="_Capital Plan - IS UK_Stat  Accounts" xfId="988"/>
    <cellStyle name="_CFO tables - New style" xfId="989"/>
    <cellStyle name="_Comma" xfId="990"/>
    <cellStyle name="_Comma_CSC" xfId="991"/>
    <cellStyle name="_Comma_merger_plans_modified_9_3_1999" xfId="992"/>
    <cellStyle name="_Commercial Escrow journals" xfId="993"/>
    <cellStyle name="_Commercial RIIO Business Plan V1" xfId="994"/>
    <cellStyle name="_Consolidated Financial Statements (Planet Data Book Format) v9.5" xfId="995"/>
    <cellStyle name="_Consolidated NS Forecast - 2011-12 Jan-11" xfId="996"/>
    <cellStyle name="_Copy of BGE T&amp;D OM v012 (1 Scenario)_TA38 (inputs for DBU Reg Co.5) with checks - finalEP" xfId="997"/>
    <cellStyle name="_Copy of BGE T&amp;D OM v012 (1 Scenario)_TA38 (inputs for DBU Reg Co.5) with checks - finalEP 2" xfId="998"/>
    <cellStyle name="_Copy of SGN 10a Business Plan 2010v1" xfId="999"/>
    <cellStyle name="_Copy of SGN 10a Business Plan 2010v15 updated budget 190310l" xfId="1000"/>
    <cellStyle name="_Copy of SGN 4.19 v3(OTPP) RF4" xfId="1001"/>
    <cellStyle name="_Copy of SGN 4.19 v3(OTPP) RF4 2" xfId="1002"/>
    <cellStyle name="_Cost Book NWR draft ss 090825" xfId="1003"/>
    <cellStyle name="_Cover" xfId="1004"/>
    <cellStyle name="_Currency" xfId="1005"/>
    <cellStyle name="_Currency_CSC" xfId="1006"/>
    <cellStyle name="_Currency_merger_plans_modified_9_3_1999" xfId="1007"/>
    <cellStyle name="_Currency_Model_Sep_2_02" xfId="1008"/>
    <cellStyle name="_Currency_Pipeline Model v1 (09_09_02) v3" xfId="1009"/>
    <cellStyle name="_CurrencySpace" xfId="1010"/>
    <cellStyle name="_CurrencySpace_CSC" xfId="1011"/>
    <cellStyle name="_CurrencySpace_merger_plans_modified_9_3_1999" xfId="1012"/>
    <cellStyle name="_Customer Ops RIIO Business Plan V2" xfId="1013"/>
    <cellStyle name="_Dalmuir 05l" xfId="1014"/>
    <cellStyle name="_dashboard example 01b" xfId="1015"/>
    <cellStyle name="_dashboard example 01b 2" xfId="1016"/>
    <cellStyle name="_Data" xfId="1017"/>
    <cellStyle name="_DFR.24 NBMHT 03g" xfId="1018"/>
    <cellStyle name="_DFR.24 NBMHT 03g 2" xfId="1019"/>
    <cellStyle name="_DFR.24 NBMHT 03g 2 2" xfId="1020"/>
    <cellStyle name="_DFR.24 NBMHT 03g 3" xfId="1021"/>
    <cellStyle name="_DFR.24 NBMHT 03g_SGN_14m" xfId="1022"/>
    <cellStyle name="_DFR.24 NBMHT 03g_strategic model 05j (INDEXATION)" xfId="1023"/>
    <cellStyle name="_Disclaimer" xfId="1024"/>
    <cellStyle name="_DR2 Oracle mapping document" xfId="1025"/>
    <cellStyle name="_Draft RIIO plan presentation template - CSDx Centre" xfId="1026"/>
    <cellStyle name="_Draft RIIO plan presentation template - Customer Opsx Centre V7" xfId="1027"/>
    <cellStyle name="_Electricity North West_v2.28" xfId="1028"/>
    <cellStyle name="_Extraction of Consolidated Financial Statements (Planet Data Book Format)" xfId="1029"/>
    <cellStyle name="_F1F9 ExModel 24b DFR01a" xfId="1030"/>
    <cellStyle name="_Finan - South" xfId="1031"/>
    <cellStyle name="_Finan - South 2" xfId="1032"/>
    <cellStyle name="_Gas TO major Projects Forecast Jun-10" xfId="1033"/>
    <cellStyle name="_Gas TO major Projects Forecast May-10 BP10+ v5" xfId="1034"/>
    <cellStyle name="_GDUK manpower summary (3)" xfId="1035"/>
    <cellStyle name="_GDx 2010_11 Q3 QPR tables - UK v3" xfId="1036"/>
    <cellStyle name="_Genesys 12f" xfId="1037"/>
    <cellStyle name="_Genesys 17e" xfId="1038"/>
    <cellStyle name="_GTO Commodity Pricing Model &amp; Risk Score Model Workings BP11 v2" xfId="1039"/>
    <cellStyle name="_GTO Non Operational Capex Roll-over submission (FINAL with property)" xfId="1040"/>
    <cellStyle name="_HoldCo" xfId="1041"/>
    <cellStyle name="_HoldCo 2" xfId="1042"/>
    <cellStyle name="_HoldCo_Finan - South" xfId="1043"/>
    <cellStyle name="_HoldCo_Inputs" xfId="1044"/>
    <cellStyle name="_HoldCo_RF Rec" xfId="1045"/>
    <cellStyle name="_HoldCo_SCOT FinStat" xfId="1046"/>
    <cellStyle name="_HoldCo_South FinStat" xfId="1047"/>
    <cellStyle name="_Inflation Output" xfId="1048"/>
    <cellStyle name="_Inflation Output 2" xfId="1049"/>
    <cellStyle name="_ING Mthly Accounting Entries Feb 09" xfId="1050"/>
    <cellStyle name="_Inputs" xfId="1051"/>
    <cellStyle name="_Inputs 2" xfId="1052"/>
    <cellStyle name="_Inputs 2008" xfId="1053"/>
    <cellStyle name="_Inputs 2008 2" xfId="1054"/>
    <cellStyle name="_IS" xfId="1055"/>
    <cellStyle name="_key indicators comparison" xfId="1056"/>
    <cellStyle name="_Kilo 31a" xfId="1057"/>
    <cellStyle name="_Lazuli Example Model 24d" xfId="1058"/>
    <cellStyle name="_Liquidity chart_Amended_16Jan09" xfId="1059"/>
    <cellStyle name="_MASTER OPEX COMMERCIAL AS AT 24-02-09" xfId="1060"/>
    <cellStyle name="_MASTER OPEX COMMERCIAL AS AT 24-02-09 2" xfId="1061"/>
    <cellStyle name="_Metering" xfId="1062"/>
    <cellStyle name="_Metering 2" xfId="1063"/>
    <cellStyle name="_Metering 3" xfId="1064"/>
    <cellStyle name="_Metering 4" xfId="1065"/>
    <cellStyle name="_Metering 5" xfId="1066"/>
    <cellStyle name="_Metering 6" xfId="1067"/>
    <cellStyle name="_Metering 7" xfId="1068"/>
    <cellStyle name="_Metering 8" xfId="1069"/>
    <cellStyle name="_Metering_Customer Operations Business Plan Input Reqs (3)" xfId="1070"/>
    <cellStyle name="_Metering_Draft RIIO plan presentation template - Commercial (2)" xfId="1071"/>
    <cellStyle name="_Metering_Draft RIIO plan presentation template - Customer Opsx Centre V2 (2)" xfId="1072"/>
    <cellStyle name="_Metering_Draft RIIO plan presentation template - Customer Opsx Centre V2 (2) - updated with mapping" xfId="1073"/>
    <cellStyle name="_Metering_Network Strategy Business Plan Input Reqs - v10" xfId="1074"/>
    <cellStyle name="_Metering_Non formula" xfId="1075"/>
    <cellStyle name="_Metering_RRP table" xfId="1076"/>
    <cellStyle name="_Monthly Value" xfId="1077"/>
    <cellStyle name="_Multiple" xfId="1078"/>
    <cellStyle name="_Multiple_CSC" xfId="1079"/>
    <cellStyle name="_Multiple_merger_plans_modified_9_3_1999" xfId="1080"/>
    <cellStyle name="_Multiple_Model_Sep_2_02" xfId="1081"/>
    <cellStyle name="_Multiple_Pipeline Model v1 (09_09_02) v3" xfId="1082"/>
    <cellStyle name="_MultipleSpace" xfId="1083"/>
    <cellStyle name="_MultipleSpace_CSC" xfId="1084"/>
    <cellStyle name="_MultipleSpace_merger_plans_modified_9_3_1999" xfId="1085"/>
    <cellStyle name="_MultipleSpace_Model_Sep_2_02" xfId="1086"/>
    <cellStyle name="_MultipleSpace_Pipeline Model v1 (09_09_02) v3" xfId="1087"/>
    <cellStyle name="_New CFO (2)" xfId="1088"/>
    <cellStyle name="_NFOR Budget 201112 control totals" xfId="1089"/>
    <cellStyle name="_NGM  Business Valuation Jan 10 v7 no links(sg)" xfId="1090"/>
    <cellStyle name="_Notes" xfId="1091"/>
    <cellStyle name="_Notes 01t" xfId="1092"/>
    <cellStyle name="_NS RIIO WJ Business Plan v3" xfId="1093"/>
    <cellStyle name="_Old_Op_10.64_01a" xfId="1094"/>
    <cellStyle name="_OM_SI_02_01 - Co 90_141008_Keelderry_v03" xfId="1095"/>
    <cellStyle name="_OM_SI_02_01 - Co 90_141008_Keelderry_v03 2" xfId="1096"/>
    <cellStyle name="_Opex 1011" xfId="1097"/>
    <cellStyle name="_Opex initiatives tracker v1.5 (post 9 aug update )" xfId="1098"/>
    <cellStyle name="_OTPP Review" xfId="1099"/>
    <cellStyle name="_OTPP Review 2" xfId="1100"/>
    <cellStyle name="_Outputs_v6" xfId="1101"/>
    <cellStyle name="_Outputs_v6 2" xfId="1102"/>
    <cellStyle name="_Outputs_v7" xfId="1103"/>
    <cellStyle name="_Outputs_v7 2" xfId="1104"/>
    <cellStyle name="_Percent" xfId="1105"/>
    <cellStyle name="_Percent_CSC" xfId="1106"/>
    <cellStyle name="_Percent_merger_plans_modified_9_3_1999" xfId="1107"/>
    <cellStyle name="_Percent_Model_Sep_2_02" xfId="1108"/>
    <cellStyle name="_Percent_Pipeline Model v1 (09_09_02) v3" xfId="1109"/>
    <cellStyle name="_PercentSpace" xfId="1110"/>
    <cellStyle name="_PercentSpace_CSC" xfId="1111"/>
    <cellStyle name="_PercentSpace_merger_plans_modified_9_3_1999" xfId="1112"/>
    <cellStyle name="_PercentSpace_Model_Sep_2_02" xfId="1113"/>
    <cellStyle name="_PercentSpace_Pipeline Model v1 (09_09_02) v3" xfId="1114"/>
    <cellStyle name="_Plan Challenge 1011" xfId="1115"/>
    <cellStyle name="_Plan Challenge 1011_Baseline - MASTER DATA (ORG) - v5.4 (P&amp;OD) BUSINESS PLAN" xfId="1116"/>
    <cellStyle name="_Plan Challenge 1011_Baseline - MASTER DATA (ORG) - v5.4 (P&amp;OD) BUSINESS PLAN_SS templates" xfId="1117"/>
    <cellStyle name="_Plan October QPR Templates - Shares Services (includes Business Services)" xfId="1118"/>
    <cellStyle name="_Pre Release Checklist 01l" xfId="1119"/>
    <cellStyle name="_Repex Forecast 090717" xfId="1120"/>
    <cellStyle name="_Repex Performance Pack 090720" xfId="1121"/>
    <cellStyle name="_RF Rec" xfId="1122"/>
    <cellStyle name="_RF Rec 2" xfId="1123"/>
    <cellStyle name="_SCOT FinStat" xfId="1124"/>
    <cellStyle name="_SCOT FinStat 2" xfId="1125"/>
    <cellStyle name="_Scotland Capex" xfId="1126"/>
    <cellStyle name="_SGN 10a Copy of Business Plan 2010v14 update 180510" xfId="1127"/>
    <cellStyle name="_SGN 4.18" xfId="1128"/>
    <cellStyle name="_SGN 4.18 2" xfId="1129"/>
    <cellStyle name="_Sheet1" xfId="1130"/>
    <cellStyle name="_Sheet1 2" xfId="1131"/>
    <cellStyle name="_Sheet1_1" xfId="1132"/>
    <cellStyle name="_Sheet1_1 2" xfId="1133"/>
    <cellStyle name="_Sheet1_1_SGN_14m" xfId="1134"/>
    <cellStyle name="_Sheet1_SGN_14m" xfId="1135"/>
    <cellStyle name="_Sheet2" xfId="1136"/>
    <cellStyle name="_Sheet3" xfId="1137"/>
    <cellStyle name="_Sheets to populate 1112 Budget Slides" xfId="1138"/>
    <cellStyle name="_Skel Mod 01l" xfId="1139"/>
    <cellStyle name="_South FinStat" xfId="1140"/>
    <cellStyle name="_South FinStat 2" xfId="1141"/>
    <cellStyle name="_Spreadsheet to populate plan slides 120810" xfId="1142"/>
    <cellStyle name="_Summaries" xfId="1143"/>
    <cellStyle name="_Summary" xfId="1144"/>
    <cellStyle name="_Summary (inc. Contract &amp; Conn.)" xfId="1145"/>
    <cellStyle name="_Sundry" xfId="1146"/>
    <cellStyle name="_TableRowHead" xfId="1147"/>
    <cellStyle name="_TableSuperHead" xfId="1148"/>
    <cellStyle name="_TEMPLATE 01m" xfId="1149"/>
    <cellStyle name="_Test scoring_UKGDx_20070924_Pilot (DV)" xfId="1150"/>
    <cellStyle name="_Test scoring_UKGDx_20070924_Pilot (DV) 2" xfId="1151"/>
    <cellStyle name="_Test scoring_UKGDx_20070924_Pilot (DV) 3" xfId="1152"/>
    <cellStyle name="_Test scoring_UKGDx_20070924_Pilot (DV) 4" xfId="1153"/>
    <cellStyle name="_Test scoring_UKGDx_20070924_Pilot (DV) 5" xfId="1154"/>
    <cellStyle name="_Test scoring_UKGDx_20070924_Pilot (DV) 6" xfId="1155"/>
    <cellStyle name="_Test scoring_UKGDx_20070924_Pilot (DV) 7" xfId="1156"/>
    <cellStyle name="_Test scoring_UKGDx_20070924_Pilot (DV) 8" xfId="1157"/>
    <cellStyle name="_TGK-14" xfId="1158"/>
    <cellStyle name="_TGK-9" xfId="1159"/>
    <cellStyle name="_TGK-9_1" xfId="1160"/>
    <cellStyle name="_Third Party-IT Data Collection Template" xfId="1161"/>
    <cellStyle name="_Total summary" xfId="1162"/>
    <cellStyle name="_Tower Definition (2)" xfId="1163"/>
    <cellStyle name="_Tower Definition (2)_Baseline - MASTER DATA (ORG) - v5.4 (P&amp;OD) BUSINESS PLAN" xfId="1164"/>
    <cellStyle name="_Tower Definition (2)_Baseline - MASTER DATA (ORG) - v5.4 (P&amp;OD) BUSINESS PLAN_SS templates" xfId="1165"/>
    <cellStyle name="_track 01a" xfId="1166"/>
    <cellStyle name="_Transmission agency" xfId="1167"/>
    <cellStyle name="_UKT RAV Summary (Mar-10) v2" xfId="1168"/>
    <cellStyle name="_Vattenfall Euro CY" xfId="1169"/>
    <cellStyle name="_VT FinMod 72d" xfId="1170"/>
    <cellStyle name="_VT FinMod 72d 2" xfId="1171"/>
    <cellStyle name="_VT FinMod 72d 2 2" xfId="1172"/>
    <cellStyle name="_VT FinMod 72d 3" xfId="1173"/>
    <cellStyle name="_VT FinMod 72d Option Effects" xfId="1174"/>
    <cellStyle name="_VT FinMod 72d Option Effects 2" xfId="1175"/>
    <cellStyle name="_VT FinMod 72d Option Effects 2 2" xfId="1176"/>
    <cellStyle name="_VT FinMod 72d Option Effects 3" xfId="1177"/>
    <cellStyle name="_VT FinMod 72d Option Effects_SGN_14m" xfId="1178"/>
    <cellStyle name="_VT FinMod 72d Option Effects_strategic model 05j (INDEXATION)" xfId="1179"/>
    <cellStyle name="_VT FinMod 72d_SGN_14m" xfId="1180"/>
    <cellStyle name="_VT FinMod 72d_strategic model 05j (INDEXATION)" xfId="1181"/>
    <cellStyle name="_VT FinMod 74a - pre D&amp;T deletion" xfId="1182"/>
    <cellStyle name="_VT FinMod 74a - pre D&amp;T deletion 2" xfId="1183"/>
    <cellStyle name="_VT FinMod 74a - pre D&amp;T deletion 2 2" xfId="1184"/>
    <cellStyle name="_VT FinMod 74a - pre D&amp;T deletion 3" xfId="1185"/>
    <cellStyle name="_VT FinMod 74a - pre D&amp;T deletion_SGN_14m" xfId="1186"/>
    <cellStyle name="_VT FinMod 74a - pre D&amp;T deletion_strategic model 05j (INDEXATION)" xfId="1187"/>
    <cellStyle name="_VT FinMod 76p" xfId="1188"/>
    <cellStyle name="_VT FinMod 76p 2" xfId="1189"/>
    <cellStyle name="_VT FinMod 76p 2 2" xfId="1190"/>
    <cellStyle name="_VT FinMod 76p 3" xfId="1191"/>
    <cellStyle name="_VT FinMod 76p_SGN_14m" xfId="1192"/>
    <cellStyle name="_VT FinMod 76p_strategic model 05j (INDEXATION)" xfId="1193"/>
    <cellStyle name="’Ê‰Ý [0.00]_Area" xfId="1194"/>
    <cellStyle name="’Ê‰Ý_Area" xfId="1195"/>
    <cellStyle name="£" xfId="1196"/>
    <cellStyle name="£ BP" xfId="1197"/>
    <cellStyle name="£[2]" xfId="1198"/>
    <cellStyle name="¥ JY" xfId="1199"/>
    <cellStyle name="€" xfId="1200"/>
    <cellStyle name="=C:\WINNT\SYSTEM32\COMMAND.COM" xfId="1201"/>
    <cellStyle name="=C:\WINNT\SYSTEM32\COMMAND.COM 10" xfId="1202"/>
    <cellStyle name="=C:\WINNT\SYSTEM32\COMMAND.COM 11" xfId="1203"/>
    <cellStyle name="=C:\WINNT\SYSTEM32\COMMAND.COM 12" xfId="1204"/>
    <cellStyle name="=C:\WINNT\SYSTEM32\COMMAND.COM 12 2" xfId="1205"/>
    <cellStyle name="=C:\WINNT\SYSTEM32\COMMAND.COM 13" xfId="1206"/>
    <cellStyle name="=C:\WINNT\SYSTEM32\COMMAND.COM 14" xfId="1207"/>
    <cellStyle name="=C:\WINNT\SYSTEM32\COMMAND.COM 15" xfId="1208"/>
    <cellStyle name="=C:\WINNT\SYSTEM32\COMMAND.COM 16" xfId="1209"/>
    <cellStyle name="=C:\WINNT\SYSTEM32\COMMAND.COM 17" xfId="1210"/>
    <cellStyle name="=C:\WINNT\SYSTEM32\COMMAND.COM 18" xfId="1211"/>
    <cellStyle name="=C:\WINNT\SYSTEM32\COMMAND.COM 19" xfId="1212"/>
    <cellStyle name="=C:\WINNT\SYSTEM32\COMMAND.COM 2" xfId="1213"/>
    <cellStyle name="=C:\WINNT\SYSTEM32\COMMAND.COM 2 2" xfId="1214"/>
    <cellStyle name="=C:\WINNT\SYSTEM32\COMMAND.COM 2 2 10" xfId="1215"/>
    <cellStyle name="=C:\WINNT\SYSTEM32\COMMAND.COM 2 2 11" xfId="1216"/>
    <cellStyle name="=C:\WINNT\SYSTEM32\COMMAND.COM 2 2 12" xfId="1217"/>
    <cellStyle name="=C:\WINNT\SYSTEM32\COMMAND.COM 2 2 13" xfId="1218"/>
    <cellStyle name="=C:\WINNT\SYSTEM32\COMMAND.COM 2 2 14" xfId="1219"/>
    <cellStyle name="=C:\WINNT\SYSTEM32\COMMAND.COM 2 2 15" xfId="1220"/>
    <cellStyle name="=C:\WINNT\SYSTEM32\COMMAND.COM 2 2 16" xfId="1221"/>
    <cellStyle name="=C:\WINNT\SYSTEM32\COMMAND.COM 2 2 17" xfId="1222"/>
    <cellStyle name="=C:\WINNT\SYSTEM32\COMMAND.COM 2 2 18" xfId="1223"/>
    <cellStyle name="=C:\WINNT\SYSTEM32\COMMAND.COM 2 2 19" xfId="1224"/>
    <cellStyle name="=C:\WINNT\SYSTEM32\COMMAND.COM 2 2 2" xfId="1225"/>
    <cellStyle name="=C:\WINNT\SYSTEM32\COMMAND.COM 2 2 2 2" xfId="1226"/>
    <cellStyle name="=C:\WINNT\SYSTEM32\COMMAND.COM 2 2 2_NGN_RIIO-GD1_ BPDT (tab 2.0-4.3)" xfId="1227"/>
    <cellStyle name="=C:\WINNT\SYSTEM32\COMMAND.COM 2 2 20" xfId="1228"/>
    <cellStyle name="=C:\WINNT\SYSTEM32\COMMAND.COM 2 2 21" xfId="1229"/>
    <cellStyle name="=C:\WINNT\SYSTEM32\COMMAND.COM 2 2 22" xfId="1230"/>
    <cellStyle name="=C:\WINNT\SYSTEM32\COMMAND.COM 2 2 23" xfId="1231"/>
    <cellStyle name="=C:\WINNT\SYSTEM32\COMMAND.COM 2 2 24" xfId="1232"/>
    <cellStyle name="=C:\WINNT\SYSTEM32\COMMAND.COM 2 2 25" xfId="1233"/>
    <cellStyle name="=C:\WINNT\SYSTEM32\COMMAND.COM 2 2 26" xfId="1234"/>
    <cellStyle name="=C:\WINNT\SYSTEM32\COMMAND.COM 2 2 27" xfId="1235"/>
    <cellStyle name="=C:\WINNT\SYSTEM32\COMMAND.COM 2 2 28" xfId="1236"/>
    <cellStyle name="=C:\WINNT\SYSTEM32\COMMAND.COM 2 2 29" xfId="1237"/>
    <cellStyle name="=C:\WINNT\SYSTEM32\COMMAND.COM 2 2 3" xfId="1238"/>
    <cellStyle name="=C:\WINNT\SYSTEM32\COMMAND.COM 2 2 30" xfId="1239"/>
    <cellStyle name="=C:\WINNT\SYSTEM32\COMMAND.COM 2 2 31" xfId="1240"/>
    <cellStyle name="=C:\WINNT\SYSTEM32\COMMAND.COM 2 2 32" xfId="1241"/>
    <cellStyle name="=C:\WINNT\SYSTEM32\COMMAND.COM 2 2 33" xfId="1242"/>
    <cellStyle name="=C:\WINNT\SYSTEM32\COMMAND.COM 2 2 34" xfId="1243"/>
    <cellStyle name="=C:\WINNT\SYSTEM32\COMMAND.COM 2 2 35" xfId="1244"/>
    <cellStyle name="=C:\WINNT\SYSTEM32\COMMAND.COM 2 2 36" xfId="1245"/>
    <cellStyle name="=C:\WINNT\SYSTEM32\COMMAND.COM 2 2 37" xfId="1246"/>
    <cellStyle name="=C:\WINNT\SYSTEM32\COMMAND.COM 2 2 38" xfId="1247"/>
    <cellStyle name="=C:\WINNT\SYSTEM32\COMMAND.COM 2 2 39" xfId="1248"/>
    <cellStyle name="=C:\WINNT\SYSTEM32\COMMAND.COM 2 2 4" xfId="1249"/>
    <cellStyle name="=C:\WINNT\SYSTEM32\COMMAND.COM 2 2 40" xfId="1250"/>
    <cellStyle name="=C:\WINNT\SYSTEM32\COMMAND.COM 2 2 41" xfId="1251"/>
    <cellStyle name="=C:\WINNT\SYSTEM32\COMMAND.COM 2 2 42" xfId="1252"/>
    <cellStyle name="=C:\WINNT\SYSTEM32\COMMAND.COM 2 2 43" xfId="1253"/>
    <cellStyle name="=C:\WINNT\SYSTEM32\COMMAND.COM 2 2 44" xfId="1254"/>
    <cellStyle name="=C:\WINNT\SYSTEM32\COMMAND.COM 2 2 45" xfId="1255"/>
    <cellStyle name="=C:\WINNT\SYSTEM32\COMMAND.COM 2 2 46" xfId="1256"/>
    <cellStyle name="=C:\WINNT\SYSTEM32\COMMAND.COM 2 2 47" xfId="1257"/>
    <cellStyle name="=C:\WINNT\SYSTEM32\COMMAND.COM 2 2 48" xfId="1258"/>
    <cellStyle name="=C:\WINNT\SYSTEM32\COMMAND.COM 2 2 5" xfId="1259"/>
    <cellStyle name="=C:\WINNT\SYSTEM32\COMMAND.COM 2 2 6" xfId="1260"/>
    <cellStyle name="=C:\WINNT\SYSTEM32\COMMAND.COM 2 2 7" xfId="1261"/>
    <cellStyle name="=C:\WINNT\SYSTEM32\COMMAND.COM 2 2 8" xfId="1262"/>
    <cellStyle name="=C:\WINNT\SYSTEM32\COMMAND.COM 2 2 9" xfId="1263"/>
    <cellStyle name="=C:\WINNT\SYSTEM32\COMMAND.COM 2 2_1.3s Accounting C Costs Scots" xfId="1264"/>
    <cellStyle name="=C:\WINNT\SYSTEM32\COMMAND.COM 2 3" xfId="1265"/>
    <cellStyle name="=C:\WINNT\SYSTEM32\COMMAND.COM 2 4" xfId="1266"/>
    <cellStyle name="=C:\WINNT\SYSTEM32\COMMAND.COM 2 5" xfId="1267"/>
    <cellStyle name="=C:\WINNT\SYSTEM32\COMMAND.COM 2 6" xfId="1268"/>
    <cellStyle name="=C:\WINNT\SYSTEM32\COMMAND.COM 2 7" xfId="1269"/>
    <cellStyle name="=C:\WINNT\SYSTEM32\COMMAND.COM 2 8" xfId="1270"/>
    <cellStyle name="=C:\WINNT\SYSTEM32\COMMAND.COM 2 9" xfId="1271"/>
    <cellStyle name="=C:\WINNT\SYSTEM32\COMMAND.COM 20" xfId="1272"/>
    <cellStyle name="=C:\WINNT\SYSTEM32\COMMAND.COM 21" xfId="1273"/>
    <cellStyle name="=C:\WINNT\SYSTEM32\COMMAND.COM 22" xfId="1274"/>
    <cellStyle name="=C:\WINNT\SYSTEM32\COMMAND.COM 23" xfId="1275"/>
    <cellStyle name="=C:\WINNT\SYSTEM32\COMMAND.COM 24" xfId="1276"/>
    <cellStyle name="=C:\WINNT\SYSTEM32\COMMAND.COM 25" xfId="1277"/>
    <cellStyle name="=C:\WINNT\SYSTEM32\COMMAND.COM 26" xfId="1278"/>
    <cellStyle name="=C:\WINNT\SYSTEM32\COMMAND.COM 27" xfId="1279"/>
    <cellStyle name="=C:\WINNT\SYSTEM32\COMMAND.COM 28" xfId="1280"/>
    <cellStyle name="=C:\WINNT\SYSTEM32\COMMAND.COM 29" xfId="1281"/>
    <cellStyle name="=C:\WINNT\SYSTEM32\COMMAND.COM 3" xfId="1282"/>
    <cellStyle name="=C:\WINNT\SYSTEM32\COMMAND.COM 3 2" xfId="1283"/>
    <cellStyle name="=C:\WINNT\SYSTEM32\COMMAND.COM 3 3" xfId="1284"/>
    <cellStyle name="=C:\WINNT\SYSTEM32\COMMAND.COM 3 4" xfId="1285"/>
    <cellStyle name="=C:\WINNT\SYSTEM32\COMMAND.COM 3 5" xfId="1286"/>
    <cellStyle name="=C:\WINNT\SYSTEM32\COMMAND.COM 3 6" xfId="1287"/>
    <cellStyle name="=C:\WINNT\SYSTEM32\COMMAND.COM 3 7" xfId="1288"/>
    <cellStyle name="=C:\WINNT\SYSTEM32\COMMAND.COM 3 8" xfId="1289"/>
    <cellStyle name="=C:\WINNT\SYSTEM32\COMMAND.COM 30" xfId="1290"/>
    <cellStyle name="=C:\WINNT\SYSTEM32\COMMAND.COM 31" xfId="1291"/>
    <cellStyle name="=C:\WINNT\SYSTEM32\COMMAND.COM 32" xfId="1292"/>
    <cellStyle name="=C:\WINNT\SYSTEM32\COMMAND.COM 33" xfId="1293"/>
    <cellStyle name="=C:\WINNT\SYSTEM32\COMMAND.COM 34" xfId="1294"/>
    <cellStyle name="=C:\WINNT\SYSTEM32\COMMAND.COM 35" xfId="1295"/>
    <cellStyle name="=C:\WINNT\SYSTEM32\COMMAND.COM 36" xfId="1296"/>
    <cellStyle name="=C:\WINNT\SYSTEM32\COMMAND.COM 37" xfId="1297"/>
    <cellStyle name="=C:\WINNT\SYSTEM32\COMMAND.COM 38" xfId="1298"/>
    <cellStyle name="=C:\WINNT\SYSTEM32\COMMAND.COM 39" xfId="1299"/>
    <cellStyle name="=C:\WINNT\SYSTEM32\COMMAND.COM 4" xfId="1300"/>
    <cellStyle name="=C:\WINNT\SYSTEM32\COMMAND.COM 4 10" xfId="1301"/>
    <cellStyle name="=C:\WINNT\SYSTEM32\COMMAND.COM 4 11" xfId="1302"/>
    <cellStyle name="=C:\WINNT\SYSTEM32\COMMAND.COM 4 12" xfId="1303"/>
    <cellStyle name="=C:\WINNT\SYSTEM32\COMMAND.COM 4 13" xfId="1304"/>
    <cellStyle name="=C:\WINNT\SYSTEM32\COMMAND.COM 4 14" xfId="1305"/>
    <cellStyle name="=C:\WINNT\SYSTEM32\COMMAND.COM 4 15" xfId="1306"/>
    <cellStyle name="=C:\WINNT\SYSTEM32\COMMAND.COM 4 16" xfId="1307"/>
    <cellStyle name="=C:\WINNT\SYSTEM32\COMMAND.COM 4 17" xfId="1308"/>
    <cellStyle name="=C:\WINNT\SYSTEM32\COMMAND.COM 4 18" xfId="1309"/>
    <cellStyle name="=C:\WINNT\SYSTEM32\COMMAND.COM 4 19" xfId="1310"/>
    <cellStyle name="=C:\WINNT\SYSTEM32\COMMAND.COM 4 2" xfId="1311"/>
    <cellStyle name="=C:\WINNT\SYSTEM32\COMMAND.COM 4 20" xfId="1312"/>
    <cellStyle name="=C:\WINNT\SYSTEM32\COMMAND.COM 4 21" xfId="1313"/>
    <cellStyle name="=C:\WINNT\SYSTEM32\COMMAND.COM 4 22" xfId="1314"/>
    <cellStyle name="=C:\WINNT\SYSTEM32\COMMAND.COM 4 23" xfId="1315"/>
    <cellStyle name="=C:\WINNT\SYSTEM32\COMMAND.COM 4 24" xfId="1316"/>
    <cellStyle name="=C:\WINNT\SYSTEM32\COMMAND.COM 4 25" xfId="1317"/>
    <cellStyle name="=C:\WINNT\SYSTEM32\COMMAND.COM 4 26" xfId="1318"/>
    <cellStyle name="=C:\WINNT\SYSTEM32\COMMAND.COM 4 27" xfId="1319"/>
    <cellStyle name="=C:\WINNT\SYSTEM32\COMMAND.COM 4 28" xfId="1320"/>
    <cellStyle name="=C:\WINNT\SYSTEM32\COMMAND.COM 4 29" xfId="1321"/>
    <cellStyle name="=C:\WINNT\SYSTEM32\COMMAND.COM 4 3" xfId="1322"/>
    <cellStyle name="=C:\WINNT\SYSTEM32\COMMAND.COM 4 30" xfId="1323"/>
    <cellStyle name="=C:\WINNT\SYSTEM32\COMMAND.COM 4 31" xfId="1324"/>
    <cellStyle name="=C:\WINNT\SYSTEM32\COMMAND.COM 4 32" xfId="1325"/>
    <cellStyle name="=C:\WINNT\SYSTEM32\COMMAND.COM 4 33" xfId="1326"/>
    <cellStyle name="=C:\WINNT\SYSTEM32\COMMAND.COM 4 34" xfId="1327"/>
    <cellStyle name="=C:\WINNT\SYSTEM32\COMMAND.COM 4 35" xfId="1328"/>
    <cellStyle name="=C:\WINNT\SYSTEM32\COMMAND.COM 4 36" xfId="1329"/>
    <cellStyle name="=C:\WINNT\SYSTEM32\COMMAND.COM 4 37" xfId="1330"/>
    <cellStyle name="=C:\WINNT\SYSTEM32\COMMAND.COM 4 38" xfId="1331"/>
    <cellStyle name="=C:\WINNT\SYSTEM32\COMMAND.COM 4 39" xfId="1332"/>
    <cellStyle name="=C:\WINNT\SYSTEM32\COMMAND.COM 4 4" xfId="1333"/>
    <cellStyle name="=C:\WINNT\SYSTEM32\COMMAND.COM 4 40" xfId="1334"/>
    <cellStyle name="=C:\WINNT\SYSTEM32\COMMAND.COM 4 41" xfId="1335"/>
    <cellStyle name="=C:\WINNT\SYSTEM32\COMMAND.COM 4 42" xfId="1336"/>
    <cellStyle name="=C:\WINNT\SYSTEM32\COMMAND.COM 4 43" xfId="1337"/>
    <cellStyle name="=C:\WINNT\SYSTEM32\COMMAND.COM 4 44" xfId="1338"/>
    <cellStyle name="=C:\WINNT\SYSTEM32\COMMAND.COM 4 45" xfId="1339"/>
    <cellStyle name="=C:\WINNT\SYSTEM32\COMMAND.COM 4 46" xfId="1340"/>
    <cellStyle name="=C:\WINNT\SYSTEM32\COMMAND.COM 4 47" xfId="1341"/>
    <cellStyle name="=C:\WINNT\SYSTEM32\COMMAND.COM 4 5" xfId="1342"/>
    <cellStyle name="=C:\WINNT\SYSTEM32\COMMAND.COM 4 6" xfId="1343"/>
    <cellStyle name="=C:\WINNT\SYSTEM32\COMMAND.COM 4 7" xfId="1344"/>
    <cellStyle name="=C:\WINNT\SYSTEM32\COMMAND.COM 4 8" xfId="1345"/>
    <cellStyle name="=C:\WINNT\SYSTEM32\COMMAND.COM 4 9" xfId="1346"/>
    <cellStyle name="=C:\WINNT\SYSTEM32\COMMAND.COM 4_1.3s Accounting C Costs Scots" xfId="1347"/>
    <cellStyle name="=C:\WINNT\SYSTEM32\COMMAND.COM 40" xfId="1348"/>
    <cellStyle name="=C:\WINNT\SYSTEM32\COMMAND.COM 41" xfId="1349"/>
    <cellStyle name="=C:\WINNT\SYSTEM32\COMMAND.COM 42" xfId="1350"/>
    <cellStyle name="=C:\WINNT\SYSTEM32\COMMAND.COM 43" xfId="1351"/>
    <cellStyle name="=C:\WINNT\SYSTEM32\COMMAND.COM 44" xfId="1352"/>
    <cellStyle name="=C:\WINNT\SYSTEM32\COMMAND.COM 45" xfId="1353"/>
    <cellStyle name="=C:\WINNT\SYSTEM32\COMMAND.COM 46" xfId="1354"/>
    <cellStyle name="=C:\WINNT\SYSTEM32\COMMAND.COM 47" xfId="1355"/>
    <cellStyle name="=C:\WINNT\SYSTEM32\COMMAND.COM 48" xfId="1356"/>
    <cellStyle name="=C:\WINNT\SYSTEM32\COMMAND.COM 49" xfId="1357"/>
    <cellStyle name="=C:\WINNT\SYSTEM32\COMMAND.COM 5" xfId="1358"/>
    <cellStyle name="=C:\WINNT\SYSTEM32\COMMAND.COM 5 10" xfId="1359"/>
    <cellStyle name="=C:\WINNT\SYSTEM32\COMMAND.COM 5 10 2" xfId="1360"/>
    <cellStyle name="=C:\WINNT\SYSTEM32\COMMAND.COM 5 10 3" xfId="1361"/>
    <cellStyle name="=C:\WINNT\SYSTEM32\COMMAND.COM 5 10 4" xfId="1362"/>
    <cellStyle name="=C:\WINNT\SYSTEM32\COMMAND.COM 5 10 5" xfId="1363"/>
    <cellStyle name="=C:\WINNT\SYSTEM32\COMMAND.COM 5 10 6" xfId="1364"/>
    <cellStyle name="=C:\WINNT\SYSTEM32\COMMAND.COM 5 10 7" xfId="1365"/>
    <cellStyle name="=C:\WINNT\SYSTEM32\COMMAND.COM 5 10 8" xfId="1366"/>
    <cellStyle name="=C:\WINNT\SYSTEM32\COMMAND.COM 5 11" xfId="1367"/>
    <cellStyle name="=C:\WINNT\SYSTEM32\COMMAND.COM 5 11 2" xfId="1368"/>
    <cellStyle name="=C:\WINNT\SYSTEM32\COMMAND.COM 5 11 3" xfId="1369"/>
    <cellStyle name="=C:\WINNT\SYSTEM32\COMMAND.COM 5 11 4" xfId="1370"/>
    <cellStyle name="=C:\WINNT\SYSTEM32\COMMAND.COM 5 11 5" xfId="1371"/>
    <cellStyle name="=C:\WINNT\SYSTEM32\COMMAND.COM 5 11 6" xfId="1372"/>
    <cellStyle name="=C:\WINNT\SYSTEM32\COMMAND.COM 5 11 7" xfId="1373"/>
    <cellStyle name="=C:\WINNT\SYSTEM32\COMMAND.COM 5 11 8" xfId="1374"/>
    <cellStyle name="=C:\WINNT\SYSTEM32\COMMAND.COM 5 12" xfId="1375"/>
    <cellStyle name="=C:\WINNT\SYSTEM32\COMMAND.COM 5 12 2" xfId="1376"/>
    <cellStyle name="=C:\WINNT\SYSTEM32\COMMAND.COM 5 12 3" xfId="1377"/>
    <cellStyle name="=C:\WINNT\SYSTEM32\COMMAND.COM 5 12 4" xfId="1378"/>
    <cellStyle name="=C:\WINNT\SYSTEM32\COMMAND.COM 5 12 5" xfId="1379"/>
    <cellStyle name="=C:\WINNT\SYSTEM32\COMMAND.COM 5 12 6" xfId="1380"/>
    <cellStyle name="=C:\WINNT\SYSTEM32\COMMAND.COM 5 12 7" xfId="1381"/>
    <cellStyle name="=C:\WINNT\SYSTEM32\COMMAND.COM 5 12 8" xfId="1382"/>
    <cellStyle name="=C:\WINNT\SYSTEM32\COMMAND.COM 5 13" xfId="1383"/>
    <cellStyle name="=C:\WINNT\SYSTEM32\COMMAND.COM 5 13 2" xfId="1384"/>
    <cellStyle name="=C:\WINNT\SYSTEM32\COMMAND.COM 5 13 3" xfId="1385"/>
    <cellStyle name="=C:\WINNT\SYSTEM32\COMMAND.COM 5 13 4" xfId="1386"/>
    <cellStyle name="=C:\WINNT\SYSTEM32\COMMAND.COM 5 13 5" xfId="1387"/>
    <cellStyle name="=C:\WINNT\SYSTEM32\COMMAND.COM 5 13 6" xfId="1388"/>
    <cellStyle name="=C:\WINNT\SYSTEM32\COMMAND.COM 5 13 7" xfId="1389"/>
    <cellStyle name="=C:\WINNT\SYSTEM32\COMMAND.COM 5 13 8" xfId="1390"/>
    <cellStyle name="=C:\WINNT\SYSTEM32\COMMAND.COM 5 14" xfId="1391"/>
    <cellStyle name="=C:\WINNT\SYSTEM32\COMMAND.COM 5 14 2" xfId="1392"/>
    <cellStyle name="=C:\WINNT\SYSTEM32\COMMAND.COM 5 14 3" xfId="1393"/>
    <cellStyle name="=C:\WINNT\SYSTEM32\COMMAND.COM 5 14 4" xfId="1394"/>
    <cellStyle name="=C:\WINNT\SYSTEM32\COMMAND.COM 5 14 5" xfId="1395"/>
    <cellStyle name="=C:\WINNT\SYSTEM32\COMMAND.COM 5 14 6" xfId="1396"/>
    <cellStyle name="=C:\WINNT\SYSTEM32\COMMAND.COM 5 14 7" xfId="1397"/>
    <cellStyle name="=C:\WINNT\SYSTEM32\COMMAND.COM 5 14 8" xfId="1398"/>
    <cellStyle name="=C:\WINNT\SYSTEM32\COMMAND.COM 5 15" xfId="1399"/>
    <cellStyle name="=C:\WINNT\SYSTEM32\COMMAND.COM 5 15 2" xfId="1400"/>
    <cellStyle name="=C:\WINNT\SYSTEM32\COMMAND.COM 5 15 3" xfId="1401"/>
    <cellStyle name="=C:\WINNT\SYSTEM32\COMMAND.COM 5 15 4" xfId="1402"/>
    <cellStyle name="=C:\WINNT\SYSTEM32\COMMAND.COM 5 15 5" xfId="1403"/>
    <cellStyle name="=C:\WINNT\SYSTEM32\COMMAND.COM 5 15 6" xfId="1404"/>
    <cellStyle name="=C:\WINNT\SYSTEM32\COMMAND.COM 5 15 7" xfId="1405"/>
    <cellStyle name="=C:\WINNT\SYSTEM32\COMMAND.COM 5 15 8" xfId="1406"/>
    <cellStyle name="=C:\WINNT\SYSTEM32\COMMAND.COM 5 16" xfId="1407"/>
    <cellStyle name="=C:\WINNT\SYSTEM32\COMMAND.COM 5 16 2" xfId="1408"/>
    <cellStyle name="=C:\WINNT\SYSTEM32\COMMAND.COM 5 16 3" xfId="1409"/>
    <cellStyle name="=C:\WINNT\SYSTEM32\COMMAND.COM 5 16 4" xfId="1410"/>
    <cellStyle name="=C:\WINNT\SYSTEM32\COMMAND.COM 5 16 5" xfId="1411"/>
    <cellStyle name="=C:\WINNT\SYSTEM32\COMMAND.COM 5 16 6" xfId="1412"/>
    <cellStyle name="=C:\WINNT\SYSTEM32\COMMAND.COM 5 16 7" xfId="1413"/>
    <cellStyle name="=C:\WINNT\SYSTEM32\COMMAND.COM 5 16 8" xfId="1414"/>
    <cellStyle name="=C:\WINNT\SYSTEM32\COMMAND.COM 5 17" xfId="1415"/>
    <cellStyle name="=C:\WINNT\SYSTEM32\COMMAND.COM 5 17 2" xfId="1416"/>
    <cellStyle name="=C:\WINNT\SYSTEM32\COMMAND.COM 5 17 3" xfId="1417"/>
    <cellStyle name="=C:\WINNT\SYSTEM32\COMMAND.COM 5 17 4" xfId="1418"/>
    <cellStyle name="=C:\WINNT\SYSTEM32\COMMAND.COM 5 17 5" xfId="1419"/>
    <cellStyle name="=C:\WINNT\SYSTEM32\COMMAND.COM 5 17 6" xfId="1420"/>
    <cellStyle name="=C:\WINNT\SYSTEM32\COMMAND.COM 5 17 7" xfId="1421"/>
    <cellStyle name="=C:\WINNT\SYSTEM32\COMMAND.COM 5 17 8" xfId="1422"/>
    <cellStyle name="=C:\WINNT\SYSTEM32\COMMAND.COM 5 18" xfId="1423"/>
    <cellStyle name="=C:\WINNT\SYSTEM32\COMMAND.COM 5 18 2" xfId="1424"/>
    <cellStyle name="=C:\WINNT\SYSTEM32\COMMAND.COM 5 18 3" xfId="1425"/>
    <cellStyle name="=C:\WINNT\SYSTEM32\COMMAND.COM 5 18 4" xfId="1426"/>
    <cellStyle name="=C:\WINNT\SYSTEM32\COMMAND.COM 5 18 5" xfId="1427"/>
    <cellStyle name="=C:\WINNT\SYSTEM32\COMMAND.COM 5 18 6" xfId="1428"/>
    <cellStyle name="=C:\WINNT\SYSTEM32\COMMAND.COM 5 18 7" xfId="1429"/>
    <cellStyle name="=C:\WINNT\SYSTEM32\COMMAND.COM 5 18 8" xfId="1430"/>
    <cellStyle name="=C:\WINNT\SYSTEM32\COMMAND.COM 5 19" xfId="1431"/>
    <cellStyle name="=C:\WINNT\SYSTEM32\COMMAND.COM 5 19 2" xfId="1432"/>
    <cellStyle name="=C:\WINNT\SYSTEM32\COMMAND.COM 5 19 3" xfId="1433"/>
    <cellStyle name="=C:\WINNT\SYSTEM32\COMMAND.COM 5 19 4" xfId="1434"/>
    <cellStyle name="=C:\WINNT\SYSTEM32\COMMAND.COM 5 19 5" xfId="1435"/>
    <cellStyle name="=C:\WINNT\SYSTEM32\COMMAND.COM 5 19 6" xfId="1436"/>
    <cellStyle name="=C:\WINNT\SYSTEM32\COMMAND.COM 5 19 7" xfId="1437"/>
    <cellStyle name="=C:\WINNT\SYSTEM32\COMMAND.COM 5 19 8" xfId="1438"/>
    <cellStyle name="=C:\WINNT\SYSTEM32\COMMAND.COM 5 2" xfId="1439"/>
    <cellStyle name="=C:\WINNT\SYSTEM32\COMMAND.COM 5 2 2" xfId="1440"/>
    <cellStyle name="=C:\WINNT\SYSTEM32\COMMAND.COM 5 2 3" xfId="1441"/>
    <cellStyle name="=C:\WINNT\SYSTEM32\COMMAND.COM 5 2 4" xfId="1442"/>
    <cellStyle name="=C:\WINNT\SYSTEM32\COMMAND.COM 5 2 5" xfId="1443"/>
    <cellStyle name="=C:\WINNT\SYSTEM32\COMMAND.COM 5 2 6" xfId="1444"/>
    <cellStyle name="=C:\WINNT\SYSTEM32\COMMAND.COM 5 2 7" xfId="1445"/>
    <cellStyle name="=C:\WINNT\SYSTEM32\COMMAND.COM 5 2 8" xfId="1446"/>
    <cellStyle name="=C:\WINNT\SYSTEM32\COMMAND.COM 5 2 9" xfId="1447"/>
    <cellStyle name="=C:\WINNT\SYSTEM32\COMMAND.COM 5 20" xfId="1448"/>
    <cellStyle name="=C:\WINNT\SYSTEM32\COMMAND.COM 5 20 2" xfId="1449"/>
    <cellStyle name="=C:\WINNT\SYSTEM32\COMMAND.COM 5 20 3" xfId="1450"/>
    <cellStyle name="=C:\WINNT\SYSTEM32\COMMAND.COM 5 20 4" xfId="1451"/>
    <cellStyle name="=C:\WINNT\SYSTEM32\COMMAND.COM 5 20 5" xfId="1452"/>
    <cellStyle name="=C:\WINNT\SYSTEM32\COMMAND.COM 5 20 6" xfId="1453"/>
    <cellStyle name="=C:\WINNT\SYSTEM32\COMMAND.COM 5 20 7" xfId="1454"/>
    <cellStyle name="=C:\WINNT\SYSTEM32\COMMAND.COM 5 20 8" xfId="1455"/>
    <cellStyle name="=C:\WINNT\SYSTEM32\COMMAND.COM 5 21" xfId="1456"/>
    <cellStyle name="=C:\WINNT\SYSTEM32\COMMAND.COM 5 21 2" xfId="1457"/>
    <cellStyle name="=C:\WINNT\SYSTEM32\COMMAND.COM 5 21 3" xfId="1458"/>
    <cellStyle name="=C:\WINNT\SYSTEM32\COMMAND.COM 5 21 4" xfId="1459"/>
    <cellStyle name="=C:\WINNT\SYSTEM32\COMMAND.COM 5 21 5" xfId="1460"/>
    <cellStyle name="=C:\WINNT\SYSTEM32\COMMAND.COM 5 21 6" xfId="1461"/>
    <cellStyle name="=C:\WINNT\SYSTEM32\COMMAND.COM 5 21 7" xfId="1462"/>
    <cellStyle name="=C:\WINNT\SYSTEM32\COMMAND.COM 5 21 8" xfId="1463"/>
    <cellStyle name="=C:\WINNT\SYSTEM32\COMMAND.COM 5 22" xfId="1464"/>
    <cellStyle name="=C:\WINNT\SYSTEM32\COMMAND.COM 5 22 2" xfId="1465"/>
    <cellStyle name="=C:\WINNT\SYSTEM32\COMMAND.COM 5 22 3" xfId="1466"/>
    <cellStyle name="=C:\WINNT\SYSTEM32\COMMAND.COM 5 22 4" xfId="1467"/>
    <cellStyle name="=C:\WINNT\SYSTEM32\COMMAND.COM 5 22 5" xfId="1468"/>
    <cellStyle name="=C:\WINNT\SYSTEM32\COMMAND.COM 5 22 6" xfId="1469"/>
    <cellStyle name="=C:\WINNT\SYSTEM32\COMMAND.COM 5 22 7" xfId="1470"/>
    <cellStyle name="=C:\WINNT\SYSTEM32\COMMAND.COM 5 22 8" xfId="1471"/>
    <cellStyle name="=C:\WINNT\SYSTEM32\COMMAND.COM 5 3" xfId="1472"/>
    <cellStyle name="=C:\WINNT\SYSTEM32\COMMAND.COM 5 3 2" xfId="1473"/>
    <cellStyle name="=C:\WINNT\SYSTEM32\COMMAND.COM 5 3 3" xfId="1474"/>
    <cellStyle name="=C:\WINNT\SYSTEM32\COMMAND.COM 5 3 4" xfId="1475"/>
    <cellStyle name="=C:\WINNT\SYSTEM32\COMMAND.COM 5 3 5" xfId="1476"/>
    <cellStyle name="=C:\WINNT\SYSTEM32\COMMAND.COM 5 3 6" xfId="1477"/>
    <cellStyle name="=C:\WINNT\SYSTEM32\COMMAND.COM 5 3 7" xfId="1478"/>
    <cellStyle name="=C:\WINNT\SYSTEM32\COMMAND.COM 5 3 8" xfId="1479"/>
    <cellStyle name="=C:\WINNT\SYSTEM32\COMMAND.COM 5 4" xfId="1480"/>
    <cellStyle name="=C:\WINNT\SYSTEM32\COMMAND.COM 5 4 2" xfId="1481"/>
    <cellStyle name="=C:\WINNT\SYSTEM32\COMMAND.COM 5 4 3" xfId="1482"/>
    <cellStyle name="=C:\WINNT\SYSTEM32\COMMAND.COM 5 4 4" xfId="1483"/>
    <cellStyle name="=C:\WINNT\SYSTEM32\COMMAND.COM 5 4 5" xfId="1484"/>
    <cellStyle name="=C:\WINNT\SYSTEM32\COMMAND.COM 5 4 6" xfId="1485"/>
    <cellStyle name="=C:\WINNT\SYSTEM32\COMMAND.COM 5 4 7" xfId="1486"/>
    <cellStyle name="=C:\WINNT\SYSTEM32\COMMAND.COM 5 4 8" xfId="1487"/>
    <cellStyle name="=C:\WINNT\SYSTEM32\COMMAND.COM 5 5" xfId="1488"/>
    <cellStyle name="=C:\WINNT\SYSTEM32\COMMAND.COM 5 5 2" xfId="1489"/>
    <cellStyle name="=C:\WINNT\SYSTEM32\COMMAND.COM 5 5 3" xfId="1490"/>
    <cellStyle name="=C:\WINNT\SYSTEM32\COMMAND.COM 5 5 4" xfId="1491"/>
    <cellStyle name="=C:\WINNT\SYSTEM32\COMMAND.COM 5 5 5" xfId="1492"/>
    <cellStyle name="=C:\WINNT\SYSTEM32\COMMAND.COM 5 5 6" xfId="1493"/>
    <cellStyle name="=C:\WINNT\SYSTEM32\COMMAND.COM 5 5 7" xfId="1494"/>
    <cellStyle name="=C:\WINNT\SYSTEM32\COMMAND.COM 5 5 8" xfId="1495"/>
    <cellStyle name="=C:\WINNT\SYSTEM32\COMMAND.COM 5 6" xfId="1496"/>
    <cellStyle name="=C:\WINNT\SYSTEM32\COMMAND.COM 5 6 2" xfId="1497"/>
    <cellStyle name="=C:\WINNT\SYSTEM32\COMMAND.COM 5 6 3" xfId="1498"/>
    <cellStyle name="=C:\WINNT\SYSTEM32\COMMAND.COM 5 6 4" xfId="1499"/>
    <cellStyle name="=C:\WINNT\SYSTEM32\COMMAND.COM 5 6 5" xfId="1500"/>
    <cellStyle name="=C:\WINNT\SYSTEM32\COMMAND.COM 5 6 6" xfId="1501"/>
    <cellStyle name="=C:\WINNT\SYSTEM32\COMMAND.COM 5 6 7" xfId="1502"/>
    <cellStyle name="=C:\WINNT\SYSTEM32\COMMAND.COM 5 6 8" xfId="1503"/>
    <cellStyle name="=C:\WINNT\SYSTEM32\COMMAND.COM 5 7" xfId="1504"/>
    <cellStyle name="=C:\WINNT\SYSTEM32\COMMAND.COM 5 7 2" xfId="1505"/>
    <cellStyle name="=C:\WINNT\SYSTEM32\COMMAND.COM 5 7 3" xfId="1506"/>
    <cellStyle name="=C:\WINNT\SYSTEM32\COMMAND.COM 5 7 4" xfId="1507"/>
    <cellStyle name="=C:\WINNT\SYSTEM32\COMMAND.COM 5 7 5" xfId="1508"/>
    <cellStyle name="=C:\WINNT\SYSTEM32\COMMAND.COM 5 7 6" xfId="1509"/>
    <cellStyle name="=C:\WINNT\SYSTEM32\COMMAND.COM 5 7 7" xfId="1510"/>
    <cellStyle name="=C:\WINNT\SYSTEM32\COMMAND.COM 5 7 8" xfId="1511"/>
    <cellStyle name="=C:\WINNT\SYSTEM32\COMMAND.COM 5 8" xfId="1512"/>
    <cellStyle name="=C:\WINNT\SYSTEM32\COMMAND.COM 5 8 2" xfId="1513"/>
    <cellStyle name="=C:\WINNT\SYSTEM32\COMMAND.COM 5 8 3" xfId="1514"/>
    <cellStyle name="=C:\WINNT\SYSTEM32\COMMAND.COM 5 8 4" xfId="1515"/>
    <cellStyle name="=C:\WINNT\SYSTEM32\COMMAND.COM 5 8 5" xfId="1516"/>
    <cellStyle name="=C:\WINNT\SYSTEM32\COMMAND.COM 5 8 6" xfId="1517"/>
    <cellStyle name="=C:\WINNT\SYSTEM32\COMMAND.COM 5 8 7" xfId="1518"/>
    <cellStyle name="=C:\WINNT\SYSTEM32\COMMAND.COM 5 8 8" xfId="1519"/>
    <cellStyle name="=C:\WINNT\SYSTEM32\COMMAND.COM 5 9" xfId="1520"/>
    <cellStyle name="=C:\WINNT\SYSTEM32\COMMAND.COM 5 9 2" xfId="1521"/>
    <cellStyle name="=C:\WINNT\SYSTEM32\COMMAND.COM 5 9 3" xfId="1522"/>
    <cellStyle name="=C:\WINNT\SYSTEM32\COMMAND.COM 5 9 4" xfId="1523"/>
    <cellStyle name="=C:\WINNT\SYSTEM32\COMMAND.COM 5 9 5" xfId="1524"/>
    <cellStyle name="=C:\WINNT\SYSTEM32\COMMAND.COM 5 9 6" xfId="1525"/>
    <cellStyle name="=C:\WINNT\SYSTEM32\COMMAND.COM 5 9 7" xfId="1526"/>
    <cellStyle name="=C:\WINNT\SYSTEM32\COMMAND.COM 5 9 8" xfId="1527"/>
    <cellStyle name="=C:\WINNT\SYSTEM32\COMMAND.COM 50" xfId="1528"/>
    <cellStyle name="=C:\WINNT\SYSTEM32\COMMAND.COM 51" xfId="1529"/>
    <cellStyle name="=C:\WINNT\SYSTEM32\COMMAND.COM 52" xfId="1530"/>
    <cellStyle name="=C:\WINNT\SYSTEM32\COMMAND.COM 53" xfId="1531"/>
    <cellStyle name="=C:\WINNT\SYSTEM32\COMMAND.COM 54" xfId="1532"/>
    <cellStyle name="=C:\WINNT\SYSTEM32\COMMAND.COM 55" xfId="1533"/>
    <cellStyle name="=C:\WINNT\SYSTEM32\COMMAND.COM 56" xfId="1534"/>
    <cellStyle name="=C:\WINNT\SYSTEM32\COMMAND.COM 57" xfId="1535"/>
    <cellStyle name="=C:\WINNT\SYSTEM32\COMMAND.COM 58" xfId="1536"/>
    <cellStyle name="=C:\WINNT\SYSTEM32\COMMAND.COM 59" xfId="1537"/>
    <cellStyle name="=C:\WINNT\SYSTEM32\COMMAND.COM 6" xfId="1538"/>
    <cellStyle name="=C:\WINNT\SYSTEM32\COMMAND.COM 6 2" xfId="1539"/>
    <cellStyle name="=C:\WINNT\SYSTEM32\COMMAND.COM 6 3" xfId="1540"/>
    <cellStyle name="=C:\WINNT\SYSTEM32\COMMAND.COM 60" xfId="1541"/>
    <cellStyle name="=C:\WINNT\SYSTEM32\COMMAND.COM 61" xfId="1542"/>
    <cellStyle name="=C:\WINNT\SYSTEM32\COMMAND.COM 62" xfId="1543"/>
    <cellStyle name="=C:\WINNT\SYSTEM32\COMMAND.COM 63" xfId="1544"/>
    <cellStyle name="=C:\WINNT\SYSTEM32\COMMAND.COM 64" xfId="1545"/>
    <cellStyle name="=C:\WINNT\SYSTEM32\COMMAND.COM 65" xfId="1546"/>
    <cellStyle name="=C:\WINNT\SYSTEM32\COMMAND.COM 66" xfId="1547"/>
    <cellStyle name="=C:\WINNT\SYSTEM32\COMMAND.COM 7" xfId="1548"/>
    <cellStyle name="=C:\WINNT\SYSTEM32\COMMAND.COM 7 2" xfId="1549"/>
    <cellStyle name="=C:\WINNT\SYSTEM32\COMMAND.COM 7 2 2" xfId="1550"/>
    <cellStyle name="=C:\WINNT\SYSTEM32\COMMAND.COM 7 2 2 2" xfId="1551"/>
    <cellStyle name="=C:\WINNT\SYSTEM32\COMMAND.COM 7 2 3" xfId="1552"/>
    <cellStyle name="=C:\WINNT\SYSTEM32\COMMAND.COM 7 3" xfId="1553"/>
    <cellStyle name="=C:\WINNT\SYSTEM32\COMMAND.COM 7 3 2" xfId="1554"/>
    <cellStyle name="=C:\WINNT\SYSTEM32\COMMAND.COM 7 4" xfId="1555"/>
    <cellStyle name="=C:\WINNT\SYSTEM32\COMMAND.COM 8" xfId="1556"/>
    <cellStyle name="=C:\WINNT\SYSTEM32\COMMAND.COM 8 2" xfId="1557"/>
    <cellStyle name="=C:\WINNT\SYSTEM32\COMMAND.COM 9" xfId="1558"/>
    <cellStyle name="=C:\WINNT\SYSTEM32\COMMAND.COM_1.5 Opex Reconciliation NG" xfId="1559"/>
    <cellStyle name="=C:\WINNT35\SYSTEM32\COMMAND.COM" xfId="1560"/>
    <cellStyle name="=C:\WINNT35\SYSTEM32\COMMAND.COM 10" xfId="1561"/>
    <cellStyle name="=C:\WINNT35\SYSTEM32\COMMAND.COM 11" xfId="1562"/>
    <cellStyle name="=C:\WINNT35\SYSTEM32\COMMAND.COM 12" xfId="1563"/>
    <cellStyle name="=C:\WINNT35\SYSTEM32\COMMAND.COM 13" xfId="1564"/>
    <cellStyle name="=C:\WINNT35\SYSTEM32\COMMAND.COM 14" xfId="1565"/>
    <cellStyle name="=C:\WINNT35\SYSTEM32\COMMAND.COM 15" xfId="1566"/>
    <cellStyle name="=C:\WINNT35\SYSTEM32\COMMAND.COM 16" xfId="1567"/>
    <cellStyle name="=C:\WINNT35\SYSTEM32\COMMAND.COM 17" xfId="1568"/>
    <cellStyle name="=C:\WINNT35\SYSTEM32\COMMAND.COM 18" xfId="1569"/>
    <cellStyle name="=C:\WINNT35\SYSTEM32\COMMAND.COM 19" xfId="1570"/>
    <cellStyle name="=C:\WINNT35\SYSTEM32\COMMAND.COM 2" xfId="1571"/>
    <cellStyle name="=C:\WINNT35\SYSTEM32\COMMAND.COM 20" xfId="1572"/>
    <cellStyle name="=C:\WINNT35\SYSTEM32\COMMAND.COM 21" xfId="1573"/>
    <cellStyle name="=C:\WINNT35\SYSTEM32\COMMAND.COM 22" xfId="1574"/>
    <cellStyle name="=C:\WINNT35\SYSTEM32\COMMAND.COM 23" xfId="1575"/>
    <cellStyle name="=C:\WINNT35\SYSTEM32\COMMAND.COM 24" xfId="1576"/>
    <cellStyle name="=C:\WINNT35\SYSTEM32\COMMAND.COM 25" xfId="1577"/>
    <cellStyle name="=C:\WINNT35\SYSTEM32\COMMAND.COM 26" xfId="1578"/>
    <cellStyle name="=C:\WINNT35\SYSTEM32\COMMAND.COM 27" xfId="1579"/>
    <cellStyle name="=C:\WINNT35\SYSTEM32\COMMAND.COM 28" xfId="1580"/>
    <cellStyle name="=C:\WINNT35\SYSTEM32\COMMAND.COM 29" xfId="1581"/>
    <cellStyle name="=C:\WINNT35\SYSTEM32\COMMAND.COM 3" xfId="1582"/>
    <cellStyle name="=C:\WINNT35\SYSTEM32\COMMAND.COM 30" xfId="1583"/>
    <cellStyle name="=C:\WINNT35\SYSTEM32\COMMAND.COM 31" xfId="1584"/>
    <cellStyle name="=C:\WINNT35\SYSTEM32\COMMAND.COM 32" xfId="1585"/>
    <cellStyle name="=C:\WINNT35\SYSTEM32\COMMAND.COM 33" xfId="1586"/>
    <cellStyle name="=C:\WINNT35\SYSTEM32\COMMAND.COM 34" xfId="1587"/>
    <cellStyle name="=C:\WINNT35\SYSTEM32\COMMAND.COM 35" xfId="1588"/>
    <cellStyle name="=C:\WINNT35\SYSTEM32\COMMAND.COM 36" xfId="1589"/>
    <cellStyle name="=C:\WINNT35\SYSTEM32\COMMAND.COM 37" xfId="1590"/>
    <cellStyle name="=C:\WINNT35\SYSTEM32\COMMAND.COM 38" xfId="1591"/>
    <cellStyle name="=C:\WINNT35\SYSTEM32\COMMAND.COM 39" xfId="1592"/>
    <cellStyle name="=C:\WINNT35\SYSTEM32\COMMAND.COM 4" xfId="1593"/>
    <cellStyle name="=C:\WINNT35\SYSTEM32\COMMAND.COM 40" xfId="1594"/>
    <cellStyle name="=C:\WINNT35\SYSTEM32\COMMAND.COM 41" xfId="1595"/>
    <cellStyle name="=C:\WINNT35\SYSTEM32\COMMAND.COM 42" xfId="1596"/>
    <cellStyle name="=C:\WINNT35\SYSTEM32\COMMAND.COM 43" xfId="1597"/>
    <cellStyle name="=C:\WINNT35\SYSTEM32\COMMAND.COM 44" xfId="1598"/>
    <cellStyle name="=C:\WINNT35\SYSTEM32\COMMAND.COM 45" xfId="1599"/>
    <cellStyle name="=C:\WINNT35\SYSTEM32\COMMAND.COM 46" xfId="1600"/>
    <cellStyle name="=C:\WINNT35\SYSTEM32\COMMAND.COM 47" xfId="1601"/>
    <cellStyle name="=C:\WINNT35\SYSTEM32\COMMAND.COM 5" xfId="1602"/>
    <cellStyle name="=C:\WINNT35\SYSTEM32\COMMAND.COM 6" xfId="1603"/>
    <cellStyle name="=C:\WINNT35\SYSTEM32\COMMAND.COM 7" xfId="1604"/>
    <cellStyle name="=C:\WINNT35\SYSTEM32\COMMAND.COM 8" xfId="1605"/>
    <cellStyle name="=C:\WINNT35\SYSTEM32\COMMAND.COM 9" xfId="1606"/>
    <cellStyle name="=C:\WINNT35\SYSTEM32\COMMAND.COM_1.3s Accounting C Costs Scots" xfId="1607"/>
    <cellStyle name="•W_Area" xfId="1608"/>
    <cellStyle name="0" xfId="1609"/>
    <cellStyle name="0,0_x000a__x000a_NA_x000a__x000a_" xfId="1610"/>
    <cellStyle name="0,0_x000a__x000a_NA_x000a__x000a_ 2" xfId="1611"/>
    <cellStyle name="0_Credit Rating Ratios" xfId="1612"/>
    <cellStyle name="0_Pension numbers in 09 Plan  Budget (3)" xfId="1613"/>
    <cellStyle name="0_Vattenfall Euro CY" xfId="1614"/>
    <cellStyle name="0DP" xfId="1615"/>
    <cellStyle name="0DP bold" xfId="1616"/>
    <cellStyle name="0DP_calcSens" xfId="1617"/>
    <cellStyle name="1000s (0)" xfId="1618"/>
    <cellStyle name="12pt Title" xfId="1619"/>
    <cellStyle name="14pt Title" xfId="1620"/>
    <cellStyle name="1DP" xfId="1621"/>
    <cellStyle name="1DP bold" xfId="1622"/>
    <cellStyle name="1DP_Draft RIIO plan presentation template - Customer Opsx Centre V7" xfId="1623"/>
    <cellStyle name="20% - Accent1 2" xfId="1624"/>
    <cellStyle name="20% - Accent1 2 2" xfId="1625"/>
    <cellStyle name="20% - Accent1 2 2 2" xfId="1626"/>
    <cellStyle name="20% - Accent1 2 2 2 2" xfId="1627"/>
    <cellStyle name="20% - Accent1 2 2 2 2 2" xfId="1628"/>
    <cellStyle name="20% - Accent1 2 2 2 3" xfId="1629"/>
    <cellStyle name="20% - Accent1 2 2 2 4" xfId="1630"/>
    <cellStyle name="20% - Accent1 2 2 3" xfId="1631"/>
    <cellStyle name="20% - Accent1 2 2 3 2" xfId="1632"/>
    <cellStyle name="20% - Accent1 2 2 3 2 2" xfId="1633"/>
    <cellStyle name="20% - Accent1 2 2 4" xfId="1634"/>
    <cellStyle name="20% - Accent1 2 2 5" xfId="1635"/>
    <cellStyle name="20% - Accent1 2 2 6" xfId="1636"/>
    <cellStyle name="20% - Accent1 2 2 6 2" xfId="1637"/>
    <cellStyle name="20% - Accent1 2 3" xfId="1638"/>
    <cellStyle name="20% - Accent1 2 4" xfId="1639"/>
    <cellStyle name="20% - Accent1 2 4 2" xfId="1640"/>
    <cellStyle name="20% - Accent1 2 4 2 2" xfId="1641"/>
    <cellStyle name="20% - Accent1 2 5" xfId="1642"/>
    <cellStyle name="20% - Accent1 2 5 2" xfId="1643"/>
    <cellStyle name="20% - Accent1 2 5 2 2" xfId="1644"/>
    <cellStyle name="20% - Accent1 2 6" xfId="1645"/>
    <cellStyle name="20% - Accent1 2 7" xfId="1646"/>
    <cellStyle name="20% - Accent1 3" xfId="1647"/>
    <cellStyle name="20% - Accent1 3 2" xfId="1648"/>
    <cellStyle name="20% - Accent1 3 3" xfId="1649"/>
    <cellStyle name="20% - Accent1 4" xfId="1650"/>
    <cellStyle name="20% - Accent1 5" xfId="1651"/>
    <cellStyle name="20% - Accent1 6" xfId="1652"/>
    <cellStyle name="20% - Accent1 7" xfId="1653"/>
    <cellStyle name="20% - Accent2 2" xfId="1654"/>
    <cellStyle name="20% - Accent2 2 2" xfId="1655"/>
    <cellStyle name="20% - Accent2 2 2 2" xfId="1656"/>
    <cellStyle name="20% - Accent2 2 2 2 2" xfId="1657"/>
    <cellStyle name="20% - Accent2 2 2 2 2 2" xfId="1658"/>
    <cellStyle name="20% - Accent2 2 2 2 3" xfId="1659"/>
    <cellStyle name="20% - Accent2 2 2 2 4" xfId="1660"/>
    <cellStyle name="20% - Accent2 2 2 3" xfId="1661"/>
    <cellStyle name="20% - Accent2 2 2 3 2" xfId="1662"/>
    <cellStyle name="20% - Accent2 2 2 3 2 2" xfId="1663"/>
    <cellStyle name="20% - Accent2 2 2 4" xfId="1664"/>
    <cellStyle name="20% - Accent2 2 2 5" xfId="1665"/>
    <cellStyle name="20% - Accent2 2 2 6" xfId="1666"/>
    <cellStyle name="20% - Accent2 2 2 6 2" xfId="1667"/>
    <cellStyle name="20% - Accent2 2 3" xfId="1668"/>
    <cellStyle name="20% - Accent2 2 4" xfId="1669"/>
    <cellStyle name="20% - Accent2 2 4 2" xfId="1670"/>
    <cellStyle name="20% - Accent2 2 4 2 2" xfId="1671"/>
    <cellStyle name="20% - Accent2 2 5" xfId="1672"/>
    <cellStyle name="20% - Accent2 2 5 2" xfId="1673"/>
    <cellStyle name="20% - Accent2 2 5 2 2" xfId="1674"/>
    <cellStyle name="20% - Accent2 2 6" xfId="1675"/>
    <cellStyle name="20% - Accent2 2 7" xfId="1676"/>
    <cellStyle name="20% - Accent2 3" xfId="1677"/>
    <cellStyle name="20% - Accent2 3 2" xfId="1678"/>
    <cellStyle name="20% - Accent2 3 3" xfId="1679"/>
    <cellStyle name="20% - Accent2 4" xfId="1680"/>
    <cellStyle name="20% - Accent2 5" xfId="1681"/>
    <cellStyle name="20% - Accent2 6" xfId="1682"/>
    <cellStyle name="20% - Accent2 7" xfId="1683"/>
    <cellStyle name="20% - Accent3 2" xfId="1684"/>
    <cellStyle name="20% - Accent3 2 2" xfId="1685"/>
    <cellStyle name="20% - Accent3 2 2 2" xfId="1686"/>
    <cellStyle name="20% - Accent3 2 2 2 2" xfId="1687"/>
    <cellStyle name="20% - Accent3 2 2 2 2 2" xfId="1688"/>
    <cellStyle name="20% - Accent3 2 2 2 3" xfId="1689"/>
    <cellStyle name="20% - Accent3 2 2 2 4" xfId="1690"/>
    <cellStyle name="20% - Accent3 2 2 3" xfId="1691"/>
    <cellStyle name="20% - Accent3 2 2 3 2" xfId="1692"/>
    <cellStyle name="20% - Accent3 2 2 3 2 2" xfId="1693"/>
    <cellStyle name="20% - Accent3 2 2 4" xfId="1694"/>
    <cellStyle name="20% - Accent3 2 2 5" xfId="1695"/>
    <cellStyle name="20% - Accent3 2 2 6" xfId="1696"/>
    <cellStyle name="20% - Accent3 2 2 6 2" xfId="1697"/>
    <cellStyle name="20% - Accent3 2 3" xfId="1698"/>
    <cellStyle name="20% - Accent3 2 4" xfId="1699"/>
    <cellStyle name="20% - Accent3 2 4 2" xfId="1700"/>
    <cellStyle name="20% - Accent3 2 4 2 2" xfId="1701"/>
    <cellStyle name="20% - Accent3 2 5" xfId="1702"/>
    <cellStyle name="20% - Accent3 2 5 2" xfId="1703"/>
    <cellStyle name="20% - Accent3 2 5 2 2" xfId="1704"/>
    <cellStyle name="20% - Accent3 2 6" xfId="1705"/>
    <cellStyle name="20% - Accent3 2 7" xfId="1706"/>
    <cellStyle name="20% - Accent3 3" xfId="1707"/>
    <cellStyle name="20% - Accent3 3 2" xfId="1708"/>
    <cellStyle name="20% - Accent3 3 3" xfId="1709"/>
    <cellStyle name="20% - Accent3 4" xfId="1710"/>
    <cellStyle name="20% - Accent3 5" xfId="1711"/>
    <cellStyle name="20% - Accent3 6" xfId="1712"/>
    <cellStyle name="20% - Accent3 7" xfId="1713"/>
    <cellStyle name="20% - Accent4 2" xfId="1714"/>
    <cellStyle name="20% - Accent4 2 2" xfId="1715"/>
    <cellStyle name="20% - Accent4 2 2 2" xfId="1716"/>
    <cellStyle name="20% - Accent4 2 2 2 2" xfId="1717"/>
    <cellStyle name="20% - Accent4 2 2 2 2 2" xfId="1718"/>
    <cellStyle name="20% - Accent4 2 2 2 3" xfId="1719"/>
    <cellStyle name="20% - Accent4 2 2 2 4" xfId="1720"/>
    <cellStyle name="20% - Accent4 2 2 3" xfId="1721"/>
    <cellStyle name="20% - Accent4 2 2 3 2" xfId="1722"/>
    <cellStyle name="20% - Accent4 2 2 3 2 2" xfId="1723"/>
    <cellStyle name="20% - Accent4 2 2 4" xfId="1724"/>
    <cellStyle name="20% - Accent4 2 2 5" xfId="1725"/>
    <cellStyle name="20% - Accent4 2 2 6" xfId="1726"/>
    <cellStyle name="20% - Accent4 2 2 6 2" xfId="1727"/>
    <cellStyle name="20% - Accent4 2 3" xfId="1728"/>
    <cellStyle name="20% - Accent4 2 4" xfId="1729"/>
    <cellStyle name="20% - Accent4 2 4 2" xfId="1730"/>
    <cellStyle name="20% - Accent4 2 4 2 2" xfId="1731"/>
    <cellStyle name="20% - Accent4 2 5" xfId="1732"/>
    <cellStyle name="20% - Accent4 2 5 2" xfId="1733"/>
    <cellStyle name="20% - Accent4 2 5 2 2" xfId="1734"/>
    <cellStyle name="20% - Accent4 2 6" xfId="1735"/>
    <cellStyle name="20% - Accent4 2 7" xfId="1736"/>
    <cellStyle name="20% - Accent4 3" xfId="1737"/>
    <cellStyle name="20% - Accent4 3 2" xfId="1738"/>
    <cellStyle name="20% - Accent4 3 3" xfId="1739"/>
    <cellStyle name="20% - Accent4 4" xfId="1740"/>
    <cellStyle name="20% - Accent4 5" xfId="1741"/>
    <cellStyle name="20% - Accent4 6" xfId="1742"/>
    <cellStyle name="20% - Accent4 7" xfId="1743"/>
    <cellStyle name="20% - Accent5 2" xfId="1744"/>
    <cellStyle name="20% - Accent5 2 2" xfId="1745"/>
    <cellStyle name="20% - Accent5 2 2 2" xfId="1746"/>
    <cellStyle name="20% - Accent5 2 2 2 2" xfId="1747"/>
    <cellStyle name="20% - Accent5 2 2 2 2 2" xfId="1748"/>
    <cellStyle name="20% - Accent5 2 2 2 3" xfId="1749"/>
    <cellStyle name="20% - Accent5 2 2 2 4" xfId="1750"/>
    <cellStyle name="20% - Accent5 2 2 3" xfId="1751"/>
    <cellStyle name="20% - Accent5 2 2 3 2" xfId="1752"/>
    <cellStyle name="20% - Accent5 2 2 3 2 2" xfId="1753"/>
    <cellStyle name="20% - Accent5 2 2 4" xfId="1754"/>
    <cellStyle name="20% - Accent5 2 2 5" xfId="1755"/>
    <cellStyle name="20% - Accent5 2 2 6" xfId="1756"/>
    <cellStyle name="20% - Accent5 2 2 6 2" xfId="1757"/>
    <cellStyle name="20% - Accent5 2 3" xfId="1758"/>
    <cellStyle name="20% - Accent5 2 4" xfId="1759"/>
    <cellStyle name="20% - Accent5 2 4 2" xfId="1760"/>
    <cellStyle name="20% - Accent5 2 4 2 2" xfId="1761"/>
    <cellStyle name="20% - Accent5 2 5" xfId="1762"/>
    <cellStyle name="20% - Accent5 2 5 2" xfId="1763"/>
    <cellStyle name="20% - Accent5 2 5 2 2" xfId="1764"/>
    <cellStyle name="20% - Accent5 2 6" xfId="1765"/>
    <cellStyle name="20% - Accent5 2 7" xfId="1766"/>
    <cellStyle name="20% - Accent5 3" xfId="1767"/>
    <cellStyle name="20% - Accent5 3 2" xfId="1768"/>
    <cellStyle name="20% - Accent5 3 3" xfId="1769"/>
    <cellStyle name="20% - Accent5 4" xfId="1770"/>
    <cellStyle name="20% - Accent5 5" xfId="1771"/>
    <cellStyle name="20% - Accent5 6" xfId="1772"/>
    <cellStyle name="20% - Accent5 7" xfId="1773"/>
    <cellStyle name="20% - Accent6 2" xfId="1774"/>
    <cellStyle name="20% - Accent6 2 2" xfId="1775"/>
    <cellStyle name="20% - Accent6 2 2 2" xfId="1776"/>
    <cellStyle name="20% - Accent6 2 2 2 2" xfId="1777"/>
    <cellStyle name="20% - Accent6 2 2 2 2 2" xfId="1778"/>
    <cellStyle name="20% - Accent6 2 2 2 3" xfId="1779"/>
    <cellStyle name="20% - Accent6 2 2 2 4" xfId="1780"/>
    <cellStyle name="20% - Accent6 2 2 3" xfId="1781"/>
    <cellStyle name="20% - Accent6 2 2 3 2" xfId="1782"/>
    <cellStyle name="20% - Accent6 2 2 3 2 2" xfId="1783"/>
    <cellStyle name="20% - Accent6 2 2 4" xfId="1784"/>
    <cellStyle name="20% - Accent6 2 2 5" xfId="1785"/>
    <cellStyle name="20% - Accent6 2 2 6" xfId="1786"/>
    <cellStyle name="20% - Accent6 2 2 6 2" xfId="1787"/>
    <cellStyle name="20% - Accent6 2 3" xfId="1788"/>
    <cellStyle name="20% - Accent6 2 4" xfId="1789"/>
    <cellStyle name="20% - Accent6 2 4 2" xfId="1790"/>
    <cellStyle name="20% - Accent6 2 4 2 2" xfId="1791"/>
    <cellStyle name="20% - Accent6 2 5" xfId="1792"/>
    <cellStyle name="20% - Accent6 2 5 2" xfId="1793"/>
    <cellStyle name="20% - Accent6 2 5 2 2" xfId="1794"/>
    <cellStyle name="20% - Accent6 2 6" xfId="1795"/>
    <cellStyle name="20% - Accent6 2 7" xfId="1796"/>
    <cellStyle name="20% - Accent6 3" xfId="1797"/>
    <cellStyle name="20% - Accent6 3 2" xfId="1798"/>
    <cellStyle name="20% - Accent6 3 3" xfId="1799"/>
    <cellStyle name="20% - Accent6 4" xfId="1800"/>
    <cellStyle name="20% - Accent6 5" xfId="1801"/>
    <cellStyle name="20% - Accent6 6" xfId="1802"/>
    <cellStyle name="20% - Accent6 7" xfId="1803"/>
    <cellStyle name="2DP" xfId="1804"/>
    <cellStyle name="2DP bold" xfId="1805"/>
    <cellStyle name="2DP_Draft RIIO plan presentation template - Customer Opsx Centre V7" xfId="1806"/>
    <cellStyle name="3 V1.00 CORE IMAGE (5200MM3.100 08/01/97)_x000d__x000a__x000d__x000a_[windows]_x000d__x000a_;spooler=yes_x000d__x000a_load=nw" xfId="1807"/>
    <cellStyle name="3 V1.00 CORE IMAGE (5200MM3.100 08/01/97)_x000d__x000a__x000d__x000a_[windows]_x000d__x000a_;spooler=yes_x000d__x000a_load=nw 2" xfId="1808"/>
    <cellStyle name="3DP" xfId="1809"/>
    <cellStyle name="40% - Accent1 2" xfId="31"/>
    <cellStyle name="40% - Accent1 2 10" xfId="1810"/>
    <cellStyle name="40% - Accent1 2 10 2" xfId="4477"/>
    <cellStyle name="40% - Accent1 2 10 2 2" xfId="4849"/>
    <cellStyle name="40% - Accent1 2 10 2 2 2" xfId="8592"/>
    <cellStyle name="40% - Accent1 2 10 2 2 2 2" xfId="15140"/>
    <cellStyle name="40% - Accent1 2 10 2 2 3" xfId="6873"/>
    <cellStyle name="40% - Accent1 2 10 2 2 3 2" xfId="13559"/>
    <cellStyle name="40% - Accent1 2 10 2 2 4" xfId="11774"/>
    <cellStyle name="40% - Accent1 2 10 2 3" xfId="5304"/>
    <cellStyle name="40% - Accent1 2 10 2 3 2" xfId="9047"/>
    <cellStyle name="40% - Accent1 2 10 2 3 2 2" xfId="15591"/>
    <cellStyle name="40% - Accent1 2 10 2 3 3" xfId="7328"/>
    <cellStyle name="40% - Accent1 2 10 2 3 3 2" xfId="14010"/>
    <cellStyle name="40% - Accent1 2 10 2 3 4" xfId="12225"/>
    <cellStyle name="40% - Accent1 2 10 2 4" xfId="5742"/>
    <cellStyle name="40% - Accent1 2 10 2 4 2" xfId="9483"/>
    <cellStyle name="40% - Accent1 2 10 2 4 2 2" xfId="15985"/>
    <cellStyle name="40% - Accent1 2 10 2 4 3" xfId="7764"/>
    <cellStyle name="40% - Accent1 2 10 2 4 3 2" xfId="14404"/>
    <cellStyle name="40% - Accent1 2 10 2 4 4" xfId="12635"/>
    <cellStyle name="40% - Accent1 2 10 2 5" xfId="9845"/>
    <cellStyle name="40% - Accent1 2 10 2 5 2" xfId="16326"/>
    <cellStyle name="40% - Accent1 2 10 2 6" xfId="8241"/>
    <cellStyle name="40% - Accent1 2 10 2 6 2" xfId="14798"/>
    <cellStyle name="40% - Accent1 2 10 2 7" xfId="6522"/>
    <cellStyle name="40% - Accent1 2 10 2 7 2" xfId="13212"/>
    <cellStyle name="40% - Accent1 2 10 2 8" xfId="11422"/>
    <cellStyle name="40% - Accent1 2 10 3" xfId="4831"/>
    <cellStyle name="40% - Accent1 2 10 3 2" xfId="8574"/>
    <cellStyle name="40% - Accent1 2 10 3 2 2" xfId="15122"/>
    <cellStyle name="40% - Accent1 2 10 3 3" xfId="6855"/>
    <cellStyle name="40% - Accent1 2 10 3 3 2" xfId="13541"/>
    <cellStyle name="40% - Accent1 2 10 3 4" xfId="11756"/>
    <cellStyle name="40% - Accent1 2 10 4" xfId="5107"/>
    <cellStyle name="40% - Accent1 2 10 4 2" xfId="8850"/>
    <cellStyle name="40% - Accent1 2 10 4 2 2" xfId="15394"/>
    <cellStyle name="40% - Accent1 2 10 4 3" xfId="7131"/>
    <cellStyle name="40% - Accent1 2 10 4 3 2" xfId="13813"/>
    <cellStyle name="40% - Accent1 2 10 4 4" xfId="12028"/>
    <cellStyle name="40% - Accent1 2 10 5" xfId="5540"/>
    <cellStyle name="40% - Accent1 2 10 5 2" xfId="9281"/>
    <cellStyle name="40% - Accent1 2 10 5 2 2" xfId="15788"/>
    <cellStyle name="40% - Accent1 2 10 5 3" xfId="7562"/>
    <cellStyle name="40% - Accent1 2 10 5 3 2" xfId="14207"/>
    <cellStyle name="40% - Accent1 2 10 5 4" xfId="12433"/>
    <cellStyle name="40% - Accent1 2 10 6" xfId="9822"/>
    <cellStyle name="40% - Accent1 2 10 6 2" xfId="16308"/>
    <cellStyle name="40% - Accent1 2 10 7" xfId="7970"/>
    <cellStyle name="40% - Accent1 2 10 7 2" xfId="14601"/>
    <cellStyle name="40% - Accent1 2 10 8" xfId="6117"/>
    <cellStyle name="40% - Accent1 2 10 8 2" xfId="12842"/>
    <cellStyle name="40% - Accent1 2 10 9" xfId="10276"/>
    <cellStyle name="40% - Accent1 2 11" xfId="4466"/>
    <cellStyle name="40% - Accent1 2 11 2" xfId="4850"/>
    <cellStyle name="40% - Accent1 2 11 2 2" xfId="8593"/>
    <cellStyle name="40% - Accent1 2 11 2 2 2" xfId="15141"/>
    <cellStyle name="40% - Accent1 2 11 2 3" xfId="6874"/>
    <cellStyle name="40% - Accent1 2 11 2 3 2" xfId="13560"/>
    <cellStyle name="40% - Accent1 2 11 2 4" xfId="11775"/>
    <cellStyle name="40% - Accent1 2 11 3" xfId="5294"/>
    <cellStyle name="40% - Accent1 2 11 3 2" xfId="9037"/>
    <cellStyle name="40% - Accent1 2 11 3 2 2" xfId="15581"/>
    <cellStyle name="40% - Accent1 2 11 3 3" xfId="7318"/>
    <cellStyle name="40% - Accent1 2 11 3 3 2" xfId="14000"/>
    <cellStyle name="40% - Accent1 2 11 3 4" xfId="12215"/>
    <cellStyle name="40% - Accent1 2 11 4" xfId="5732"/>
    <cellStyle name="40% - Accent1 2 11 4 2" xfId="9473"/>
    <cellStyle name="40% - Accent1 2 11 4 2 2" xfId="15975"/>
    <cellStyle name="40% - Accent1 2 11 4 3" xfId="7754"/>
    <cellStyle name="40% - Accent1 2 11 4 3 2" xfId="14394"/>
    <cellStyle name="40% - Accent1 2 11 4 4" xfId="12625"/>
    <cellStyle name="40% - Accent1 2 11 5" xfId="9846"/>
    <cellStyle name="40% - Accent1 2 11 5 2" xfId="16327"/>
    <cellStyle name="40% - Accent1 2 11 6" xfId="8231"/>
    <cellStyle name="40% - Accent1 2 11 6 2" xfId="14788"/>
    <cellStyle name="40% - Accent1 2 11 7" xfId="6512"/>
    <cellStyle name="40% - Accent1 2 11 7 2" xfId="13202"/>
    <cellStyle name="40% - Accent1 2 11 8" xfId="11411"/>
    <cellStyle name="40% - Accent1 2 12" xfId="4672"/>
    <cellStyle name="40% - Accent1 2 12 2" xfId="8418"/>
    <cellStyle name="40% - Accent1 2 12 2 2" xfId="14970"/>
    <cellStyle name="40% - Accent1 2 12 3" xfId="6699"/>
    <cellStyle name="40% - Accent1 2 12 3 2" xfId="13389"/>
    <cellStyle name="40% - Accent1 2 12 4" xfId="11603"/>
    <cellStyle name="40% - Accent1 2 13" xfId="5093"/>
    <cellStyle name="40% - Accent1 2 13 2" xfId="8836"/>
    <cellStyle name="40% - Accent1 2 13 2 2" xfId="15384"/>
    <cellStyle name="40% - Accent1 2 13 3" xfId="7117"/>
    <cellStyle name="40% - Accent1 2 13 3 2" xfId="13803"/>
    <cellStyle name="40% - Accent1 2 13 4" xfId="12018"/>
    <cellStyle name="40% - Accent1 2 14" xfId="5530"/>
    <cellStyle name="40% - Accent1 2 14 2" xfId="9271"/>
    <cellStyle name="40% - Accent1 2 14 2 2" xfId="15778"/>
    <cellStyle name="40% - Accent1 2 14 3" xfId="7552"/>
    <cellStyle name="40% - Accent1 2 14 3 2" xfId="14197"/>
    <cellStyle name="40% - Accent1 2 14 4" xfId="12423"/>
    <cellStyle name="40% - Accent1 2 15" xfId="9652"/>
    <cellStyle name="40% - Accent1 2 15 2" xfId="16154"/>
    <cellStyle name="40% - Accent1 2 16" xfId="7951"/>
    <cellStyle name="40% - Accent1 2 16 2" xfId="14591"/>
    <cellStyle name="40% - Accent1 2 17" xfId="5930"/>
    <cellStyle name="40% - Accent1 2 17 2" xfId="12823"/>
    <cellStyle name="40% - Accent1 2 18" xfId="10265"/>
    <cellStyle name="40% - Accent1 2 2" xfId="1811"/>
    <cellStyle name="40% - Accent1 2 2 2" xfId="1812"/>
    <cellStyle name="40% - Accent1 2 2 2 2" xfId="1813"/>
    <cellStyle name="40% - Accent1 2 2 2 2 2" xfId="1814"/>
    <cellStyle name="40% - Accent1 2 2 2 3" xfId="1815"/>
    <cellStyle name="40% - Accent1 2 2 2 4" xfId="1816"/>
    <cellStyle name="40% - Accent1 2 2 3" xfId="1817"/>
    <cellStyle name="40% - Accent1 2 2 3 2" xfId="1818"/>
    <cellStyle name="40% - Accent1 2 2 3 2 2" xfId="1819"/>
    <cellStyle name="40% - Accent1 2 2 4" xfId="1820"/>
    <cellStyle name="40% - Accent1 2 2 5" xfId="1821"/>
    <cellStyle name="40% - Accent1 2 2 6" xfId="1822"/>
    <cellStyle name="40% - Accent1 2 2 6 2" xfId="1823"/>
    <cellStyle name="40% - Accent1 2 3" xfId="1824"/>
    <cellStyle name="40% - Accent1 2 4" xfId="1825"/>
    <cellStyle name="40% - Accent1 2 4 2" xfId="1826"/>
    <cellStyle name="40% - Accent1 2 4 2 2" xfId="1827"/>
    <cellStyle name="40% - Accent1 2 5" xfId="1828"/>
    <cellStyle name="40% - Accent1 2 5 2" xfId="1829"/>
    <cellStyle name="40% - Accent1 2 5 2 2" xfId="1830"/>
    <cellStyle name="40% - Accent1 2 6" xfId="1831"/>
    <cellStyle name="40% - Accent1 2 7" xfId="1832"/>
    <cellStyle name="40% - Accent1 2 8" xfId="1833"/>
    <cellStyle name="40% - Accent1 2 9" xfId="1834"/>
    <cellStyle name="40% - Accent1 2 9 2" xfId="4478"/>
    <cellStyle name="40% - Accent1 2 9 2 2" xfId="4851"/>
    <cellStyle name="40% - Accent1 2 9 2 2 2" xfId="8594"/>
    <cellStyle name="40% - Accent1 2 9 2 2 2 2" xfId="15142"/>
    <cellStyle name="40% - Accent1 2 9 2 2 3" xfId="6875"/>
    <cellStyle name="40% - Accent1 2 9 2 2 3 2" xfId="13561"/>
    <cellStyle name="40% - Accent1 2 9 2 2 4" xfId="11776"/>
    <cellStyle name="40% - Accent1 2 9 2 3" xfId="5305"/>
    <cellStyle name="40% - Accent1 2 9 2 3 2" xfId="9048"/>
    <cellStyle name="40% - Accent1 2 9 2 3 2 2" xfId="15592"/>
    <cellStyle name="40% - Accent1 2 9 2 3 3" xfId="7329"/>
    <cellStyle name="40% - Accent1 2 9 2 3 3 2" xfId="14011"/>
    <cellStyle name="40% - Accent1 2 9 2 3 4" xfId="12226"/>
    <cellStyle name="40% - Accent1 2 9 2 4" xfId="5743"/>
    <cellStyle name="40% - Accent1 2 9 2 4 2" xfId="9484"/>
    <cellStyle name="40% - Accent1 2 9 2 4 2 2" xfId="15986"/>
    <cellStyle name="40% - Accent1 2 9 2 4 3" xfId="7765"/>
    <cellStyle name="40% - Accent1 2 9 2 4 3 2" xfId="14405"/>
    <cellStyle name="40% - Accent1 2 9 2 4 4" xfId="12636"/>
    <cellStyle name="40% - Accent1 2 9 2 5" xfId="9847"/>
    <cellStyle name="40% - Accent1 2 9 2 5 2" xfId="16328"/>
    <cellStyle name="40% - Accent1 2 9 2 6" xfId="8242"/>
    <cellStyle name="40% - Accent1 2 9 2 6 2" xfId="14799"/>
    <cellStyle name="40% - Accent1 2 9 2 7" xfId="6523"/>
    <cellStyle name="40% - Accent1 2 9 2 7 2" xfId="13213"/>
    <cellStyle name="40% - Accent1 2 9 2 8" xfId="11423"/>
    <cellStyle name="40% - Accent1 2 9 3" xfId="4763"/>
    <cellStyle name="40% - Accent1 2 9 3 2" xfId="8506"/>
    <cellStyle name="40% - Accent1 2 9 3 2 2" xfId="15058"/>
    <cellStyle name="40% - Accent1 2 9 3 3" xfId="6787"/>
    <cellStyle name="40% - Accent1 2 9 3 3 2" xfId="13477"/>
    <cellStyle name="40% - Accent1 2 9 3 4" xfId="11692"/>
    <cellStyle name="40% - Accent1 2 9 4" xfId="5108"/>
    <cellStyle name="40% - Accent1 2 9 4 2" xfId="8851"/>
    <cellStyle name="40% - Accent1 2 9 4 2 2" xfId="15395"/>
    <cellStyle name="40% - Accent1 2 9 4 3" xfId="7132"/>
    <cellStyle name="40% - Accent1 2 9 4 3 2" xfId="13814"/>
    <cellStyle name="40% - Accent1 2 9 4 4" xfId="12029"/>
    <cellStyle name="40% - Accent1 2 9 5" xfId="5541"/>
    <cellStyle name="40% - Accent1 2 9 5 2" xfId="9282"/>
    <cellStyle name="40% - Accent1 2 9 5 2 2" xfId="15789"/>
    <cellStyle name="40% - Accent1 2 9 5 3" xfId="7563"/>
    <cellStyle name="40% - Accent1 2 9 5 3 2" xfId="14208"/>
    <cellStyle name="40% - Accent1 2 9 5 4" xfId="12434"/>
    <cellStyle name="40% - Accent1 2 9 6" xfId="9753"/>
    <cellStyle name="40% - Accent1 2 9 6 2" xfId="16244"/>
    <cellStyle name="40% - Accent1 2 9 7" xfId="7971"/>
    <cellStyle name="40% - Accent1 2 9 7 2" xfId="14602"/>
    <cellStyle name="40% - Accent1 2 9 8" xfId="6118"/>
    <cellStyle name="40% - Accent1 2 9 8 2" xfId="12843"/>
    <cellStyle name="40% - Accent1 2 9 9" xfId="10277"/>
    <cellStyle name="40% - Accent1 3" xfId="1835"/>
    <cellStyle name="40% - Accent1 3 2" xfId="1836"/>
    <cellStyle name="40% - Accent1 3 3" xfId="1837"/>
    <cellStyle name="40% - Accent1 4" xfId="1838"/>
    <cellStyle name="40% - Accent1 5" xfId="1839"/>
    <cellStyle name="40% - Accent1 6" xfId="1840"/>
    <cellStyle name="40% - Accent1 7" xfId="1841"/>
    <cellStyle name="40% - Accent2 2" xfId="1842"/>
    <cellStyle name="40% - Accent2 2 2" xfId="1843"/>
    <cellStyle name="40% - Accent2 2 2 2" xfId="1844"/>
    <cellStyle name="40% - Accent2 2 2 2 2" xfId="1845"/>
    <cellStyle name="40% - Accent2 2 2 2 2 2" xfId="1846"/>
    <cellStyle name="40% - Accent2 2 2 2 3" xfId="1847"/>
    <cellStyle name="40% - Accent2 2 2 2 4" xfId="1848"/>
    <cellStyle name="40% - Accent2 2 2 3" xfId="1849"/>
    <cellStyle name="40% - Accent2 2 2 3 2" xfId="1850"/>
    <cellStyle name="40% - Accent2 2 2 3 2 2" xfId="1851"/>
    <cellStyle name="40% - Accent2 2 2 4" xfId="1852"/>
    <cellStyle name="40% - Accent2 2 2 5" xfId="1853"/>
    <cellStyle name="40% - Accent2 2 2 6" xfId="1854"/>
    <cellStyle name="40% - Accent2 2 2 6 2" xfId="1855"/>
    <cellStyle name="40% - Accent2 2 3" xfId="1856"/>
    <cellStyle name="40% - Accent2 2 4" xfId="1857"/>
    <cellStyle name="40% - Accent2 2 4 2" xfId="1858"/>
    <cellStyle name="40% - Accent2 2 4 2 2" xfId="1859"/>
    <cellStyle name="40% - Accent2 2 5" xfId="1860"/>
    <cellStyle name="40% - Accent2 2 5 2" xfId="1861"/>
    <cellStyle name="40% - Accent2 2 5 2 2" xfId="1862"/>
    <cellStyle name="40% - Accent2 2 6" xfId="1863"/>
    <cellStyle name="40% - Accent2 2 7" xfId="1864"/>
    <cellStyle name="40% - Accent2 3" xfId="1865"/>
    <cellStyle name="40% - Accent2 3 2" xfId="1866"/>
    <cellStyle name="40% - Accent2 3 3" xfId="1867"/>
    <cellStyle name="40% - Accent2 4" xfId="1868"/>
    <cellStyle name="40% - Accent2 5" xfId="1869"/>
    <cellStyle name="40% - Accent2 6" xfId="1870"/>
    <cellStyle name="40% - Accent2 7" xfId="1871"/>
    <cellStyle name="40% - Accent3 2" xfId="1872"/>
    <cellStyle name="40% - Accent3 2 2" xfId="1873"/>
    <cellStyle name="40% - Accent3 2 2 2" xfId="1874"/>
    <cellStyle name="40% - Accent3 2 2 2 2" xfId="1875"/>
    <cellStyle name="40% - Accent3 2 2 2 2 2" xfId="1876"/>
    <cellStyle name="40% - Accent3 2 2 2 3" xfId="1877"/>
    <cellStyle name="40% - Accent3 2 2 2 4" xfId="1878"/>
    <cellStyle name="40% - Accent3 2 2 3" xfId="1879"/>
    <cellStyle name="40% - Accent3 2 2 3 2" xfId="1880"/>
    <cellStyle name="40% - Accent3 2 2 3 2 2" xfId="1881"/>
    <cellStyle name="40% - Accent3 2 2 4" xfId="1882"/>
    <cellStyle name="40% - Accent3 2 2 5" xfId="1883"/>
    <cellStyle name="40% - Accent3 2 2 6" xfId="1884"/>
    <cellStyle name="40% - Accent3 2 2 6 2" xfId="1885"/>
    <cellStyle name="40% - Accent3 2 3" xfId="1886"/>
    <cellStyle name="40% - Accent3 2 4" xfId="1887"/>
    <cellStyle name="40% - Accent3 2 4 2" xfId="1888"/>
    <cellStyle name="40% - Accent3 2 4 2 2" xfId="1889"/>
    <cellStyle name="40% - Accent3 2 5" xfId="1890"/>
    <cellStyle name="40% - Accent3 2 5 2" xfId="1891"/>
    <cellStyle name="40% - Accent3 2 5 2 2" xfId="1892"/>
    <cellStyle name="40% - Accent3 2 6" xfId="1893"/>
    <cellStyle name="40% - Accent3 2 7" xfId="1894"/>
    <cellStyle name="40% - Accent3 3" xfId="1895"/>
    <cellStyle name="40% - Accent3 3 2" xfId="1896"/>
    <cellStyle name="40% - Accent3 3 3" xfId="1897"/>
    <cellStyle name="40% - Accent3 4" xfId="1898"/>
    <cellStyle name="40% - Accent3 5" xfId="1899"/>
    <cellStyle name="40% - Accent3 6" xfId="1900"/>
    <cellStyle name="40% - Accent3 7" xfId="1901"/>
    <cellStyle name="40% - Accent4 2" xfId="1902"/>
    <cellStyle name="40% - Accent4 2 2" xfId="1903"/>
    <cellStyle name="40% - Accent4 2 2 2" xfId="1904"/>
    <cellStyle name="40% - Accent4 2 2 2 2" xfId="1905"/>
    <cellStyle name="40% - Accent4 2 2 2 2 2" xfId="1906"/>
    <cellStyle name="40% - Accent4 2 2 2 3" xfId="1907"/>
    <cellStyle name="40% - Accent4 2 2 2 4" xfId="1908"/>
    <cellStyle name="40% - Accent4 2 2 3" xfId="1909"/>
    <cellStyle name="40% - Accent4 2 2 3 2" xfId="1910"/>
    <cellStyle name="40% - Accent4 2 2 3 2 2" xfId="1911"/>
    <cellStyle name="40% - Accent4 2 2 4" xfId="1912"/>
    <cellStyle name="40% - Accent4 2 2 5" xfId="1913"/>
    <cellStyle name="40% - Accent4 2 2 6" xfId="1914"/>
    <cellStyle name="40% - Accent4 2 2 6 2" xfId="1915"/>
    <cellStyle name="40% - Accent4 2 3" xfId="1916"/>
    <cellStyle name="40% - Accent4 2 4" xfId="1917"/>
    <cellStyle name="40% - Accent4 2 4 2" xfId="1918"/>
    <cellStyle name="40% - Accent4 2 4 2 2" xfId="1919"/>
    <cellStyle name="40% - Accent4 2 5" xfId="1920"/>
    <cellStyle name="40% - Accent4 2 5 2" xfId="1921"/>
    <cellStyle name="40% - Accent4 2 5 2 2" xfId="1922"/>
    <cellStyle name="40% - Accent4 2 6" xfId="1923"/>
    <cellStyle name="40% - Accent4 2 7" xfId="1924"/>
    <cellStyle name="40% - Accent4 3" xfId="1925"/>
    <cellStyle name="40% - Accent4 3 2" xfId="1926"/>
    <cellStyle name="40% - Accent4 3 3" xfId="1927"/>
    <cellStyle name="40% - Accent4 4" xfId="1928"/>
    <cellStyle name="40% - Accent4 5" xfId="1929"/>
    <cellStyle name="40% - Accent4 6" xfId="1930"/>
    <cellStyle name="40% - Accent4 7" xfId="1931"/>
    <cellStyle name="40% - Accent5 2" xfId="1932"/>
    <cellStyle name="40% - Accent5 2 2" xfId="1933"/>
    <cellStyle name="40% - Accent5 2 2 2" xfId="1934"/>
    <cellStyle name="40% - Accent5 2 2 2 2" xfId="1935"/>
    <cellStyle name="40% - Accent5 2 2 2 2 2" xfId="1936"/>
    <cellStyle name="40% - Accent5 2 2 2 3" xfId="1937"/>
    <cellStyle name="40% - Accent5 2 2 2 4" xfId="1938"/>
    <cellStyle name="40% - Accent5 2 2 3" xfId="1939"/>
    <cellStyle name="40% - Accent5 2 2 3 2" xfId="1940"/>
    <cellStyle name="40% - Accent5 2 2 3 2 2" xfId="1941"/>
    <cellStyle name="40% - Accent5 2 2 4" xfId="1942"/>
    <cellStyle name="40% - Accent5 2 2 5" xfId="1943"/>
    <cellStyle name="40% - Accent5 2 2 6" xfId="1944"/>
    <cellStyle name="40% - Accent5 2 2 6 2" xfId="1945"/>
    <cellStyle name="40% - Accent5 2 3" xfId="1946"/>
    <cellStyle name="40% - Accent5 2 4" xfId="1947"/>
    <cellStyle name="40% - Accent5 2 4 2" xfId="1948"/>
    <cellStyle name="40% - Accent5 2 4 2 2" xfId="1949"/>
    <cellStyle name="40% - Accent5 2 5" xfId="1950"/>
    <cellStyle name="40% - Accent5 2 5 2" xfId="1951"/>
    <cellStyle name="40% - Accent5 2 5 2 2" xfId="1952"/>
    <cellStyle name="40% - Accent5 2 6" xfId="1953"/>
    <cellStyle name="40% - Accent5 2 7" xfId="1954"/>
    <cellStyle name="40% - Accent5 3" xfId="1955"/>
    <cellStyle name="40% - Accent5 3 2" xfId="1956"/>
    <cellStyle name="40% - Accent5 3 3" xfId="1957"/>
    <cellStyle name="40% - Accent5 4" xfId="1958"/>
    <cellStyle name="40% - Accent5 5" xfId="1959"/>
    <cellStyle name="40% - Accent5 6" xfId="1960"/>
    <cellStyle name="40% - Accent5 7" xfId="1961"/>
    <cellStyle name="40% - Accent6 2" xfId="1962"/>
    <cellStyle name="40% - Accent6 2 2" xfId="1963"/>
    <cellStyle name="40% - Accent6 2 2 2" xfId="1964"/>
    <cellStyle name="40% - Accent6 2 2 2 2" xfId="1965"/>
    <cellStyle name="40% - Accent6 2 2 2 2 2" xfId="1966"/>
    <cellStyle name="40% - Accent6 2 2 2 3" xfId="1967"/>
    <cellStyle name="40% - Accent6 2 2 2 4" xfId="1968"/>
    <cellStyle name="40% - Accent6 2 2 3" xfId="1969"/>
    <cellStyle name="40% - Accent6 2 2 3 2" xfId="1970"/>
    <cellStyle name="40% - Accent6 2 2 3 2 2" xfId="1971"/>
    <cellStyle name="40% - Accent6 2 2 4" xfId="1972"/>
    <cellStyle name="40% - Accent6 2 2 5" xfId="1973"/>
    <cellStyle name="40% - Accent6 2 2 6" xfId="1974"/>
    <cellStyle name="40% - Accent6 2 2 6 2" xfId="1975"/>
    <cellStyle name="40% - Accent6 2 3" xfId="1976"/>
    <cellStyle name="40% - Accent6 2 4" xfId="1977"/>
    <cellStyle name="40% - Accent6 2 4 2" xfId="1978"/>
    <cellStyle name="40% - Accent6 2 4 2 2" xfId="1979"/>
    <cellStyle name="40% - Accent6 2 5" xfId="1980"/>
    <cellStyle name="40% - Accent6 2 5 2" xfId="1981"/>
    <cellStyle name="40% - Accent6 2 5 2 2" xfId="1982"/>
    <cellStyle name="40% - Accent6 2 6" xfId="1983"/>
    <cellStyle name="40% - Accent6 2 7" xfId="1984"/>
    <cellStyle name="40% - Accent6 3" xfId="1985"/>
    <cellStyle name="40% - Accent6 3 2" xfId="1986"/>
    <cellStyle name="40% - Accent6 3 3" xfId="1987"/>
    <cellStyle name="40% - Accent6 4" xfId="1988"/>
    <cellStyle name="40% - Accent6 5" xfId="1989"/>
    <cellStyle name="40% - Accent6 6" xfId="1990"/>
    <cellStyle name="40% - Accent6 7" xfId="1991"/>
    <cellStyle name="60% - Accent1 2" xfId="1992"/>
    <cellStyle name="60% - Accent1 2 2" xfId="1993"/>
    <cellStyle name="60% - Accent1 2 2 2" xfId="1994"/>
    <cellStyle name="60% - Accent1 2 2 2 2" xfId="1995"/>
    <cellStyle name="60% - Accent1 2 2 2 2 2" xfId="1996"/>
    <cellStyle name="60% - Accent1 2 2 2 3" xfId="1997"/>
    <cellStyle name="60% - Accent1 2 2 2 4" xfId="1998"/>
    <cellStyle name="60% - Accent1 2 2 3" xfId="1999"/>
    <cellStyle name="60% - Accent1 2 2 3 2" xfId="2000"/>
    <cellStyle name="60% - Accent1 2 2 3 2 2" xfId="2001"/>
    <cellStyle name="60% - Accent1 2 2 4" xfId="2002"/>
    <cellStyle name="60% - Accent1 2 2 5" xfId="2003"/>
    <cellStyle name="60% - Accent1 2 2 6" xfId="2004"/>
    <cellStyle name="60% - Accent1 2 2 6 2" xfId="2005"/>
    <cellStyle name="60% - Accent1 2 3" xfId="2006"/>
    <cellStyle name="60% - Accent1 2 4" xfId="2007"/>
    <cellStyle name="60% - Accent1 2 4 2" xfId="2008"/>
    <cellStyle name="60% - Accent1 2 4 2 2" xfId="2009"/>
    <cellStyle name="60% - Accent1 2 5" xfId="2010"/>
    <cellStyle name="60% - Accent1 2 5 2" xfId="2011"/>
    <cellStyle name="60% - Accent1 2 5 2 2" xfId="2012"/>
    <cellStyle name="60% - Accent1 2 6" xfId="2013"/>
    <cellStyle name="60% - Accent1 2 7" xfId="2014"/>
    <cellStyle name="60% - Accent1 3" xfId="2015"/>
    <cellStyle name="60% - Accent1 3 2" xfId="2016"/>
    <cellStyle name="60% - Accent1 3 3" xfId="2017"/>
    <cellStyle name="60% - Accent1 4" xfId="2018"/>
    <cellStyle name="60% - Accent1 5" xfId="2019"/>
    <cellStyle name="60% - Accent1 6" xfId="2020"/>
    <cellStyle name="60% - Accent1 7" xfId="2021"/>
    <cellStyle name="60% - Accent2 2" xfId="2022"/>
    <cellStyle name="60% - Accent2 2 2" xfId="2023"/>
    <cellStyle name="60% - Accent2 2 2 2" xfId="2024"/>
    <cellStyle name="60% - Accent2 2 2 2 2" xfId="2025"/>
    <cellStyle name="60% - Accent2 2 2 2 2 2" xfId="2026"/>
    <cellStyle name="60% - Accent2 2 2 2 3" xfId="2027"/>
    <cellStyle name="60% - Accent2 2 2 2 4" xfId="2028"/>
    <cellStyle name="60% - Accent2 2 2 3" xfId="2029"/>
    <cellStyle name="60% - Accent2 2 2 3 2" xfId="2030"/>
    <cellStyle name="60% - Accent2 2 2 3 2 2" xfId="2031"/>
    <cellStyle name="60% - Accent2 2 2 4" xfId="2032"/>
    <cellStyle name="60% - Accent2 2 2 5" xfId="2033"/>
    <cellStyle name="60% - Accent2 2 2 6" xfId="2034"/>
    <cellStyle name="60% - Accent2 2 2 6 2" xfId="2035"/>
    <cellStyle name="60% - Accent2 2 3" xfId="2036"/>
    <cellStyle name="60% - Accent2 2 4" xfId="2037"/>
    <cellStyle name="60% - Accent2 2 4 2" xfId="2038"/>
    <cellStyle name="60% - Accent2 2 4 2 2" xfId="2039"/>
    <cellStyle name="60% - Accent2 2 5" xfId="2040"/>
    <cellStyle name="60% - Accent2 2 5 2" xfId="2041"/>
    <cellStyle name="60% - Accent2 2 5 2 2" xfId="2042"/>
    <cellStyle name="60% - Accent2 2 6" xfId="2043"/>
    <cellStyle name="60% - Accent2 2 7" xfId="2044"/>
    <cellStyle name="60% - Accent2 3" xfId="2045"/>
    <cellStyle name="60% - Accent2 3 2" xfId="2046"/>
    <cellStyle name="60% - Accent2 3 3" xfId="2047"/>
    <cellStyle name="60% - Accent2 4" xfId="2048"/>
    <cellStyle name="60% - Accent2 5" xfId="2049"/>
    <cellStyle name="60% - Accent2 6" xfId="2050"/>
    <cellStyle name="60% - Accent2 7" xfId="2051"/>
    <cellStyle name="60% - Accent3 2" xfId="2052"/>
    <cellStyle name="60% - Accent3 2 2" xfId="2053"/>
    <cellStyle name="60% - Accent3 2 2 2" xfId="2054"/>
    <cellStyle name="60% - Accent3 2 2 2 2" xfId="2055"/>
    <cellStyle name="60% - Accent3 2 2 2 2 2" xfId="2056"/>
    <cellStyle name="60% - Accent3 2 2 2 3" xfId="2057"/>
    <cellStyle name="60% - Accent3 2 2 2 4" xfId="2058"/>
    <cellStyle name="60% - Accent3 2 2 3" xfId="2059"/>
    <cellStyle name="60% - Accent3 2 2 3 2" xfId="2060"/>
    <cellStyle name="60% - Accent3 2 2 3 2 2" xfId="2061"/>
    <cellStyle name="60% - Accent3 2 2 4" xfId="2062"/>
    <cellStyle name="60% - Accent3 2 2 5" xfId="2063"/>
    <cellStyle name="60% - Accent3 2 2 6" xfId="2064"/>
    <cellStyle name="60% - Accent3 2 2 6 2" xfId="2065"/>
    <cellStyle name="60% - Accent3 2 3" xfId="2066"/>
    <cellStyle name="60% - Accent3 2 4" xfId="2067"/>
    <cellStyle name="60% - Accent3 2 4 2" xfId="2068"/>
    <cellStyle name="60% - Accent3 2 4 2 2" xfId="2069"/>
    <cellStyle name="60% - Accent3 2 5" xfId="2070"/>
    <cellStyle name="60% - Accent3 2 5 2" xfId="2071"/>
    <cellStyle name="60% - Accent3 2 5 2 2" xfId="2072"/>
    <cellStyle name="60% - Accent3 2 6" xfId="2073"/>
    <cellStyle name="60% - Accent3 2 7" xfId="2074"/>
    <cellStyle name="60% - Accent3 3" xfId="2075"/>
    <cellStyle name="60% - Accent3 3 2" xfId="2076"/>
    <cellStyle name="60% - Accent3 3 3" xfId="2077"/>
    <cellStyle name="60% - Accent3 4" xfId="2078"/>
    <cellStyle name="60% - Accent3 5" xfId="2079"/>
    <cellStyle name="60% - Accent3 6" xfId="2080"/>
    <cellStyle name="60% - Accent3 7" xfId="2081"/>
    <cellStyle name="60% - Accent4 2" xfId="2082"/>
    <cellStyle name="60% - Accent4 2 2" xfId="2083"/>
    <cellStyle name="60% - Accent4 2 2 2" xfId="2084"/>
    <cellStyle name="60% - Accent4 2 2 2 2" xfId="2085"/>
    <cellStyle name="60% - Accent4 2 2 2 2 2" xfId="2086"/>
    <cellStyle name="60% - Accent4 2 2 2 3" xfId="2087"/>
    <cellStyle name="60% - Accent4 2 2 2 4" xfId="2088"/>
    <cellStyle name="60% - Accent4 2 2 3" xfId="2089"/>
    <cellStyle name="60% - Accent4 2 2 3 2" xfId="2090"/>
    <cellStyle name="60% - Accent4 2 2 3 2 2" xfId="2091"/>
    <cellStyle name="60% - Accent4 2 2 4" xfId="2092"/>
    <cellStyle name="60% - Accent4 2 2 5" xfId="2093"/>
    <cellStyle name="60% - Accent4 2 2 6" xfId="2094"/>
    <cellStyle name="60% - Accent4 2 2 6 2" xfId="2095"/>
    <cellStyle name="60% - Accent4 2 3" xfId="2096"/>
    <cellStyle name="60% - Accent4 2 4" xfId="2097"/>
    <cellStyle name="60% - Accent4 2 4 2" xfId="2098"/>
    <cellStyle name="60% - Accent4 2 4 2 2" xfId="2099"/>
    <cellStyle name="60% - Accent4 2 5" xfId="2100"/>
    <cellStyle name="60% - Accent4 2 5 2" xfId="2101"/>
    <cellStyle name="60% - Accent4 2 5 2 2" xfId="2102"/>
    <cellStyle name="60% - Accent4 2 6" xfId="2103"/>
    <cellStyle name="60% - Accent4 2 7" xfId="2104"/>
    <cellStyle name="60% - Accent4 3" xfId="2105"/>
    <cellStyle name="60% - Accent4 3 2" xfId="2106"/>
    <cellStyle name="60% - Accent4 3 3" xfId="2107"/>
    <cellStyle name="60% - Accent4 4" xfId="2108"/>
    <cellStyle name="60% - Accent4 5" xfId="2109"/>
    <cellStyle name="60% - Accent4 6" xfId="2110"/>
    <cellStyle name="60% - Accent4 7" xfId="2111"/>
    <cellStyle name="60% - Accent5 2" xfId="2112"/>
    <cellStyle name="60% - Accent5 2 2" xfId="2113"/>
    <cellStyle name="60% - Accent5 2 2 2" xfId="2114"/>
    <cellStyle name="60% - Accent5 2 2 2 2" xfId="2115"/>
    <cellStyle name="60% - Accent5 2 2 2 2 2" xfId="2116"/>
    <cellStyle name="60% - Accent5 2 2 2 3" xfId="2117"/>
    <cellStyle name="60% - Accent5 2 2 2 4" xfId="2118"/>
    <cellStyle name="60% - Accent5 2 2 3" xfId="2119"/>
    <cellStyle name="60% - Accent5 2 2 3 2" xfId="2120"/>
    <cellStyle name="60% - Accent5 2 2 3 2 2" xfId="2121"/>
    <cellStyle name="60% - Accent5 2 2 4" xfId="2122"/>
    <cellStyle name="60% - Accent5 2 2 5" xfId="2123"/>
    <cellStyle name="60% - Accent5 2 2 6" xfId="2124"/>
    <cellStyle name="60% - Accent5 2 2 6 2" xfId="2125"/>
    <cellStyle name="60% - Accent5 2 3" xfId="2126"/>
    <cellStyle name="60% - Accent5 2 4" xfId="2127"/>
    <cellStyle name="60% - Accent5 2 4 2" xfId="2128"/>
    <cellStyle name="60% - Accent5 2 4 2 2" xfId="2129"/>
    <cellStyle name="60% - Accent5 2 5" xfId="2130"/>
    <cellStyle name="60% - Accent5 2 5 2" xfId="2131"/>
    <cellStyle name="60% - Accent5 2 5 2 2" xfId="2132"/>
    <cellStyle name="60% - Accent5 2 6" xfId="2133"/>
    <cellStyle name="60% - Accent5 2 7" xfId="2134"/>
    <cellStyle name="60% - Accent5 3" xfId="2135"/>
    <cellStyle name="60% - Accent5 3 2" xfId="2136"/>
    <cellStyle name="60% - Accent5 3 3" xfId="2137"/>
    <cellStyle name="60% - Accent5 4" xfId="2138"/>
    <cellStyle name="60% - Accent5 5" xfId="2139"/>
    <cellStyle name="60% - Accent5 6" xfId="2140"/>
    <cellStyle name="60% - Accent5 7" xfId="2141"/>
    <cellStyle name="60% - Accent6 2" xfId="2142"/>
    <cellStyle name="60% - Accent6 2 2" xfId="2143"/>
    <cellStyle name="60% - Accent6 2 2 2" xfId="2144"/>
    <cellStyle name="60% - Accent6 2 2 2 2" xfId="2145"/>
    <cellStyle name="60% - Accent6 2 2 2 2 2" xfId="2146"/>
    <cellStyle name="60% - Accent6 2 2 2 3" xfId="2147"/>
    <cellStyle name="60% - Accent6 2 2 2 4" xfId="2148"/>
    <cellStyle name="60% - Accent6 2 2 3" xfId="2149"/>
    <cellStyle name="60% - Accent6 2 2 3 2" xfId="2150"/>
    <cellStyle name="60% - Accent6 2 2 3 2 2" xfId="2151"/>
    <cellStyle name="60% - Accent6 2 2 4" xfId="2152"/>
    <cellStyle name="60% - Accent6 2 2 5" xfId="2153"/>
    <cellStyle name="60% - Accent6 2 2 6" xfId="2154"/>
    <cellStyle name="60% - Accent6 2 2 6 2" xfId="2155"/>
    <cellStyle name="60% - Accent6 2 3" xfId="2156"/>
    <cellStyle name="60% - Accent6 2 4" xfId="2157"/>
    <cellStyle name="60% - Accent6 2 4 2" xfId="2158"/>
    <cellStyle name="60% - Accent6 2 4 2 2" xfId="2159"/>
    <cellStyle name="60% - Accent6 2 5" xfId="2160"/>
    <cellStyle name="60% - Accent6 2 5 2" xfId="2161"/>
    <cellStyle name="60% - Accent6 2 5 2 2" xfId="2162"/>
    <cellStyle name="60% - Accent6 2 6" xfId="2163"/>
    <cellStyle name="60% - Accent6 2 7" xfId="2164"/>
    <cellStyle name="60% - Accent6 3" xfId="2165"/>
    <cellStyle name="60% - Accent6 3 2" xfId="2166"/>
    <cellStyle name="60% - Accent6 3 3" xfId="2167"/>
    <cellStyle name="60% - Accent6 4" xfId="2168"/>
    <cellStyle name="60% - Accent6 5" xfId="2169"/>
    <cellStyle name="60% - Accent6 6" xfId="2170"/>
    <cellStyle name="60% - Accent6 7" xfId="2171"/>
    <cellStyle name="aaa" xfId="2172"/>
    <cellStyle name="Accent1 - 20%" xfId="2173"/>
    <cellStyle name="Accent1 - 20% 2" xfId="2174"/>
    <cellStyle name="Accent1 - 40%" xfId="2175"/>
    <cellStyle name="Accent1 - 40% 2" xfId="2176"/>
    <cellStyle name="Accent1 - 60%" xfId="2177"/>
    <cellStyle name="Accent1 2" xfId="2178"/>
    <cellStyle name="Accent1 2 2" xfId="2179"/>
    <cellStyle name="Accent1 2 2 2" xfId="2180"/>
    <cellStyle name="Accent1 2 2 2 2" xfId="2181"/>
    <cellStyle name="Accent1 2 2 2 2 2" xfId="2182"/>
    <cellStyle name="Accent1 2 2 2 3" xfId="2183"/>
    <cellStyle name="Accent1 2 2 2 4" xfId="2184"/>
    <cellStyle name="Accent1 2 2 3" xfId="2185"/>
    <cellStyle name="Accent1 2 2 3 2" xfId="2186"/>
    <cellStyle name="Accent1 2 2 3 2 2" xfId="2187"/>
    <cellStyle name="Accent1 2 2 4" xfId="2188"/>
    <cellStyle name="Accent1 2 2 5" xfId="2189"/>
    <cellStyle name="Accent1 2 2 6" xfId="2190"/>
    <cellStyle name="Accent1 2 2 6 2" xfId="2191"/>
    <cellStyle name="Accent1 2 3" xfId="2192"/>
    <cellStyle name="Accent1 2 4" xfId="2193"/>
    <cellStyle name="Accent1 2 4 2" xfId="2194"/>
    <cellStyle name="Accent1 2 4 2 2" xfId="2195"/>
    <cellStyle name="Accent1 2 5" xfId="2196"/>
    <cellStyle name="Accent1 2 5 2" xfId="2197"/>
    <cellStyle name="Accent1 2 5 2 2" xfId="2198"/>
    <cellStyle name="Accent1 2 6" xfId="2199"/>
    <cellStyle name="Accent1 2 7" xfId="2200"/>
    <cellStyle name="Accent1 3" xfId="2201"/>
    <cellStyle name="Accent1 3 2" xfId="2202"/>
    <cellStyle name="Accent1 3 3" xfId="2203"/>
    <cellStyle name="Accent1 4" xfId="2204"/>
    <cellStyle name="Accent1 5" xfId="2205"/>
    <cellStyle name="Accent1 6" xfId="2206"/>
    <cellStyle name="Accent1 7" xfId="2207"/>
    <cellStyle name="Accent2 - 20%" xfId="2208"/>
    <cellStyle name="Accent2 - 20% 2" xfId="2209"/>
    <cellStyle name="Accent2 - 40%" xfId="2210"/>
    <cellStyle name="Accent2 - 40% 2" xfId="2211"/>
    <cellStyle name="Accent2 - 60%" xfId="2212"/>
    <cellStyle name="Accent2 2" xfId="2213"/>
    <cellStyle name="Accent2 2 2" xfId="2214"/>
    <cellStyle name="Accent2 2 2 2" xfId="2215"/>
    <cellStyle name="Accent2 2 2 2 2" xfId="2216"/>
    <cellStyle name="Accent2 2 2 2 2 2" xfId="2217"/>
    <cellStyle name="Accent2 2 2 2 3" xfId="2218"/>
    <cellStyle name="Accent2 2 2 2 4" xfId="2219"/>
    <cellStyle name="Accent2 2 2 3" xfId="2220"/>
    <cellStyle name="Accent2 2 2 3 2" xfId="2221"/>
    <cellStyle name="Accent2 2 2 3 2 2" xfId="2222"/>
    <cellStyle name="Accent2 2 2 4" xfId="2223"/>
    <cellStyle name="Accent2 2 2 5" xfId="2224"/>
    <cellStyle name="Accent2 2 2 6" xfId="2225"/>
    <cellStyle name="Accent2 2 2 6 2" xfId="2226"/>
    <cellStyle name="Accent2 2 3" xfId="2227"/>
    <cellStyle name="Accent2 2 4" xfId="2228"/>
    <cellStyle name="Accent2 2 4 2" xfId="2229"/>
    <cellStyle name="Accent2 2 4 2 2" xfId="2230"/>
    <cellStyle name="Accent2 2 5" xfId="2231"/>
    <cellStyle name="Accent2 2 5 2" xfId="2232"/>
    <cellStyle name="Accent2 2 5 2 2" xfId="2233"/>
    <cellStyle name="Accent2 2 6" xfId="2234"/>
    <cellStyle name="Accent2 2 7" xfId="2235"/>
    <cellStyle name="Accent2 3" xfId="2236"/>
    <cellStyle name="Accent2 3 2" xfId="2237"/>
    <cellStyle name="Accent2 3 3" xfId="2238"/>
    <cellStyle name="Accent2 4" xfId="2239"/>
    <cellStyle name="Accent2 5" xfId="2240"/>
    <cellStyle name="Accent2 6" xfId="2241"/>
    <cellStyle name="Accent2 7" xfId="2242"/>
    <cellStyle name="Accent3 - 20%" xfId="2243"/>
    <cellStyle name="Accent3 - 20% 2" xfId="2244"/>
    <cellStyle name="Accent3 - 40%" xfId="2245"/>
    <cellStyle name="Accent3 - 40% 2" xfId="2246"/>
    <cellStyle name="Accent3 - 60%" xfId="2247"/>
    <cellStyle name="Accent3 2" xfId="2248"/>
    <cellStyle name="Accent3 2 2" xfId="2249"/>
    <cellStyle name="Accent3 2 2 2" xfId="2250"/>
    <cellStyle name="Accent3 2 2 2 2" xfId="2251"/>
    <cellStyle name="Accent3 2 2 2 2 2" xfId="2252"/>
    <cellStyle name="Accent3 2 2 2 3" xfId="2253"/>
    <cellStyle name="Accent3 2 2 2 4" xfId="2254"/>
    <cellStyle name="Accent3 2 2 3" xfId="2255"/>
    <cellStyle name="Accent3 2 2 3 2" xfId="2256"/>
    <cellStyle name="Accent3 2 2 3 2 2" xfId="2257"/>
    <cellStyle name="Accent3 2 2 4" xfId="2258"/>
    <cellStyle name="Accent3 2 2 5" xfId="2259"/>
    <cellStyle name="Accent3 2 2 6" xfId="2260"/>
    <cellStyle name="Accent3 2 2 6 2" xfId="2261"/>
    <cellStyle name="Accent3 2 3" xfId="2262"/>
    <cellStyle name="Accent3 2 4" xfId="2263"/>
    <cellStyle name="Accent3 2 4 2" xfId="2264"/>
    <cellStyle name="Accent3 2 4 2 2" xfId="2265"/>
    <cellStyle name="Accent3 2 5" xfId="2266"/>
    <cellStyle name="Accent3 2 5 2" xfId="2267"/>
    <cellStyle name="Accent3 2 5 2 2" xfId="2268"/>
    <cellStyle name="Accent3 2 6" xfId="2269"/>
    <cellStyle name="Accent3 2 7" xfId="2270"/>
    <cellStyle name="Accent3 3" xfId="2271"/>
    <cellStyle name="Accent3 3 2" xfId="2272"/>
    <cellStyle name="Accent3 3 3" xfId="2273"/>
    <cellStyle name="Accent3 4" xfId="2274"/>
    <cellStyle name="Accent3 5" xfId="2275"/>
    <cellStyle name="Accent3 6" xfId="2276"/>
    <cellStyle name="Accent3 7" xfId="2277"/>
    <cellStyle name="Accent4 - 20%" xfId="2278"/>
    <cellStyle name="Accent4 - 20% 2" xfId="2279"/>
    <cellStyle name="Accent4 - 40%" xfId="2280"/>
    <cellStyle name="Accent4 - 40% 2" xfId="2281"/>
    <cellStyle name="Accent4 - 60%" xfId="2282"/>
    <cellStyle name="Accent4 2" xfId="2283"/>
    <cellStyle name="Accent4 2 2" xfId="2284"/>
    <cellStyle name="Accent4 2 2 2" xfId="2285"/>
    <cellStyle name="Accent4 2 2 2 2" xfId="2286"/>
    <cellStyle name="Accent4 2 2 2 2 2" xfId="2287"/>
    <cellStyle name="Accent4 2 2 2 3" xfId="2288"/>
    <cellStyle name="Accent4 2 2 2 4" xfId="2289"/>
    <cellStyle name="Accent4 2 2 3" xfId="2290"/>
    <cellStyle name="Accent4 2 2 3 2" xfId="2291"/>
    <cellStyle name="Accent4 2 2 3 2 2" xfId="2292"/>
    <cellStyle name="Accent4 2 2 4" xfId="2293"/>
    <cellStyle name="Accent4 2 2 5" xfId="2294"/>
    <cellStyle name="Accent4 2 2 6" xfId="2295"/>
    <cellStyle name="Accent4 2 2 6 2" xfId="2296"/>
    <cellStyle name="Accent4 2 3" xfId="2297"/>
    <cellStyle name="Accent4 2 4" xfId="2298"/>
    <cellStyle name="Accent4 2 4 2" xfId="2299"/>
    <cellStyle name="Accent4 2 4 2 2" xfId="2300"/>
    <cellStyle name="Accent4 2 5" xfId="2301"/>
    <cellStyle name="Accent4 2 5 2" xfId="2302"/>
    <cellStyle name="Accent4 2 5 2 2" xfId="2303"/>
    <cellStyle name="Accent4 2 6" xfId="2304"/>
    <cellStyle name="Accent4 2 7" xfId="2305"/>
    <cellStyle name="Accent4 3" xfId="2306"/>
    <cellStyle name="Accent4 3 2" xfId="2307"/>
    <cellStyle name="Accent4 3 3" xfId="2308"/>
    <cellStyle name="Accent4 4" xfId="2309"/>
    <cellStyle name="Accent4 5" xfId="2310"/>
    <cellStyle name="Accent4 6" xfId="2311"/>
    <cellStyle name="Accent4 7" xfId="2312"/>
    <cellStyle name="Accent5 - 20%" xfId="2313"/>
    <cellStyle name="Accent5 - 20% 2" xfId="2314"/>
    <cellStyle name="Accent5 - 40%" xfId="2315"/>
    <cellStyle name="Accent5 - 40% 2" xfId="2316"/>
    <cellStyle name="Accent5 - 60%" xfId="2317"/>
    <cellStyle name="Accent5 2" xfId="2318"/>
    <cellStyle name="Accent5 2 2" xfId="2319"/>
    <cellStyle name="Accent5 2 2 2" xfId="2320"/>
    <cellStyle name="Accent5 2 2 2 2" xfId="2321"/>
    <cellStyle name="Accent5 2 2 2 2 2" xfId="2322"/>
    <cellStyle name="Accent5 2 2 2 3" xfId="2323"/>
    <cellStyle name="Accent5 2 2 2 4" xfId="2324"/>
    <cellStyle name="Accent5 2 2 3" xfId="2325"/>
    <cellStyle name="Accent5 2 2 3 2" xfId="2326"/>
    <cellStyle name="Accent5 2 2 3 2 2" xfId="2327"/>
    <cellStyle name="Accent5 2 2 4" xfId="2328"/>
    <cellStyle name="Accent5 2 2 5" xfId="2329"/>
    <cellStyle name="Accent5 2 2 6" xfId="2330"/>
    <cellStyle name="Accent5 2 2 6 2" xfId="2331"/>
    <cellStyle name="Accent5 2 3" xfId="2332"/>
    <cellStyle name="Accent5 2 4" xfId="2333"/>
    <cellStyle name="Accent5 2 4 2" xfId="2334"/>
    <cellStyle name="Accent5 2 4 2 2" xfId="2335"/>
    <cellStyle name="Accent5 2 5" xfId="2336"/>
    <cellStyle name="Accent5 2 5 2" xfId="2337"/>
    <cellStyle name="Accent5 2 5 2 2" xfId="2338"/>
    <cellStyle name="Accent5 2 6" xfId="2339"/>
    <cellStyle name="Accent5 2 7" xfId="2340"/>
    <cellStyle name="Accent5 3" xfId="2341"/>
    <cellStyle name="Accent5 3 2" xfId="2342"/>
    <cellStyle name="Accent5 3 3" xfId="2343"/>
    <cellStyle name="Accent5 4" xfId="2344"/>
    <cellStyle name="Accent5 5" xfId="2345"/>
    <cellStyle name="Accent5 6" xfId="2346"/>
    <cellStyle name="Accent5 7" xfId="2347"/>
    <cellStyle name="Accent6 - 20%" xfId="2348"/>
    <cellStyle name="Accent6 - 20% 2" xfId="2349"/>
    <cellStyle name="Accent6 - 40%" xfId="2350"/>
    <cellStyle name="Accent6 - 40% 2" xfId="2351"/>
    <cellStyle name="Accent6 - 60%" xfId="2352"/>
    <cellStyle name="Accent6 2" xfId="2353"/>
    <cellStyle name="Accent6 2 2" xfId="2354"/>
    <cellStyle name="Accent6 2 2 2" xfId="2355"/>
    <cellStyle name="Accent6 2 2 2 2" xfId="2356"/>
    <cellStyle name="Accent6 2 2 2 2 2" xfId="2357"/>
    <cellStyle name="Accent6 2 2 2 3" xfId="2358"/>
    <cellStyle name="Accent6 2 2 2 4" xfId="2359"/>
    <cellStyle name="Accent6 2 2 3" xfId="2360"/>
    <cellStyle name="Accent6 2 2 3 2" xfId="2361"/>
    <cellStyle name="Accent6 2 2 3 2 2" xfId="2362"/>
    <cellStyle name="Accent6 2 2 4" xfId="2363"/>
    <cellStyle name="Accent6 2 2 5" xfId="2364"/>
    <cellStyle name="Accent6 2 2 6" xfId="2365"/>
    <cellStyle name="Accent6 2 2 6 2" xfId="2366"/>
    <cellStyle name="Accent6 2 3" xfId="2367"/>
    <cellStyle name="Accent6 2 4" xfId="2368"/>
    <cellStyle name="Accent6 2 4 2" xfId="2369"/>
    <cellStyle name="Accent6 2 4 2 2" xfId="2370"/>
    <cellStyle name="Accent6 2 5" xfId="2371"/>
    <cellStyle name="Accent6 2 5 2" xfId="2372"/>
    <cellStyle name="Accent6 2 5 2 2" xfId="2373"/>
    <cellStyle name="Accent6 2 6" xfId="2374"/>
    <cellStyle name="Accent6 2 7" xfId="2375"/>
    <cellStyle name="Accent6 3" xfId="2376"/>
    <cellStyle name="Accent6 3 2" xfId="2377"/>
    <cellStyle name="Accent6 3 3" xfId="2378"/>
    <cellStyle name="Accent6 4" xfId="2379"/>
    <cellStyle name="Accent6 5" xfId="2380"/>
    <cellStyle name="Accent6 6" xfId="2381"/>
    <cellStyle name="Accent6 7" xfId="2382"/>
    <cellStyle name="Acrual" xfId="2383"/>
    <cellStyle name="Actual" xfId="2384"/>
    <cellStyle name="Actual Date" xfId="2385"/>
    <cellStyle name="ÅëÈ­ [0]_±âÅ¸" xfId="2386"/>
    <cellStyle name="ÅëÈ­_±âÅ¸" xfId="2387"/>
    <cellStyle name="AFE" xfId="2388"/>
    <cellStyle name="Allign center" xfId="2389"/>
    <cellStyle name="alternate" xfId="2390"/>
    <cellStyle name="Ancillary" xfId="2391"/>
    <cellStyle name="Anos" xfId="2392"/>
    <cellStyle name="Array" xfId="2393"/>
    <cellStyle name="ÄÞ¸¶ [0]_±âÅ¸" xfId="2394"/>
    <cellStyle name="ÄÞ¸¶_±âÅ¸" xfId="2395"/>
    <cellStyle name="Bad 2" xfId="2396"/>
    <cellStyle name="Bad 2 10" xfId="2397"/>
    <cellStyle name="Bad 2 11" xfId="2398"/>
    <cellStyle name="Bad 2 12" xfId="2399"/>
    <cellStyle name="Bad 2 13" xfId="2400"/>
    <cellStyle name="Bad 2 14" xfId="2401"/>
    <cellStyle name="Bad 2 15" xfId="2402"/>
    <cellStyle name="Bad 2 16" xfId="2403"/>
    <cellStyle name="Bad 2 17" xfId="2404"/>
    <cellStyle name="Bad 2 18" xfId="2405"/>
    <cellStyle name="Bad 2 19" xfId="2406"/>
    <cellStyle name="Bad 2 2" xfId="2407"/>
    <cellStyle name="Bad 2 2 2" xfId="2408"/>
    <cellStyle name="Bad 2 2 2 2" xfId="2409"/>
    <cellStyle name="Bad 2 2 2 2 2" xfId="2410"/>
    <cellStyle name="Bad 2 2 2 3" xfId="2411"/>
    <cellStyle name="Bad 2 2 2 4" xfId="2412"/>
    <cellStyle name="Bad 2 2 3" xfId="2413"/>
    <cellStyle name="Bad 2 2 3 2" xfId="2414"/>
    <cellStyle name="Bad 2 2 3 2 2" xfId="2415"/>
    <cellStyle name="Bad 2 2 4" xfId="2416"/>
    <cellStyle name="Bad 2 2 5" xfId="2417"/>
    <cellStyle name="Bad 2 2 6" xfId="2418"/>
    <cellStyle name="Bad 2 2 6 2" xfId="2419"/>
    <cellStyle name="Bad 2 20" xfId="2420"/>
    <cellStyle name="Bad 2 21" xfId="2421"/>
    <cellStyle name="Bad 2 22" xfId="2422"/>
    <cellStyle name="Bad 2 23" xfId="2423"/>
    <cellStyle name="Bad 2 24" xfId="2424"/>
    <cellStyle name="Bad 2 25" xfId="2425"/>
    <cellStyle name="Bad 2 26" xfId="2426"/>
    <cellStyle name="Bad 2 27" xfId="2427"/>
    <cellStyle name="Bad 2 28" xfId="2428"/>
    <cellStyle name="Bad 2 29" xfId="2429"/>
    <cellStyle name="Bad 2 3" xfId="2430"/>
    <cellStyle name="Bad 2 30" xfId="2431"/>
    <cellStyle name="Bad 2 31" xfId="2432"/>
    <cellStyle name="Bad 2 32" xfId="2433"/>
    <cellStyle name="Bad 2 33" xfId="2434"/>
    <cellStyle name="Bad 2 34" xfId="2435"/>
    <cellStyle name="Bad 2 35" xfId="2436"/>
    <cellStyle name="Bad 2 36" xfId="2437"/>
    <cellStyle name="Bad 2 37" xfId="2438"/>
    <cellStyle name="Bad 2 38" xfId="2439"/>
    <cellStyle name="Bad 2 39" xfId="2440"/>
    <cellStyle name="Bad 2 4" xfId="2441"/>
    <cellStyle name="Bad 2 4 2" xfId="2442"/>
    <cellStyle name="Bad 2 4 2 2" xfId="2443"/>
    <cellStyle name="Bad 2 40" xfId="2444"/>
    <cellStyle name="Bad 2 41" xfId="2445"/>
    <cellStyle name="Bad 2 42" xfId="2446"/>
    <cellStyle name="Bad 2 43" xfId="2447"/>
    <cellStyle name="Bad 2 44" xfId="2448"/>
    <cellStyle name="Bad 2 45" xfId="2449"/>
    <cellStyle name="Bad 2 46" xfId="2450"/>
    <cellStyle name="Bad 2 47" xfId="2451"/>
    <cellStyle name="Bad 2 48" xfId="2452"/>
    <cellStyle name="Bad 2 49" xfId="2453"/>
    <cellStyle name="Bad 2 5" xfId="2454"/>
    <cellStyle name="Bad 2 5 2" xfId="2455"/>
    <cellStyle name="Bad 2 5 2 2" xfId="2456"/>
    <cellStyle name="Bad 2 50" xfId="2457"/>
    <cellStyle name="Bad 2 51" xfId="2458"/>
    <cellStyle name="Bad 2 52" xfId="2459"/>
    <cellStyle name="Bad 2 53" xfId="2460"/>
    <cellStyle name="Bad 2 54" xfId="2461"/>
    <cellStyle name="Bad 2 55" xfId="2462"/>
    <cellStyle name="Bad 2 56" xfId="2463"/>
    <cellStyle name="Bad 2 57" xfId="2464"/>
    <cellStyle name="Bad 2 58" xfId="2465"/>
    <cellStyle name="Bad 2 59" xfId="2466"/>
    <cellStyle name="Bad 2 6" xfId="2467"/>
    <cellStyle name="Bad 2 60" xfId="2468"/>
    <cellStyle name="Bad 2 61" xfId="2469"/>
    <cellStyle name="Bad 2 62" xfId="2470"/>
    <cellStyle name="Bad 2 63" xfId="2471"/>
    <cellStyle name="Bad 2 7" xfId="2472"/>
    <cellStyle name="Bad 2 8" xfId="2473"/>
    <cellStyle name="Bad 2 9" xfId="2474"/>
    <cellStyle name="Bad 3" xfId="2475"/>
    <cellStyle name="Bad 3 10" xfId="2476"/>
    <cellStyle name="Bad 3 11" xfId="2477"/>
    <cellStyle name="Bad 3 12" xfId="2478"/>
    <cellStyle name="Bad 3 13" xfId="2479"/>
    <cellStyle name="Bad 3 14" xfId="2480"/>
    <cellStyle name="Bad 3 2" xfId="2481"/>
    <cellStyle name="Bad 3 3" xfId="2482"/>
    <cellStyle name="Bad 3 4" xfId="2483"/>
    <cellStyle name="Bad 3 5" xfId="2484"/>
    <cellStyle name="Bad 3 6" xfId="2485"/>
    <cellStyle name="Bad 3 7" xfId="2486"/>
    <cellStyle name="Bad 3 8" xfId="2487"/>
    <cellStyle name="Bad 3 9" xfId="2488"/>
    <cellStyle name="Bad 4" xfId="2489"/>
    <cellStyle name="Bad 4 2" xfId="2490"/>
    <cellStyle name="Bad 4 3" xfId="2491"/>
    <cellStyle name="Bad 5" xfId="2492"/>
    <cellStyle name="Bad 6" xfId="2493"/>
    <cellStyle name="Bad 7" xfId="2494"/>
    <cellStyle name="Bad 8" xfId="2495"/>
    <cellStyle name="Band 1" xfId="2496"/>
    <cellStyle name="Band 2" xfId="2497"/>
    <cellStyle name="billion" xfId="2498"/>
    <cellStyle name="blank" xfId="2499"/>
    <cellStyle name="BlankCellReferenced" xfId="2500"/>
    <cellStyle name="BlankCellReferenced 2" xfId="6116"/>
    <cellStyle name="blue axis cells" xfId="2501"/>
    <cellStyle name="Blue Percent" xfId="2502"/>
    <cellStyle name="blue text cells" xfId="2503"/>
    <cellStyle name="BMHeading" xfId="2504"/>
    <cellStyle name="BMPercent" xfId="2505"/>
    <cellStyle name="Body" xfId="2506"/>
    <cellStyle name="Bold/Border" xfId="2507"/>
    <cellStyle name="BooleanYorN" xfId="2508"/>
    <cellStyle name="bp--" xfId="2509"/>
    <cellStyle name="brakcomma" xfId="2510"/>
    <cellStyle name="Brand Default" xfId="2511"/>
    <cellStyle name="Brand Source" xfId="2512"/>
    <cellStyle name="Brand Subtitle with Underline" xfId="2513"/>
    <cellStyle name="Brand Title" xfId="2514"/>
    <cellStyle name="Bullet" xfId="2515"/>
    <cellStyle name="c" xfId="2516"/>
    <cellStyle name="c_Bal Sheets" xfId="2517"/>
    <cellStyle name="c_Credit (2)" xfId="2518"/>
    <cellStyle name="c_Earnings" xfId="2519"/>
    <cellStyle name="c_Earnings (2)" xfId="2520"/>
    <cellStyle name="c_finsumm" xfId="2521"/>
    <cellStyle name="c_GoroWipTax-to2050_fromCo_Oct21_99" xfId="2522"/>
    <cellStyle name="c_HardInc " xfId="2523"/>
    <cellStyle name="c_Hist Inputs (2)" xfId="2524"/>
    <cellStyle name="c_IEL_finsumm" xfId="2525"/>
    <cellStyle name="c_IEL_finsumm1" xfId="2526"/>
    <cellStyle name="c_LBO Summary" xfId="2527"/>
    <cellStyle name="c_Schedules" xfId="2528"/>
    <cellStyle name="c_Trans Assump (2)" xfId="2529"/>
    <cellStyle name="c_Unit Price Sen. (2)" xfId="2530"/>
    <cellStyle name="Ç¥ÁØ_¿ù°£¿ä¾àº¸°í" xfId="2531"/>
    <cellStyle name="CALC Amount" xfId="2532"/>
    <cellStyle name="CALC Amount [1]" xfId="2533"/>
    <cellStyle name="CALC Amount [2]" xfId="2534"/>
    <cellStyle name="CALC Amount Total" xfId="2535"/>
    <cellStyle name="CALC Amount Total [1]" xfId="2536"/>
    <cellStyle name="CALC Amount Total [1] 2" xfId="2537"/>
    <cellStyle name="CALC Amount Total [2]" xfId="2538"/>
    <cellStyle name="CALC Amount Total [2] 2" xfId="2539"/>
    <cellStyle name="CALC Amount Total 2" xfId="2540"/>
    <cellStyle name="CALC Currency" xfId="2541"/>
    <cellStyle name="Calc Currency (0)" xfId="2542"/>
    <cellStyle name="CALC Currency [1]" xfId="2543"/>
    <cellStyle name="CALC Currency [2]" xfId="2544"/>
    <cellStyle name="CALC Currency Total" xfId="2545"/>
    <cellStyle name="CALC Currency Total [1]" xfId="2546"/>
    <cellStyle name="CALC Currency Total [1] 2" xfId="2547"/>
    <cellStyle name="CALC Currency Total [2]" xfId="2548"/>
    <cellStyle name="CALC Currency Total [2] 2" xfId="2549"/>
    <cellStyle name="CALC Currency Total 2" xfId="2550"/>
    <cellStyle name="CALC Date Long" xfId="2551"/>
    <cellStyle name="CALC Date Short" xfId="2552"/>
    <cellStyle name="CALC Percent" xfId="2553"/>
    <cellStyle name="CALC Percent [1]" xfId="2554"/>
    <cellStyle name="CALC Percent [2]" xfId="2555"/>
    <cellStyle name="CALC Percent Total" xfId="2556"/>
    <cellStyle name="CALC Percent Total [1]" xfId="2557"/>
    <cellStyle name="CALC Percent Total [1] 2" xfId="2558"/>
    <cellStyle name="CALC Percent Total [2]" xfId="2559"/>
    <cellStyle name="CALC Percent Total [2] 2" xfId="2560"/>
    <cellStyle name="CALC Percent Total 2" xfId="2561"/>
    <cellStyle name="Calc0" xfId="2562"/>
    <cellStyle name="Calc1" xfId="2563"/>
    <cellStyle name="Calc2" xfId="2564"/>
    <cellStyle name="Calc4" xfId="2565"/>
    <cellStyle name="CalcInput" xfId="2566"/>
    <cellStyle name="Calcs" xfId="2567"/>
    <cellStyle name="Calculation 2" xfId="2568"/>
    <cellStyle name="Calculation 2 10" xfId="2569"/>
    <cellStyle name="Calculation 2 10 2" xfId="6114"/>
    <cellStyle name="Calculation 2 11" xfId="2570"/>
    <cellStyle name="Calculation 2 11 2" xfId="6113"/>
    <cellStyle name="Calculation 2 12" xfId="2571"/>
    <cellStyle name="Calculation 2 12 2" xfId="6112"/>
    <cellStyle name="Calculation 2 13" xfId="2572"/>
    <cellStyle name="Calculation 2 13 2" xfId="6111"/>
    <cellStyle name="Calculation 2 14" xfId="2573"/>
    <cellStyle name="Calculation 2 14 2" xfId="6110"/>
    <cellStyle name="Calculation 2 15" xfId="2574"/>
    <cellStyle name="Calculation 2 15 2" xfId="6109"/>
    <cellStyle name="Calculation 2 16" xfId="2575"/>
    <cellStyle name="Calculation 2 16 2" xfId="6108"/>
    <cellStyle name="Calculation 2 17" xfId="2576"/>
    <cellStyle name="Calculation 2 17 2" xfId="6107"/>
    <cellStyle name="Calculation 2 18" xfId="2577"/>
    <cellStyle name="Calculation 2 18 2" xfId="6106"/>
    <cellStyle name="Calculation 2 19" xfId="2578"/>
    <cellStyle name="Calculation 2 19 2" xfId="6105"/>
    <cellStyle name="Calculation 2 2" xfId="2579"/>
    <cellStyle name="Calculation 2 2 10" xfId="2580"/>
    <cellStyle name="Calculation 2 2 10 2" xfId="6103"/>
    <cellStyle name="Calculation 2 2 11" xfId="2581"/>
    <cellStyle name="Calculation 2 2 11 2" xfId="6102"/>
    <cellStyle name="Calculation 2 2 12" xfId="2582"/>
    <cellStyle name="Calculation 2 2 12 2" xfId="6101"/>
    <cellStyle name="Calculation 2 2 13" xfId="2583"/>
    <cellStyle name="Calculation 2 2 13 2" xfId="6100"/>
    <cellStyle name="Calculation 2 2 14" xfId="2584"/>
    <cellStyle name="Calculation 2 2 14 2" xfId="6099"/>
    <cellStyle name="Calculation 2 2 15" xfId="2585"/>
    <cellStyle name="Calculation 2 2 15 2" xfId="6098"/>
    <cellStyle name="Calculation 2 2 16" xfId="2586"/>
    <cellStyle name="Calculation 2 2 16 2" xfId="6097"/>
    <cellStyle name="Calculation 2 2 17" xfId="2587"/>
    <cellStyle name="Calculation 2 2 17 2" xfId="6096"/>
    <cellStyle name="Calculation 2 2 18" xfId="2588"/>
    <cellStyle name="Calculation 2 2 18 2" xfId="6095"/>
    <cellStyle name="Calculation 2 2 19" xfId="2589"/>
    <cellStyle name="Calculation 2 2 19 2" xfId="6094"/>
    <cellStyle name="Calculation 2 2 2" xfId="2590"/>
    <cellStyle name="Calculation 2 2 2 2" xfId="6093"/>
    <cellStyle name="Calculation 2 2 20" xfId="2591"/>
    <cellStyle name="Calculation 2 2 20 2" xfId="6092"/>
    <cellStyle name="Calculation 2 2 21" xfId="2592"/>
    <cellStyle name="Calculation 2 2 21 2" xfId="6091"/>
    <cellStyle name="Calculation 2 2 22" xfId="2593"/>
    <cellStyle name="Calculation 2 2 22 2" xfId="6090"/>
    <cellStyle name="Calculation 2 2 23" xfId="2594"/>
    <cellStyle name="Calculation 2 2 23 2" xfId="6089"/>
    <cellStyle name="Calculation 2 2 24" xfId="2595"/>
    <cellStyle name="Calculation 2 2 24 2" xfId="6088"/>
    <cellStyle name="Calculation 2 2 25" xfId="2596"/>
    <cellStyle name="Calculation 2 2 25 2" xfId="6087"/>
    <cellStyle name="Calculation 2 2 26" xfId="2597"/>
    <cellStyle name="Calculation 2 2 26 2" xfId="6086"/>
    <cellStyle name="Calculation 2 2 27" xfId="2598"/>
    <cellStyle name="Calculation 2 2 27 2" xfId="6085"/>
    <cellStyle name="Calculation 2 2 28" xfId="2599"/>
    <cellStyle name="Calculation 2 2 28 2" xfId="6084"/>
    <cellStyle name="Calculation 2 2 29" xfId="2600"/>
    <cellStyle name="Calculation 2 2 29 2" xfId="6083"/>
    <cellStyle name="Calculation 2 2 3" xfId="2601"/>
    <cellStyle name="Calculation 2 2 3 2" xfId="6082"/>
    <cellStyle name="Calculation 2 2 30" xfId="2602"/>
    <cellStyle name="Calculation 2 2 30 2" xfId="6081"/>
    <cellStyle name="Calculation 2 2 31" xfId="2603"/>
    <cellStyle name="Calculation 2 2 31 2" xfId="6080"/>
    <cellStyle name="Calculation 2 2 32" xfId="2604"/>
    <cellStyle name="Calculation 2 2 32 2" xfId="6079"/>
    <cellStyle name="Calculation 2 2 33" xfId="6104"/>
    <cellStyle name="Calculation 2 2 4" xfId="2605"/>
    <cellStyle name="Calculation 2 2 4 2" xfId="6078"/>
    <cellStyle name="Calculation 2 2 5" xfId="2606"/>
    <cellStyle name="Calculation 2 2 5 2" xfId="6077"/>
    <cellStyle name="Calculation 2 2 6" xfId="2607"/>
    <cellStyle name="Calculation 2 2 6 2" xfId="6076"/>
    <cellStyle name="Calculation 2 2 7" xfId="2608"/>
    <cellStyle name="Calculation 2 2 7 2" xfId="6075"/>
    <cellStyle name="Calculation 2 2 8" xfId="2609"/>
    <cellStyle name="Calculation 2 2 8 2" xfId="6074"/>
    <cellStyle name="Calculation 2 2 9" xfId="2610"/>
    <cellStyle name="Calculation 2 2 9 2" xfId="6073"/>
    <cellStyle name="Calculation 2 20" xfId="2611"/>
    <cellStyle name="Calculation 2 20 2" xfId="6072"/>
    <cellStyle name="Calculation 2 21" xfId="2612"/>
    <cellStyle name="Calculation 2 21 2" xfId="6071"/>
    <cellStyle name="Calculation 2 22" xfId="2613"/>
    <cellStyle name="Calculation 2 22 2" xfId="6070"/>
    <cellStyle name="Calculation 2 23" xfId="2614"/>
    <cellStyle name="Calculation 2 23 2" xfId="6069"/>
    <cellStyle name="Calculation 2 24" xfId="2615"/>
    <cellStyle name="Calculation 2 24 2" xfId="6068"/>
    <cellStyle name="Calculation 2 25" xfId="2616"/>
    <cellStyle name="Calculation 2 25 2" xfId="6067"/>
    <cellStyle name="Calculation 2 26" xfId="2617"/>
    <cellStyle name="Calculation 2 26 2" xfId="6066"/>
    <cellStyle name="Calculation 2 27" xfId="2618"/>
    <cellStyle name="Calculation 2 27 2" xfId="6065"/>
    <cellStyle name="Calculation 2 28" xfId="2619"/>
    <cellStyle name="Calculation 2 28 2" xfId="6064"/>
    <cellStyle name="Calculation 2 29" xfId="2620"/>
    <cellStyle name="Calculation 2 29 2" xfId="6063"/>
    <cellStyle name="Calculation 2 3" xfId="2621"/>
    <cellStyle name="Calculation 2 3 10" xfId="2622"/>
    <cellStyle name="Calculation 2 3 10 2" xfId="6061"/>
    <cellStyle name="Calculation 2 3 11" xfId="2623"/>
    <cellStyle name="Calculation 2 3 11 2" xfId="6060"/>
    <cellStyle name="Calculation 2 3 12" xfId="2624"/>
    <cellStyle name="Calculation 2 3 12 2" xfId="6059"/>
    <cellStyle name="Calculation 2 3 13" xfId="2625"/>
    <cellStyle name="Calculation 2 3 13 2" xfId="6058"/>
    <cellStyle name="Calculation 2 3 14" xfId="2626"/>
    <cellStyle name="Calculation 2 3 14 2" xfId="6057"/>
    <cellStyle name="Calculation 2 3 15" xfId="2627"/>
    <cellStyle name="Calculation 2 3 15 2" xfId="6056"/>
    <cellStyle name="Calculation 2 3 16" xfId="2628"/>
    <cellStyle name="Calculation 2 3 16 2" xfId="6055"/>
    <cellStyle name="Calculation 2 3 17" xfId="2629"/>
    <cellStyle name="Calculation 2 3 17 2" xfId="6054"/>
    <cellStyle name="Calculation 2 3 18" xfId="2630"/>
    <cellStyle name="Calculation 2 3 18 2" xfId="6053"/>
    <cellStyle name="Calculation 2 3 19" xfId="2631"/>
    <cellStyle name="Calculation 2 3 19 2" xfId="6052"/>
    <cellStyle name="Calculation 2 3 2" xfId="2632"/>
    <cellStyle name="Calculation 2 3 2 2" xfId="6051"/>
    <cellStyle name="Calculation 2 3 20" xfId="2633"/>
    <cellStyle name="Calculation 2 3 20 2" xfId="6050"/>
    <cellStyle name="Calculation 2 3 21" xfId="2634"/>
    <cellStyle name="Calculation 2 3 21 2" xfId="6049"/>
    <cellStyle name="Calculation 2 3 22" xfId="2635"/>
    <cellStyle name="Calculation 2 3 22 2" xfId="6048"/>
    <cellStyle name="Calculation 2 3 23" xfId="2636"/>
    <cellStyle name="Calculation 2 3 23 2" xfId="6047"/>
    <cellStyle name="Calculation 2 3 24" xfId="2637"/>
    <cellStyle name="Calculation 2 3 24 2" xfId="6046"/>
    <cellStyle name="Calculation 2 3 25" xfId="2638"/>
    <cellStyle name="Calculation 2 3 25 2" xfId="6045"/>
    <cellStyle name="Calculation 2 3 26" xfId="2639"/>
    <cellStyle name="Calculation 2 3 26 2" xfId="6044"/>
    <cellStyle name="Calculation 2 3 27" xfId="2640"/>
    <cellStyle name="Calculation 2 3 27 2" xfId="6043"/>
    <cellStyle name="Calculation 2 3 28" xfId="2641"/>
    <cellStyle name="Calculation 2 3 28 2" xfId="6042"/>
    <cellStyle name="Calculation 2 3 29" xfId="2642"/>
    <cellStyle name="Calculation 2 3 29 2" xfId="6041"/>
    <cellStyle name="Calculation 2 3 3" xfId="2643"/>
    <cellStyle name="Calculation 2 3 3 2" xfId="6040"/>
    <cellStyle name="Calculation 2 3 30" xfId="2644"/>
    <cellStyle name="Calculation 2 3 30 2" xfId="6039"/>
    <cellStyle name="Calculation 2 3 31" xfId="2645"/>
    <cellStyle name="Calculation 2 3 31 2" xfId="6038"/>
    <cellStyle name="Calculation 2 3 32" xfId="2646"/>
    <cellStyle name="Calculation 2 3 32 2" xfId="6037"/>
    <cellStyle name="Calculation 2 3 33" xfId="6062"/>
    <cellStyle name="Calculation 2 3 4" xfId="2647"/>
    <cellStyle name="Calculation 2 3 4 2" xfId="6036"/>
    <cellStyle name="Calculation 2 3 5" xfId="2648"/>
    <cellStyle name="Calculation 2 3 5 2" xfId="6035"/>
    <cellStyle name="Calculation 2 3 6" xfId="2649"/>
    <cellStyle name="Calculation 2 3 6 2" xfId="6034"/>
    <cellStyle name="Calculation 2 3 7" xfId="2650"/>
    <cellStyle name="Calculation 2 3 7 2" xfId="6033"/>
    <cellStyle name="Calculation 2 3 8" xfId="2651"/>
    <cellStyle name="Calculation 2 3 8 2" xfId="6032"/>
    <cellStyle name="Calculation 2 3 9" xfId="2652"/>
    <cellStyle name="Calculation 2 3 9 2" xfId="6031"/>
    <cellStyle name="Calculation 2 30" xfId="2653"/>
    <cellStyle name="Calculation 2 30 2" xfId="6030"/>
    <cellStyle name="Calculation 2 31" xfId="2654"/>
    <cellStyle name="Calculation 2 31 2" xfId="6029"/>
    <cellStyle name="Calculation 2 32" xfId="2655"/>
    <cellStyle name="Calculation 2 32 2" xfId="6028"/>
    <cellStyle name="Calculation 2 33" xfId="2656"/>
    <cellStyle name="Calculation 2 33 2" xfId="6027"/>
    <cellStyle name="Calculation 2 34" xfId="2657"/>
    <cellStyle name="Calculation 2 34 2" xfId="6026"/>
    <cellStyle name="Calculation 2 35" xfId="2658"/>
    <cellStyle name="Calculation 2 35 2" xfId="6025"/>
    <cellStyle name="Calculation 2 36" xfId="2659"/>
    <cellStyle name="Calculation 2 36 2" xfId="6024"/>
    <cellStyle name="Calculation 2 37" xfId="6115"/>
    <cellStyle name="Calculation 2 4" xfId="2660"/>
    <cellStyle name="Calculation 2 4 10" xfId="2661"/>
    <cellStyle name="Calculation 2 4 10 2" xfId="6022"/>
    <cellStyle name="Calculation 2 4 11" xfId="2662"/>
    <cellStyle name="Calculation 2 4 11 2" xfId="6021"/>
    <cellStyle name="Calculation 2 4 12" xfId="2663"/>
    <cellStyle name="Calculation 2 4 12 2" xfId="6020"/>
    <cellStyle name="Calculation 2 4 13" xfId="2664"/>
    <cellStyle name="Calculation 2 4 13 2" xfId="6019"/>
    <cellStyle name="Calculation 2 4 14" xfId="2665"/>
    <cellStyle name="Calculation 2 4 14 2" xfId="6018"/>
    <cellStyle name="Calculation 2 4 15" xfId="2666"/>
    <cellStyle name="Calculation 2 4 15 2" xfId="6017"/>
    <cellStyle name="Calculation 2 4 16" xfId="2667"/>
    <cellStyle name="Calculation 2 4 16 2" xfId="6016"/>
    <cellStyle name="Calculation 2 4 17" xfId="2668"/>
    <cellStyle name="Calculation 2 4 17 2" xfId="6015"/>
    <cellStyle name="Calculation 2 4 18" xfId="2669"/>
    <cellStyle name="Calculation 2 4 18 2" xfId="6014"/>
    <cellStyle name="Calculation 2 4 19" xfId="2670"/>
    <cellStyle name="Calculation 2 4 19 2" xfId="6013"/>
    <cellStyle name="Calculation 2 4 2" xfId="2671"/>
    <cellStyle name="Calculation 2 4 2 2" xfId="6012"/>
    <cellStyle name="Calculation 2 4 20" xfId="2672"/>
    <cellStyle name="Calculation 2 4 20 2" xfId="6011"/>
    <cellStyle name="Calculation 2 4 21" xfId="2673"/>
    <cellStyle name="Calculation 2 4 21 2" xfId="6010"/>
    <cellStyle name="Calculation 2 4 22" xfId="2674"/>
    <cellStyle name="Calculation 2 4 22 2" xfId="6009"/>
    <cellStyle name="Calculation 2 4 23" xfId="2675"/>
    <cellStyle name="Calculation 2 4 23 2" xfId="6008"/>
    <cellStyle name="Calculation 2 4 24" xfId="2676"/>
    <cellStyle name="Calculation 2 4 24 2" xfId="6007"/>
    <cellStyle name="Calculation 2 4 25" xfId="2677"/>
    <cellStyle name="Calculation 2 4 25 2" xfId="6006"/>
    <cellStyle name="Calculation 2 4 26" xfId="2678"/>
    <cellStyle name="Calculation 2 4 26 2" xfId="6005"/>
    <cellStyle name="Calculation 2 4 27" xfId="2679"/>
    <cellStyle name="Calculation 2 4 27 2" xfId="6004"/>
    <cellStyle name="Calculation 2 4 28" xfId="2680"/>
    <cellStyle name="Calculation 2 4 28 2" xfId="6003"/>
    <cellStyle name="Calculation 2 4 29" xfId="2681"/>
    <cellStyle name="Calculation 2 4 29 2" xfId="6002"/>
    <cellStyle name="Calculation 2 4 3" xfId="2682"/>
    <cellStyle name="Calculation 2 4 3 2" xfId="6001"/>
    <cellStyle name="Calculation 2 4 30" xfId="2683"/>
    <cellStyle name="Calculation 2 4 30 2" xfId="6000"/>
    <cellStyle name="Calculation 2 4 31" xfId="2684"/>
    <cellStyle name="Calculation 2 4 31 2" xfId="5999"/>
    <cellStyle name="Calculation 2 4 32" xfId="2685"/>
    <cellStyle name="Calculation 2 4 32 2" xfId="5998"/>
    <cellStyle name="Calculation 2 4 33" xfId="6023"/>
    <cellStyle name="Calculation 2 4 4" xfId="2686"/>
    <cellStyle name="Calculation 2 4 4 2" xfId="5997"/>
    <cellStyle name="Calculation 2 4 5" xfId="2687"/>
    <cellStyle name="Calculation 2 4 5 2" xfId="5996"/>
    <cellStyle name="Calculation 2 4 6" xfId="2688"/>
    <cellStyle name="Calculation 2 4 6 2" xfId="5995"/>
    <cellStyle name="Calculation 2 4 7" xfId="2689"/>
    <cellStyle name="Calculation 2 4 7 2" xfId="5994"/>
    <cellStyle name="Calculation 2 4 8" xfId="2690"/>
    <cellStyle name="Calculation 2 4 8 2" xfId="5993"/>
    <cellStyle name="Calculation 2 4 9" xfId="2691"/>
    <cellStyle name="Calculation 2 4 9 2" xfId="5992"/>
    <cellStyle name="Calculation 2 5" xfId="2692"/>
    <cellStyle name="Calculation 2 5 10" xfId="2693"/>
    <cellStyle name="Calculation 2 5 10 2" xfId="5990"/>
    <cellStyle name="Calculation 2 5 11" xfId="2694"/>
    <cellStyle name="Calculation 2 5 11 2" xfId="5989"/>
    <cellStyle name="Calculation 2 5 12" xfId="2695"/>
    <cellStyle name="Calculation 2 5 12 2" xfId="5988"/>
    <cellStyle name="Calculation 2 5 13" xfId="2696"/>
    <cellStyle name="Calculation 2 5 13 2" xfId="5987"/>
    <cellStyle name="Calculation 2 5 14" xfId="2697"/>
    <cellStyle name="Calculation 2 5 14 2" xfId="5986"/>
    <cellStyle name="Calculation 2 5 15" xfId="2698"/>
    <cellStyle name="Calculation 2 5 15 2" xfId="5985"/>
    <cellStyle name="Calculation 2 5 16" xfId="2699"/>
    <cellStyle name="Calculation 2 5 16 2" xfId="5984"/>
    <cellStyle name="Calculation 2 5 17" xfId="2700"/>
    <cellStyle name="Calculation 2 5 17 2" xfId="5983"/>
    <cellStyle name="Calculation 2 5 18" xfId="2701"/>
    <cellStyle name="Calculation 2 5 18 2" xfId="5982"/>
    <cellStyle name="Calculation 2 5 19" xfId="2702"/>
    <cellStyle name="Calculation 2 5 19 2" xfId="5981"/>
    <cellStyle name="Calculation 2 5 2" xfId="2703"/>
    <cellStyle name="Calculation 2 5 2 2" xfId="5980"/>
    <cellStyle name="Calculation 2 5 20" xfId="2704"/>
    <cellStyle name="Calculation 2 5 20 2" xfId="5979"/>
    <cellStyle name="Calculation 2 5 21" xfId="2705"/>
    <cellStyle name="Calculation 2 5 21 2" xfId="5978"/>
    <cellStyle name="Calculation 2 5 22" xfId="2706"/>
    <cellStyle name="Calculation 2 5 22 2" xfId="5977"/>
    <cellStyle name="Calculation 2 5 23" xfId="2707"/>
    <cellStyle name="Calculation 2 5 23 2" xfId="5976"/>
    <cellStyle name="Calculation 2 5 24" xfId="2708"/>
    <cellStyle name="Calculation 2 5 24 2" xfId="5975"/>
    <cellStyle name="Calculation 2 5 25" xfId="2709"/>
    <cellStyle name="Calculation 2 5 25 2" xfId="5974"/>
    <cellStyle name="Calculation 2 5 26" xfId="2710"/>
    <cellStyle name="Calculation 2 5 26 2" xfId="5973"/>
    <cellStyle name="Calculation 2 5 27" xfId="2711"/>
    <cellStyle name="Calculation 2 5 27 2" xfId="5972"/>
    <cellStyle name="Calculation 2 5 28" xfId="2712"/>
    <cellStyle name="Calculation 2 5 28 2" xfId="5971"/>
    <cellStyle name="Calculation 2 5 29" xfId="2713"/>
    <cellStyle name="Calculation 2 5 29 2" xfId="5970"/>
    <cellStyle name="Calculation 2 5 3" xfId="2714"/>
    <cellStyle name="Calculation 2 5 3 2" xfId="5969"/>
    <cellStyle name="Calculation 2 5 30" xfId="2715"/>
    <cellStyle name="Calculation 2 5 30 2" xfId="5968"/>
    <cellStyle name="Calculation 2 5 31" xfId="2716"/>
    <cellStyle name="Calculation 2 5 31 2" xfId="5967"/>
    <cellStyle name="Calculation 2 5 32" xfId="2717"/>
    <cellStyle name="Calculation 2 5 32 2" xfId="5966"/>
    <cellStyle name="Calculation 2 5 33" xfId="5991"/>
    <cellStyle name="Calculation 2 5 4" xfId="2718"/>
    <cellStyle name="Calculation 2 5 4 2" xfId="5965"/>
    <cellStyle name="Calculation 2 5 5" xfId="2719"/>
    <cellStyle name="Calculation 2 5 5 2" xfId="5964"/>
    <cellStyle name="Calculation 2 5 6" xfId="2720"/>
    <cellStyle name="Calculation 2 5 6 2" xfId="5963"/>
    <cellStyle name="Calculation 2 5 7" xfId="2721"/>
    <cellStyle name="Calculation 2 5 7 2" xfId="5962"/>
    <cellStyle name="Calculation 2 5 8" xfId="2722"/>
    <cellStyle name="Calculation 2 5 8 2" xfId="5961"/>
    <cellStyle name="Calculation 2 5 9" xfId="2723"/>
    <cellStyle name="Calculation 2 5 9 2" xfId="5960"/>
    <cellStyle name="Calculation 2 6" xfId="2724"/>
    <cellStyle name="Calculation 2 6 2" xfId="5959"/>
    <cellStyle name="Calculation 2 7" xfId="2725"/>
    <cellStyle name="Calculation 2 7 2" xfId="5958"/>
    <cellStyle name="Calculation 2 8" xfId="2726"/>
    <cellStyle name="Calculation 2 8 2" xfId="5957"/>
    <cellStyle name="Calculation 2 9" xfId="2727"/>
    <cellStyle name="Calculation 2 9 2" xfId="5956"/>
    <cellStyle name="Calculation 3" xfId="2728"/>
    <cellStyle name="Calculation 3 2" xfId="5955"/>
    <cellStyle name="CalculationDate" xfId="2729"/>
    <cellStyle name="CalculationDate 2" xfId="5954"/>
    <cellStyle name="Cash (0dp)" xfId="2730"/>
    <cellStyle name="Cash (0dp+NZ)" xfId="2731"/>
    <cellStyle name="Cash (2dp)" xfId="2732"/>
    <cellStyle name="Cash (2dp+NZ)" xfId="2733"/>
    <cellStyle name="Check" xfId="2734"/>
    <cellStyle name="Check Cell 2" xfId="2735"/>
    <cellStyle name="Check Cell 3" xfId="2736"/>
    <cellStyle name="ColBlue" xfId="2737"/>
    <cellStyle name="ColGreen" xfId="2738"/>
    <cellStyle name="ColRed" xfId="2739"/>
    <cellStyle name="column Head Underlined" xfId="2740"/>
    <cellStyle name="Column Heading" xfId="2741"/>
    <cellStyle name="ColumnHeading" xfId="2742"/>
    <cellStyle name="ColumnHeadings" xfId="2743"/>
    <cellStyle name="ColumnHeadings2" xfId="2744"/>
    <cellStyle name="Comma" xfId="1" builtinId="3"/>
    <cellStyle name="Comma  - Style1" xfId="2745"/>
    <cellStyle name="Comma  - Style2" xfId="2746"/>
    <cellStyle name="Comma  - Style3" xfId="2747"/>
    <cellStyle name="Comma  - Style4" xfId="2748"/>
    <cellStyle name="Comma  - Style5" xfId="2749"/>
    <cellStyle name="Comma  - Style6" xfId="2750"/>
    <cellStyle name="Comma  - Style7" xfId="2751"/>
    <cellStyle name="Comma  - Style8" xfId="2752"/>
    <cellStyle name="Comma (0)" xfId="2753"/>
    <cellStyle name="Comma (0dp)" xfId="2754"/>
    <cellStyle name="Comma (0dp+NZ)" xfId="2755"/>
    <cellStyle name="Comma (1)" xfId="2756"/>
    <cellStyle name="Comma (2)" xfId="2757"/>
    <cellStyle name="Comma (2dp)" xfId="2758"/>
    <cellStyle name="Comma (2dp) Dashed" xfId="2759"/>
    <cellStyle name="Comma (2dp) Nil" xfId="2760"/>
    <cellStyle name="Comma (2dp)_Budget Est Oct 03" xfId="2761"/>
    <cellStyle name="Comma (2dp+NZ)" xfId="2762"/>
    <cellStyle name="Comma (nz)" xfId="2763"/>
    <cellStyle name="Comma [1]" xfId="2764"/>
    <cellStyle name="Comma [2]" xfId="2765"/>
    <cellStyle name="Comma [3]" xfId="2766"/>
    <cellStyle name="Comma 0" xfId="2767"/>
    <cellStyle name="Comma 0*" xfId="2768"/>
    <cellStyle name="Comma 0_Model_Sep_2_02" xfId="2769"/>
    <cellStyle name="Comma 10" xfId="2770"/>
    <cellStyle name="Comma 10 2" xfId="10278"/>
    <cellStyle name="Comma 11" xfId="2771"/>
    <cellStyle name="Comma 11 2" xfId="10279"/>
    <cellStyle name="Comma 12" xfId="2772"/>
    <cellStyle name="Comma 12 2" xfId="10280"/>
    <cellStyle name="Comma 13" xfId="2773"/>
    <cellStyle name="Comma 13 2" xfId="10281"/>
    <cellStyle name="Comma 14" xfId="2774"/>
    <cellStyle name="Comma 14 2" xfId="10282"/>
    <cellStyle name="Comma 15" xfId="2775"/>
    <cellStyle name="Comma 15 2" xfId="10283"/>
    <cellStyle name="Comma 16" xfId="2776"/>
    <cellStyle name="Comma 16 2" xfId="10284"/>
    <cellStyle name="Comma 17" xfId="2777"/>
    <cellStyle name="Comma 17 2" xfId="10285"/>
    <cellStyle name="Comma 18" xfId="2778"/>
    <cellStyle name="Comma 18 2" xfId="10286"/>
    <cellStyle name="Comma 19" xfId="2779"/>
    <cellStyle name="Comma 19 10" xfId="6213"/>
    <cellStyle name="Comma 19 10 2" xfId="12938"/>
    <cellStyle name="Comma 19 11" xfId="10287"/>
    <cellStyle name="Comma 19 2" xfId="2780"/>
    <cellStyle name="Comma 19 2 10" xfId="10288"/>
    <cellStyle name="Comma 19 2 2" xfId="2781"/>
    <cellStyle name="Comma 19 2 2 2" xfId="4481"/>
    <cellStyle name="Comma 19 2 2 2 2" xfId="4852"/>
    <cellStyle name="Comma 19 2 2 2 2 2" xfId="8595"/>
    <cellStyle name="Comma 19 2 2 2 2 2 2" xfId="15143"/>
    <cellStyle name="Comma 19 2 2 2 2 3" xfId="6876"/>
    <cellStyle name="Comma 19 2 2 2 2 3 2" xfId="13562"/>
    <cellStyle name="Comma 19 2 2 2 2 4" xfId="11777"/>
    <cellStyle name="Comma 19 2 2 2 3" xfId="5308"/>
    <cellStyle name="Comma 19 2 2 2 3 2" xfId="9051"/>
    <cellStyle name="Comma 19 2 2 2 3 2 2" xfId="15595"/>
    <cellStyle name="Comma 19 2 2 2 3 3" xfId="7332"/>
    <cellStyle name="Comma 19 2 2 2 3 3 2" xfId="14014"/>
    <cellStyle name="Comma 19 2 2 2 3 4" xfId="12229"/>
    <cellStyle name="Comma 19 2 2 2 4" xfId="5746"/>
    <cellStyle name="Comma 19 2 2 2 4 2" xfId="9487"/>
    <cellStyle name="Comma 19 2 2 2 4 2 2" xfId="15989"/>
    <cellStyle name="Comma 19 2 2 2 4 3" xfId="7768"/>
    <cellStyle name="Comma 19 2 2 2 4 3 2" xfId="14408"/>
    <cellStyle name="Comma 19 2 2 2 4 4" xfId="12639"/>
    <cellStyle name="Comma 19 2 2 2 5" xfId="9848"/>
    <cellStyle name="Comma 19 2 2 2 5 2" xfId="16329"/>
    <cellStyle name="Comma 19 2 2 2 6" xfId="8245"/>
    <cellStyle name="Comma 19 2 2 2 6 2" xfId="14802"/>
    <cellStyle name="Comma 19 2 2 2 7" xfId="6526"/>
    <cellStyle name="Comma 19 2 2 2 7 2" xfId="13216"/>
    <cellStyle name="Comma 19 2 2 2 8" xfId="11426"/>
    <cellStyle name="Comma 19 2 2 3" xfId="4756"/>
    <cellStyle name="Comma 19 2 2 3 2" xfId="8499"/>
    <cellStyle name="Comma 19 2 2 3 2 2" xfId="15051"/>
    <cellStyle name="Comma 19 2 2 3 3" xfId="6780"/>
    <cellStyle name="Comma 19 2 2 3 3 2" xfId="13470"/>
    <cellStyle name="Comma 19 2 2 3 4" xfId="11685"/>
    <cellStyle name="Comma 19 2 2 4" xfId="5111"/>
    <cellStyle name="Comma 19 2 2 4 2" xfId="8854"/>
    <cellStyle name="Comma 19 2 2 4 2 2" xfId="15398"/>
    <cellStyle name="Comma 19 2 2 4 3" xfId="7135"/>
    <cellStyle name="Comma 19 2 2 4 3 2" xfId="13817"/>
    <cellStyle name="Comma 19 2 2 4 4" xfId="12032"/>
    <cellStyle name="Comma 19 2 2 5" xfId="5544"/>
    <cellStyle name="Comma 19 2 2 5 2" xfId="9285"/>
    <cellStyle name="Comma 19 2 2 5 2 2" xfId="15792"/>
    <cellStyle name="Comma 19 2 2 5 3" xfId="7566"/>
    <cellStyle name="Comma 19 2 2 5 3 2" xfId="14211"/>
    <cellStyle name="Comma 19 2 2 5 4" xfId="12437"/>
    <cellStyle name="Comma 19 2 2 6" xfId="9746"/>
    <cellStyle name="Comma 19 2 2 6 2" xfId="16237"/>
    <cellStyle name="Comma 19 2 2 7" xfId="7988"/>
    <cellStyle name="Comma 19 2 2 7 2" xfId="14605"/>
    <cellStyle name="Comma 19 2 2 8" xfId="6215"/>
    <cellStyle name="Comma 19 2 2 8 2" xfId="12940"/>
    <cellStyle name="Comma 19 2 2 9" xfId="10289"/>
    <cellStyle name="Comma 19 2 3" xfId="4480"/>
    <cellStyle name="Comma 19 2 3 2" xfId="4853"/>
    <cellStyle name="Comma 19 2 3 2 2" xfId="8596"/>
    <cellStyle name="Comma 19 2 3 2 2 2" xfId="15144"/>
    <cellStyle name="Comma 19 2 3 2 3" xfId="6877"/>
    <cellStyle name="Comma 19 2 3 2 3 2" xfId="13563"/>
    <cellStyle name="Comma 19 2 3 2 4" xfId="11778"/>
    <cellStyle name="Comma 19 2 3 3" xfId="5307"/>
    <cellStyle name="Comma 19 2 3 3 2" xfId="9050"/>
    <cellStyle name="Comma 19 2 3 3 2 2" xfId="15594"/>
    <cellStyle name="Comma 19 2 3 3 3" xfId="7331"/>
    <cellStyle name="Comma 19 2 3 3 3 2" xfId="14013"/>
    <cellStyle name="Comma 19 2 3 3 4" xfId="12228"/>
    <cellStyle name="Comma 19 2 3 4" xfId="5745"/>
    <cellStyle name="Comma 19 2 3 4 2" xfId="9486"/>
    <cellStyle name="Comma 19 2 3 4 2 2" xfId="15988"/>
    <cellStyle name="Comma 19 2 3 4 3" xfId="7767"/>
    <cellStyle name="Comma 19 2 3 4 3 2" xfId="14407"/>
    <cellStyle name="Comma 19 2 3 4 4" xfId="12638"/>
    <cellStyle name="Comma 19 2 3 5" xfId="9849"/>
    <cellStyle name="Comma 19 2 3 5 2" xfId="16330"/>
    <cellStyle name="Comma 19 2 3 6" xfId="8244"/>
    <cellStyle name="Comma 19 2 3 6 2" xfId="14801"/>
    <cellStyle name="Comma 19 2 3 7" xfId="6525"/>
    <cellStyle name="Comma 19 2 3 7 2" xfId="13215"/>
    <cellStyle name="Comma 19 2 3 8" xfId="11425"/>
    <cellStyle name="Comma 19 2 4" xfId="4692"/>
    <cellStyle name="Comma 19 2 4 2" xfId="8438"/>
    <cellStyle name="Comma 19 2 4 2 2" xfId="14990"/>
    <cellStyle name="Comma 19 2 4 3" xfId="6719"/>
    <cellStyle name="Comma 19 2 4 3 2" xfId="13409"/>
    <cellStyle name="Comma 19 2 4 4" xfId="11623"/>
    <cellStyle name="Comma 19 2 5" xfId="5110"/>
    <cellStyle name="Comma 19 2 5 2" xfId="8853"/>
    <cellStyle name="Comma 19 2 5 2 2" xfId="15397"/>
    <cellStyle name="Comma 19 2 5 3" xfId="7134"/>
    <cellStyle name="Comma 19 2 5 3 2" xfId="13816"/>
    <cellStyle name="Comma 19 2 5 4" xfId="12031"/>
    <cellStyle name="Comma 19 2 6" xfId="5543"/>
    <cellStyle name="Comma 19 2 6 2" xfId="9284"/>
    <cellStyle name="Comma 19 2 6 2 2" xfId="15791"/>
    <cellStyle name="Comma 19 2 6 3" xfId="7565"/>
    <cellStyle name="Comma 19 2 6 3 2" xfId="14210"/>
    <cellStyle name="Comma 19 2 6 4" xfId="12436"/>
    <cellStyle name="Comma 19 2 7" xfId="9675"/>
    <cellStyle name="Comma 19 2 7 2" xfId="16175"/>
    <cellStyle name="Comma 19 2 8" xfId="7987"/>
    <cellStyle name="Comma 19 2 8 2" xfId="14604"/>
    <cellStyle name="Comma 19 2 9" xfId="6214"/>
    <cellStyle name="Comma 19 2 9 2" xfId="12939"/>
    <cellStyle name="Comma 19 3" xfId="2782"/>
    <cellStyle name="Comma 19 3 2" xfId="4482"/>
    <cellStyle name="Comma 19 3 2 2" xfId="4854"/>
    <cellStyle name="Comma 19 3 2 2 2" xfId="8597"/>
    <cellStyle name="Comma 19 3 2 2 2 2" xfId="15145"/>
    <cellStyle name="Comma 19 3 2 2 3" xfId="6878"/>
    <cellStyle name="Comma 19 3 2 2 3 2" xfId="13564"/>
    <cellStyle name="Comma 19 3 2 2 4" xfId="11779"/>
    <cellStyle name="Comma 19 3 2 3" xfId="5309"/>
    <cellStyle name="Comma 19 3 2 3 2" xfId="9052"/>
    <cellStyle name="Comma 19 3 2 3 2 2" xfId="15596"/>
    <cellStyle name="Comma 19 3 2 3 3" xfId="7333"/>
    <cellStyle name="Comma 19 3 2 3 3 2" xfId="14015"/>
    <cellStyle name="Comma 19 3 2 3 4" xfId="12230"/>
    <cellStyle name="Comma 19 3 2 4" xfId="5747"/>
    <cellStyle name="Comma 19 3 2 4 2" xfId="9488"/>
    <cellStyle name="Comma 19 3 2 4 2 2" xfId="15990"/>
    <cellStyle name="Comma 19 3 2 4 3" xfId="7769"/>
    <cellStyle name="Comma 19 3 2 4 3 2" xfId="14409"/>
    <cellStyle name="Comma 19 3 2 4 4" xfId="12640"/>
    <cellStyle name="Comma 19 3 2 5" xfId="9850"/>
    <cellStyle name="Comma 19 3 2 5 2" xfId="16331"/>
    <cellStyle name="Comma 19 3 2 6" xfId="8246"/>
    <cellStyle name="Comma 19 3 2 6 2" xfId="14803"/>
    <cellStyle name="Comma 19 3 2 7" xfId="6527"/>
    <cellStyle name="Comma 19 3 2 7 2" xfId="13217"/>
    <cellStyle name="Comma 19 3 2 8" xfId="11427"/>
    <cellStyle name="Comma 19 3 3" xfId="4755"/>
    <cellStyle name="Comma 19 3 3 2" xfId="8498"/>
    <cellStyle name="Comma 19 3 3 2 2" xfId="15050"/>
    <cellStyle name="Comma 19 3 3 3" xfId="6779"/>
    <cellStyle name="Comma 19 3 3 3 2" xfId="13469"/>
    <cellStyle name="Comma 19 3 3 4" xfId="11684"/>
    <cellStyle name="Comma 19 3 4" xfId="5112"/>
    <cellStyle name="Comma 19 3 4 2" xfId="8855"/>
    <cellStyle name="Comma 19 3 4 2 2" xfId="15399"/>
    <cellStyle name="Comma 19 3 4 3" xfId="7136"/>
    <cellStyle name="Comma 19 3 4 3 2" xfId="13818"/>
    <cellStyle name="Comma 19 3 4 4" xfId="12033"/>
    <cellStyle name="Comma 19 3 5" xfId="5545"/>
    <cellStyle name="Comma 19 3 5 2" xfId="9286"/>
    <cellStyle name="Comma 19 3 5 2 2" xfId="15793"/>
    <cellStyle name="Comma 19 3 5 3" xfId="7567"/>
    <cellStyle name="Comma 19 3 5 3 2" xfId="14212"/>
    <cellStyle name="Comma 19 3 5 4" xfId="12438"/>
    <cellStyle name="Comma 19 3 6" xfId="9745"/>
    <cellStyle name="Comma 19 3 6 2" xfId="16236"/>
    <cellStyle name="Comma 19 3 7" xfId="7989"/>
    <cellStyle name="Comma 19 3 7 2" xfId="14606"/>
    <cellStyle name="Comma 19 3 8" xfId="6216"/>
    <cellStyle name="Comma 19 3 8 2" xfId="12941"/>
    <cellStyle name="Comma 19 3 9" xfId="10290"/>
    <cellStyle name="Comma 19 4" xfId="4479"/>
    <cellStyle name="Comma 19 4 2" xfId="4855"/>
    <cellStyle name="Comma 19 4 2 2" xfId="8598"/>
    <cellStyle name="Comma 19 4 2 2 2" xfId="15146"/>
    <cellStyle name="Comma 19 4 2 3" xfId="6879"/>
    <cellStyle name="Comma 19 4 2 3 2" xfId="13565"/>
    <cellStyle name="Comma 19 4 2 4" xfId="11780"/>
    <cellStyle name="Comma 19 4 3" xfId="5306"/>
    <cellStyle name="Comma 19 4 3 2" xfId="9049"/>
    <cellStyle name="Comma 19 4 3 2 2" xfId="15593"/>
    <cellStyle name="Comma 19 4 3 3" xfId="7330"/>
    <cellStyle name="Comma 19 4 3 3 2" xfId="14012"/>
    <cellStyle name="Comma 19 4 3 4" xfId="12227"/>
    <cellStyle name="Comma 19 4 4" xfId="5744"/>
    <cellStyle name="Comma 19 4 4 2" xfId="9485"/>
    <cellStyle name="Comma 19 4 4 2 2" xfId="15987"/>
    <cellStyle name="Comma 19 4 4 3" xfId="7766"/>
    <cellStyle name="Comma 19 4 4 3 2" xfId="14406"/>
    <cellStyle name="Comma 19 4 4 4" xfId="12637"/>
    <cellStyle name="Comma 19 4 5" xfId="9851"/>
    <cellStyle name="Comma 19 4 5 2" xfId="16332"/>
    <cellStyle name="Comma 19 4 6" xfId="8243"/>
    <cellStyle name="Comma 19 4 6 2" xfId="14800"/>
    <cellStyle name="Comma 19 4 7" xfId="6524"/>
    <cellStyle name="Comma 19 4 7 2" xfId="13214"/>
    <cellStyle name="Comma 19 4 8" xfId="11424"/>
    <cellStyle name="Comma 19 5" xfId="4691"/>
    <cellStyle name="Comma 19 5 2" xfId="8437"/>
    <cellStyle name="Comma 19 5 2 2" xfId="14989"/>
    <cellStyle name="Comma 19 5 3" xfId="6718"/>
    <cellStyle name="Comma 19 5 3 2" xfId="13408"/>
    <cellStyle name="Comma 19 5 4" xfId="11622"/>
    <cellStyle name="Comma 19 6" xfId="5109"/>
    <cellStyle name="Comma 19 6 2" xfId="8852"/>
    <cellStyle name="Comma 19 6 2 2" xfId="15396"/>
    <cellStyle name="Comma 19 6 3" xfId="7133"/>
    <cellStyle name="Comma 19 6 3 2" xfId="13815"/>
    <cellStyle name="Comma 19 6 4" xfId="12030"/>
    <cellStyle name="Comma 19 7" xfId="5542"/>
    <cellStyle name="Comma 19 7 2" xfId="9283"/>
    <cellStyle name="Comma 19 7 2 2" xfId="15790"/>
    <cellStyle name="Comma 19 7 3" xfId="7564"/>
    <cellStyle name="Comma 19 7 3 2" xfId="14209"/>
    <cellStyle name="Comma 19 7 4" xfId="12435"/>
    <cellStyle name="Comma 19 8" xfId="9674"/>
    <cellStyle name="Comma 19 8 2" xfId="16174"/>
    <cellStyle name="Comma 19 9" xfId="7986"/>
    <cellStyle name="Comma 19 9 2" xfId="14603"/>
    <cellStyle name="Comma 2" xfId="10"/>
    <cellStyle name="Comma 2 10" xfId="2783"/>
    <cellStyle name="Comma 2 10 10" xfId="2784"/>
    <cellStyle name="Comma 2 10 11" xfId="2785"/>
    <cellStyle name="Comma 2 10 12" xfId="2786"/>
    <cellStyle name="Comma 2 10 13" xfId="10291"/>
    <cellStyle name="Comma 2 10 2" xfId="2787"/>
    <cellStyle name="Comma 2 10 2 2" xfId="2788"/>
    <cellStyle name="Comma 2 10 2 3" xfId="2789"/>
    <cellStyle name="Comma 2 10 3" xfId="2790"/>
    <cellStyle name="Comma 2 10 4" xfId="2791"/>
    <cellStyle name="Comma 2 10 5" xfId="2792"/>
    <cellStyle name="Comma 2 10 6" xfId="2793"/>
    <cellStyle name="Comma 2 10 6 2" xfId="2794"/>
    <cellStyle name="Comma 2 10 7" xfId="2795"/>
    <cellStyle name="Comma 2 10 7 2" xfId="2796"/>
    <cellStyle name="Comma 2 10 7 3" xfId="2797"/>
    <cellStyle name="Comma 2 10 8" xfId="2798"/>
    <cellStyle name="Comma 2 10 9" xfId="2799"/>
    <cellStyle name="Comma 2 100" xfId="2800"/>
    <cellStyle name="Comma 2 101" xfId="2801"/>
    <cellStyle name="Comma 2 102" xfId="2802"/>
    <cellStyle name="Comma 2 103" xfId="2803"/>
    <cellStyle name="Comma 2 104" xfId="2804"/>
    <cellStyle name="Comma 2 105" xfId="2805"/>
    <cellStyle name="Comma 2 106" xfId="2806"/>
    <cellStyle name="Comma 2 107" xfId="2807"/>
    <cellStyle name="Comma 2 108" xfId="2808"/>
    <cellStyle name="Comma 2 109" xfId="2809"/>
    <cellStyle name="Comma 2 11" xfId="2810"/>
    <cellStyle name="Comma 2 11 2" xfId="10292"/>
    <cellStyle name="Comma 2 110" xfId="2811"/>
    <cellStyle name="Comma 2 111" xfId="2812"/>
    <cellStyle name="Comma 2 112" xfId="2813"/>
    <cellStyle name="Comma 2 112 2" xfId="10293"/>
    <cellStyle name="Comma 2 113" xfId="2814"/>
    <cellStyle name="Comma 2 113 2" xfId="10294"/>
    <cellStyle name="Comma 2 114" xfId="2815"/>
    <cellStyle name="Comma 2 114 2" xfId="10295"/>
    <cellStyle name="Comma 2 115" xfId="2816"/>
    <cellStyle name="Comma 2 115 2" xfId="10296"/>
    <cellStyle name="Comma 2 116" xfId="2817"/>
    <cellStyle name="Comma 2 116 2" xfId="10297"/>
    <cellStyle name="Comma 2 117" xfId="2818"/>
    <cellStyle name="Comma 2 117 2" xfId="10298"/>
    <cellStyle name="Comma 2 118" xfId="2819"/>
    <cellStyle name="Comma 2 118 2" xfId="10299"/>
    <cellStyle name="Comma 2 119" xfId="2820"/>
    <cellStyle name="Comma 2 119 2" xfId="10300"/>
    <cellStyle name="Comma 2 12" xfId="2821"/>
    <cellStyle name="Comma 2 12 2" xfId="10301"/>
    <cellStyle name="Comma 2 120" xfId="2822"/>
    <cellStyle name="Comma 2 120 2" xfId="10302"/>
    <cellStyle name="Comma 2 121" xfId="2823"/>
    <cellStyle name="Comma 2 121 2" xfId="10303"/>
    <cellStyle name="Comma 2 122" xfId="2824"/>
    <cellStyle name="Comma 2 122 2" xfId="10304"/>
    <cellStyle name="Comma 2 123" xfId="2825"/>
    <cellStyle name="Comma 2 123 2" xfId="10305"/>
    <cellStyle name="Comma 2 124" xfId="2826"/>
    <cellStyle name="Comma 2 124 2" xfId="10306"/>
    <cellStyle name="Comma 2 125" xfId="2827"/>
    <cellStyle name="Comma 2 125 2" xfId="10307"/>
    <cellStyle name="Comma 2 126" xfId="2828"/>
    <cellStyle name="Comma 2 126 2" xfId="10308"/>
    <cellStyle name="Comma 2 127" xfId="2829"/>
    <cellStyle name="Comma 2 127 2" xfId="10309"/>
    <cellStyle name="Comma 2 128" xfId="2830"/>
    <cellStyle name="Comma 2 128 2" xfId="10310"/>
    <cellStyle name="Comma 2 129" xfId="2831"/>
    <cellStyle name="Comma 2 129 2" xfId="10311"/>
    <cellStyle name="Comma 2 13" xfId="2832"/>
    <cellStyle name="Comma 2 13 2" xfId="10312"/>
    <cellStyle name="Comma 2 130" xfId="10249"/>
    <cellStyle name="Comma 2 14" xfId="2833"/>
    <cellStyle name="Comma 2 14 2" xfId="10313"/>
    <cellStyle name="Comma 2 15" xfId="2834"/>
    <cellStyle name="Comma 2 15 2" xfId="10314"/>
    <cellStyle name="Comma 2 16" xfId="2835"/>
    <cellStyle name="Comma 2 16 2" xfId="10315"/>
    <cellStyle name="Comma 2 17" xfId="2836"/>
    <cellStyle name="Comma 2 17 2" xfId="10316"/>
    <cellStyle name="Comma 2 18" xfId="2837"/>
    <cellStyle name="Comma 2 18 2" xfId="10317"/>
    <cellStyle name="Comma 2 19" xfId="2838"/>
    <cellStyle name="Comma 2 19 2" xfId="10318"/>
    <cellStyle name="Comma 2 2" xfId="11"/>
    <cellStyle name="Comma 2 2 10" xfId="2839"/>
    <cellStyle name="Comma 2 2 11" xfId="2840"/>
    <cellStyle name="Comma 2 2 12" xfId="2841"/>
    <cellStyle name="Comma 2 2 13" xfId="2842"/>
    <cellStyle name="Comma 2 2 14" xfId="2843"/>
    <cellStyle name="Comma 2 2 15" xfId="2844"/>
    <cellStyle name="Comma 2 2 16" xfId="2845"/>
    <cellStyle name="Comma 2 2 17" xfId="2846"/>
    <cellStyle name="Comma 2 2 18" xfId="2847"/>
    <cellStyle name="Comma 2 2 19" xfId="2848"/>
    <cellStyle name="Comma 2 2 2" xfId="2849"/>
    <cellStyle name="Comma 2 2 2 10" xfId="2850"/>
    <cellStyle name="Comma 2 2 2 10 2" xfId="10320"/>
    <cellStyle name="Comma 2 2 2 11" xfId="2851"/>
    <cellStyle name="Comma 2 2 2 11 2" xfId="10321"/>
    <cellStyle name="Comma 2 2 2 12" xfId="2852"/>
    <cellStyle name="Comma 2 2 2 12 2" xfId="10322"/>
    <cellStyle name="Comma 2 2 2 13" xfId="2853"/>
    <cellStyle name="Comma 2 2 2 13 2" xfId="10323"/>
    <cellStyle name="Comma 2 2 2 14" xfId="2854"/>
    <cellStyle name="Comma 2 2 2 14 2" xfId="10324"/>
    <cellStyle name="Comma 2 2 2 15" xfId="2855"/>
    <cellStyle name="Comma 2 2 2 15 2" xfId="10325"/>
    <cellStyle name="Comma 2 2 2 16" xfId="4411"/>
    <cellStyle name="Comma 2 2 2 16 2" xfId="11367"/>
    <cellStyle name="Comma 2 2 2 17" xfId="10319"/>
    <cellStyle name="Comma 2 2 2 2" xfId="2856"/>
    <cellStyle name="Comma 2 2 2 2 2" xfId="2857"/>
    <cellStyle name="Comma 2 2 2 2 2 10" xfId="2858"/>
    <cellStyle name="Comma 2 2 2 2 2 10 2" xfId="10327"/>
    <cellStyle name="Comma 2 2 2 2 2 11" xfId="2859"/>
    <cellStyle name="Comma 2 2 2 2 2 11 2" xfId="10328"/>
    <cellStyle name="Comma 2 2 2 2 2 12" xfId="2860"/>
    <cellStyle name="Comma 2 2 2 2 2 12 2" xfId="10329"/>
    <cellStyle name="Comma 2 2 2 2 2 13" xfId="2861"/>
    <cellStyle name="Comma 2 2 2 2 2 13 2" xfId="10330"/>
    <cellStyle name="Comma 2 2 2 2 2 14" xfId="2862"/>
    <cellStyle name="Comma 2 2 2 2 2 14 2" xfId="10331"/>
    <cellStyle name="Comma 2 2 2 2 2 15" xfId="10326"/>
    <cellStyle name="Comma 2 2 2 2 2 2" xfId="2863"/>
    <cellStyle name="Comma 2 2 2 2 2 3" xfId="2864"/>
    <cellStyle name="Comma 2 2 2 2 2 3 2" xfId="10332"/>
    <cellStyle name="Comma 2 2 2 2 2 4" xfId="2865"/>
    <cellStyle name="Comma 2 2 2 2 2 4 2" xfId="10333"/>
    <cellStyle name="Comma 2 2 2 2 2 5" xfId="2866"/>
    <cellStyle name="Comma 2 2 2 2 2 5 2" xfId="10334"/>
    <cellStyle name="Comma 2 2 2 2 2 6" xfId="2867"/>
    <cellStyle name="Comma 2 2 2 2 2 6 2" xfId="10335"/>
    <cellStyle name="Comma 2 2 2 2 2 7" xfId="2868"/>
    <cellStyle name="Comma 2 2 2 2 2 7 2" xfId="10336"/>
    <cellStyle name="Comma 2 2 2 2 2 8" xfId="2869"/>
    <cellStyle name="Comma 2 2 2 2 2 8 2" xfId="10337"/>
    <cellStyle name="Comma 2 2 2 2 2 9" xfId="2870"/>
    <cellStyle name="Comma 2 2 2 2 2 9 2" xfId="10338"/>
    <cellStyle name="Comma 2 2 2 3" xfId="2871"/>
    <cellStyle name="Comma 2 2 2 4" xfId="2872"/>
    <cellStyle name="Comma 2 2 2 4 2" xfId="10339"/>
    <cellStyle name="Comma 2 2 2 5" xfId="2873"/>
    <cellStyle name="Comma 2 2 2 5 2" xfId="10340"/>
    <cellStyle name="Comma 2 2 2 6" xfId="2874"/>
    <cellStyle name="Comma 2 2 2 6 2" xfId="10341"/>
    <cellStyle name="Comma 2 2 2 7" xfId="2875"/>
    <cellStyle name="Comma 2 2 2 7 2" xfId="10342"/>
    <cellStyle name="Comma 2 2 2 8" xfId="2876"/>
    <cellStyle name="Comma 2 2 2 8 2" xfId="10343"/>
    <cellStyle name="Comma 2 2 2 9" xfId="2877"/>
    <cellStyle name="Comma 2 2 2 9 2" xfId="10344"/>
    <cellStyle name="Comma 2 2 20" xfId="2878"/>
    <cellStyle name="Comma 2 2 21" xfId="2879"/>
    <cellStyle name="Comma 2 2 22" xfId="2880"/>
    <cellStyle name="Comma 2 2 23" xfId="2881"/>
    <cellStyle name="Comma 2 2 24" xfId="2882"/>
    <cellStyle name="Comma 2 2 25" xfId="2883"/>
    <cellStyle name="Comma 2 2 26" xfId="2884"/>
    <cellStyle name="Comma 2 2 27" xfId="2885"/>
    <cellStyle name="Comma 2 2 28" xfId="2886"/>
    <cellStyle name="Comma 2 2 29" xfId="2887"/>
    <cellStyle name="Comma 2 2 3" xfId="2888"/>
    <cellStyle name="Comma 2 2 3 10" xfId="2889"/>
    <cellStyle name="Comma 2 2 3 10 2" xfId="10346"/>
    <cellStyle name="Comma 2 2 3 11" xfId="2890"/>
    <cellStyle name="Comma 2 2 3 11 2" xfId="10347"/>
    <cellStyle name="Comma 2 2 3 12" xfId="2891"/>
    <cellStyle name="Comma 2 2 3 12 2" xfId="10348"/>
    <cellStyle name="Comma 2 2 3 13" xfId="2892"/>
    <cellStyle name="Comma 2 2 3 13 2" xfId="10349"/>
    <cellStyle name="Comma 2 2 3 14" xfId="10345"/>
    <cellStyle name="Comma 2 2 3 2" xfId="2893"/>
    <cellStyle name="Comma 2 2 3 2 2" xfId="10350"/>
    <cellStyle name="Comma 2 2 3 3" xfId="2894"/>
    <cellStyle name="Comma 2 2 3 3 2" xfId="10351"/>
    <cellStyle name="Comma 2 2 3 4" xfId="2895"/>
    <cellStyle name="Comma 2 2 3 4 2" xfId="10352"/>
    <cellStyle name="Comma 2 2 3 5" xfId="2896"/>
    <cellStyle name="Comma 2 2 3 5 2" xfId="10353"/>
    <cellStyle name="Comma 2 2 3 6" xfId="2897"/>
    <cellStyle name="Comma 2 2 3 6 2" xfId="10354"/>
    <cellStyle name="Comma 2 2 3 7" xfId="2898"/>
    <cellStyle name="Comma 2 2 3 7 2" xfId="10355"/>
    <cellStyle name="Comma 2 2 3 8" xfId="2899"/>
    <cellStyle name="Comma 2 2 3 8 2" xfId="10356"/>
    <cellStyle name="Comma 2 2 3 9" xfId="2900"/>
    <cellStyle name="Comma 2 2 3 9 2" xfId="10357"/>
    <cellStyle name="Comma 2 2 30" xfId="2901"/>
    <cellStyle name="Comma 2 2 31" xfId="2902"/>
    <cellStyle name="Comma 2 2 32" xfId="2903"/>
    <cellStyle name="Comma 2 2 33" xfId="2904"/>
    <cellStyle name="Comma 2 2 34" xfId="2905"/>
    <cellStyle name="Comma 2 2 35" xfId="2906"/>
    <cellStyle name="Comma 2 2 36" xfId="2907"/>
    <cellStyle name="Comma 2 2 37" xfId="2908"/>
    <cellStyle name="Comma 2 2 38" xfId="2909"/>
    <cellStyle name="Comma 2 2 39" xfId="2910"/>
    <cellStyle name="Comma 2 2 4" xfId="2911"/>
    <cellStyle name="Comma 2 2 40" xfId="2912"/>
    <cellStyle name="Comma 2 2 41" xfId="2913"/>
    <cellStyle name="Comma 2 2 42" xfId="2914"/>
    <cellStyle name="Comma 2 2 43" xfId="2915"/>
    <cellStyle name="Comma 2 2 44" xfId="2916"/>
    <cellStyle name="Comma 2 2 45" xfId="2917"/>
    <cellStyle name="Comma 2 2 46" xfId="2918"/>
    <cellStyle name="Comma 2 2 47" xfId="2919"/>
    <cellStyle name="Comma 2 2 48" xfId="2920"/>
    <cellStyle name="Comma 2 2 49" xfId="2921"/>
    <cellStyle name="Comma 2 2 49 2" xfId="10358"/>
    <cellStyle name="Comma 2 2 5" xfId="2922"/>
    <cellStyle name="Comma 2 2 6" xfId="2923"/>
    <cellStyle name="Comma 2 2 7" xfId="2924"/>
    <cellStyle name="Comma 2 2 8" xfId="2925"/>
    <cellStyle name="Comma 2 2 9" xfId="2926"/>
    <cellStyle name="Comma 2 2_3.1.2 DB Pension Detail" xfId="2927"/>
    <cellStyle name="Comma 2 20" xfId="2928"/>
    <cellStyle name="Comma 2 20 2" xfId="10359"/>
    <cellStyle name="Comma 2 21" xfId="2929"/>
    <cellStyle name="Comma 2 21 2" xfId="10360"/>
    <cellStyle name="Comma 2 22" xfId="2930"/>
    <cellStyle name="Comma 2 22 2" xfId="10361"/>
    <cellStyle name="Comma 2 23" xfId="2931"/>
    <cellStyle name="Comma 2 23 2" xfId="10362"/>
    <cellStyle name="Comma 2 24" xfId="2932"/>
    <cellStyle name="Comma 2 24 2" xfId="10363"/>
    <cellStyle name="Comma 2 25" xfId="2933"/>
    <cellStyle name="Comma 2 25 2" xfId="10364"/>
    <cellStyle name="Comma 2 26" xfId="2934"/>
    <cellStyle name="Comma 2 26 2" xfId="10365"/>
    <cellStyle name="Comma 2 27" xfId="2935"/>
    <cellStyle name="Comma 2 27 2" xfId="10366"/>
    <cellStyle name="Comma 2 28" xfId="2936"/>
    <cellStyle name="Comma 2 28 2" xfId="10367"/>
    <cellStyle name="Comma 2 29" xfId="2937"/>
    <cellStyle name="Comma 2 29 2" xfId="10368"/>
    <cellStyle name="Comma 2 3" xfId="2938"/>
    <cellStyle name="Comma 2 3 10" xfId="2939"/>
    <cellStyle name="Comma 2 3 10 2" xfId="10369"/>
    <cellStyle name="Comma 2 3 11" xfId="2940"/>
    <cellStyle name="Comma 2 3 11 2" xfId="10370"/>
    <cellStyle name="Comma 2 3 12" xfId="2941"/>
    <cellStyle name="Comma 2 3 12 2" xfId="10371"/>
    <cellStyle name="Comma 2 3 13" xfId="2942"/>
    <cellStyle name="Comma 2 3 13 2" xfId="10372"/>
    <cellStyle name="Comma 2 3 14" xfId="2943"/>
    <cellStyle name="Comma 2 3 14 2" xfId="10373"/>
    <cellStyle name="Comma 2 3 15" xfId="2944"/>
    <cellStyle name="Comma 2 3 15 2" xfId="10374"/>
    <cellStyle name="Comma 2 3 16" xfId="2945"/>
    <cellStyle name="Comma 2 3 16 2" xfId="10375"/>
    <cellStyle name="Comma 2 3 17" xfId="2946"/>
    <cellStyle name="Comma 2 3 17 2" xfId="10376"/>
    <cellStyle name="Comma 2 3 18" xfId="2947"/>
    <cellStyle name="Comma 2 3 18 2" xfId="10377"/>
    <cellStyle name="Comma 2 3 19" xfId="2948"/>
    <cellStyle name="Comma 2 3 19 2" xfId="10378"/>
    <cellStyle name="Comma 2 3 2" xfId="2949"/>
    <cellStyle name="Comma 2 3 2 2" xfId="2950"/>
    <cellStyle name="Comma 2 3 2 2 10" xfId="2951"/>
    <cellStyle name="Comma 2 3 2 2 10 2" xfId="10381"/>
    <cellStyle name="Comma 2 3 2 2 11" xfId="2952"/>
    <cellStyle name="Comma 2 3 2 2 11 2" xfId="10382"/>
    <cellStyle name="Comma 2 3 2 2 12" xfId="2953"/>
    <cellStyle name="Comma 2 3 2 2 12 2" xfId="10383"/>
    <cellStyle name="Comma 2 3 2 2 13" xfId="2954"/>
    <cellStyle name="Comma 2 3 2 2 13 2" xfId="10384"/>
    <cellStyle name="Comma 2 3 2 2 14" xfId="2955"/>
    <cellStyle name="Comma 2 3 2 2 14 2" xfId="10385"/>
    <cellStyle name="Comma 2 3 2 2 15" xfId="2956"/>
    <cellStyle name="Comma 2 3 2 2 15 2" xfId="10386"/>
    <cellStyle name="Comma 2 3 2 2 16" xfId="10380"/>
    <cellStyle name="Comma 2 3 2 2 2" xfId="2957"/>
    <cellStyle name="Comma 2 3 2 2 2 2" xfId="10387"/>
    <cellStyle name="Comma 2 3 2 2 3" xfId="2958"/>
    <cellStyle name="Comma 2 3 2 2 3 2" xfId="10388"/>
    <cellStyle name="Comma 2 3 2 2 4" xfId="2959"/>
    <cellStyle name="Comma 2 3 2 2 4 2" xfId="10389"/>
    <cellStyle name="Comma 2 3 2 2 5" xfId="2960"/>
    <cellStyle name="Comma 2 3 2 2 5 2" xfId="10390"/>
    <cellStyle name="Comma 2 3 2 2 6" xfId="2961"/>
    <cellStyle name="Comma 2 3 2 2 6 2" xfId="10391"/>
    <cellStyle name="Comma 2 3 2 2 7" xfId="2962"/>
    <cellStyle name="Comma 2 3 2 2 7 2" xfId="10392"/>
    <cellStyle name="Comma 2 3 2 2 8" xfId="2963"/>
    <cellStyle name="Comma 2 3 2 2 8 2" xfId="10393"/>
    <cellStyle name="Comma 2 3 2 2 9" xfId="2964"/>
    <cellStyle name="Comma 2 3 2 2 9 2" xfId="10394"/>
    <cellStyle name="Comma 2 3 2 3" xfId="10379"/>
    <cellStyle name="Comma 2 3 2_3.1.2 DB Pension Detail" xfId="2965"/>
    <cellStyle name="Comma 2 3 20" xfId="2966"/>
    <cellStyle name="Comma 2 3 20 2" xfId="10395"/>
    <cellStyle name="Comma 2 3 21" xfId="2967"/>
    <cellStyle name="Comma 2 3 21 2" xfId="10396"/>
    <cellStyle name="Comma 2 3 22" xfId="2968"/>
    <cellStyle name="Comma 2 3 22 2" xfId="10397"/>
    <cellStyle name="Comma 2 3 23" xfId="2969"/>
    <cellStyle name="Comma 2 3 23 2" xfId="10398"/>
    <cellStyle name="Comma 2 3 24" xfId="2970"/>
    <cellStyle name="Comma 2 3 24 2" xfId="10399"/>
    <cellStyle name="Comma 2 3 25" xfId="2971"/>
    <cellStyle name="Comma 2 3 25 2" xfId="10400"/>
    <cellStyle name="Comma 2 3 26" xfId="2972"/>
    <cellStyle name="Comma 2 3 26 2" xfId="10401"/>
    <cellStyle name="Comma 2 3 27" xfId="2973"/>
    <cellStyle name="Comma 2 3 27 2" xfId="10402"/>
    <cellStyle name="Comma 2 3 28" xfId="2974"/>
    <cellStyle name="Comma 2 3 28 2" xfId="10403"/>
    <cellStyle name="Comma 2 3 29" xfId="2975"/>
    <cellStyle name="Comma 2 3 29 2" xfId="10404"/>
    <cellStyle name="Comma 2 3 3" xfId="2976"/>
    <cellStyle name="Comma 2 3 3 10" xfId="2977"/>
    <cellStyle name="Comma 2 3 3 10 2" xfId="10406"/>
    <cellStyle name="Comma 2 3 3 11" xfId="2978"/>
    <cellStyle name="Comma 2 3 3 11 2" xfId="10407"/>
    <cellStyle name="Comma 2 3 3 12" xfId="2979"/>
    <cellStyle name="Comma 2 3 3 12 2" xfId="10408"/>
    <cellStyle name="Comma 2 3 3 13" xfId="2980"/>
    <cellStyle name="Comma 2 3 3 13 2" xfId="10409"/>
    <cellStyle name="Comma 2 3 3 14" xfId="10405"/>
    <cellStyle name="Comma 2 3 3 2" xfId="2981"/>
    <cellStyle name="Comma 2 3 3 2 2" xfId="10410"/>
    <cellStyle name="Comma 2 3 3 3" xfId="2982"/>
    <cellStyle name="Comma 2 3 3 3 2" xfId="10411"/>
    <cellStyle name="Comma 2 3 3 4" xfId="2983"/>
    <cellStyle name="Comma 2 3 3 4 2" xfId="10412"/>
    <cellStyle name="Comma 2 3 3 5" xfId="2984"/>
    <cellStyle name="Comma 2 3 3 5 2" xfId="10413"/>
    <cellStyle name="Comma 2 3 3 6" xfId="2985"/>
    <cellStyle name="Comma 2 3 3 6 2" xfId="10414"/>
    <cellStyle name="Comma 2 3 3 7" xfId="2986"/>
    <cellStyle name="Comma 2 3 3 7 2" xfId="10415"/>
    <cellStyle name="Comma 2 3 3 8" xfId="2987"/>
    <cellStyle name="Comma 2 3 3 8 2" xfId="10416"/>
    <cellStyle name="Comma 2 3 3 9" xfId="2988"/>
    <cellStyle name="Comma 2 3 3 9 2" xfId="10417"/>
    <cellStyle name="Comma 2 3 30" xfId="2989"/>
    <cellStyle name="Comma 2 3 30 2" xfId="10418"/>
    <cellStyle name="Comma 2 3 31" xfId="2990"/>
    <cellStyle name="Comma 2 3 31 2" xfId="10419"/>
    <cellStyle name="Comma 2 3 32" xfId="2991"/>
    <cellStyle name="Comma 2 3 32 2" xfId="10420"/>
    <cellStyle name="Comma 2 3 33" xfId="2992"/>
    <cellStyle name="Comma 2 3 33 2" xfId="10421"/>
    <cellStyle name="Comma 2 3 34" xfId="2993"/>
    <cellStyle name="Comma 2 3 34 2" xfId="10422"/>
    <cellStyle name="Comma 2 3 35" xfId="2994"/>
    <cellStyle name="Comma 2 3 35 2" xfId="10423"/>
    <cellStyle name="Comma 2 3 36" xfId="2995"/>
    <cellStyle name="Comma 2 3 36 2" xfId="10424"/>
    <cellStyle name="Comma 2 3 37" xfId="2996"/>
    <cellStyle name="Comma 2 3 37 2" xfId="10425"/>
    <cellStyle name="Comma 2 3 38" xfId="2997"/>
    <cellStyle name="Comma 2 3 38 2" xfId="10426"/>
    <cellStyle name="Comma 2 3 39" xfId="2998"/>
    <cellStyle name="Comma 2 3 39 2" xfId="10427"/>
    <cellStyle name="Comma 2 3 4" xfId="2999"/>
    <cellStyle name="Comma 2 3 4 2" xfId="10428"/>
    <cellStyle name="Comma 2 3 40" xfId="3000"/>
    <cellStyle name="Comma 2 3 40 2" xfId="10429"/>
    <cellStyle name="Comma 2 3 41" xfId="3001"/>
    <cellStyle name="Comma 2 3 41 2" xfId="10430"/>
    <cellStyle name="Comma 2 3 42" xfId="3002"/>
    <cellStyle name="Comma 2 3 42 2" xfId="10431"/>
    <cellStyle name="Comma 2 3 43" xfId="3003"/>
    <cellStyle name="Comma 2 3 43 2" xfId="10432"/>
    <cellStyle name="Comma 2 3 44" xfId="3004"/>
    <cellStyle name="Comma 2 3 44 2" xfId="10433"/>
    <cellStyle name="Comma 2 3 45" xfId="3005"/>
    <cellStyle name="Comma 2 3 45 2" xfId="10434"/>
    <cellStyle name="Comma 2 3 46" xfId="3006"/>
    <cellStyle name="Comma 2 3 46 2" xfId="10435"/>
    <cellStyle name="Comma 2 3 47" xfId="3007"/>
    <cellStyle name="Comma 2 3 47 2" xfId="10436"/>
    <cellStyle name="Comma 2 3 48" xfId="3008"/>
    <cellStyle name="Comma 2 3 48 2" xfId="10437"/>
    <cellStyle name="Comma 2 3 5" xfId="3009"/>
    <cellStyle name="Comma 2 3 5 2" xfId="10438"/>
    <cellStyle name="Comma 2 3 6" xfId="3010"/>
    <cellStyle name="Comma 2 3 6 2" xfId="10439"/>
    <cellStyle name="Comma 2 3 7" xfId="3011"/>
    <cellStyle name="Comma 2 3 7 2" xfId="10440"/>
    <cellStyle name="Comma 2 3 8" xfId="3012"/>
    <cellStyle name="Comma 2 3 8 2" xfId="10441"/>
    <cellStyle name="Comma 2 3 9" xfId="3013"/>
    <cellStyle name="Comma 2 3 9 2" xfId="10442"/>
    <cellStyle name="Comma 2 3_3.1.2 DB Pension Detail" xfId="3014"/>
    <cellStyle name="Comma 2 30" xfId="3015"/>
    <cellStyle name="Comma 2 30 2" xfId="10443"/>
    <cellStyle name="Comma 2 31" xfId="3016"/>
    <cellStyle name="Comma 2 31 2" xfId="10444"/>
    <cellStyle name="Comma 2 32" xfId="3017"/>
    <cellStyle name="Comma 2 32 2" xfId="10445"/>
    <cellStyle name="Comma 2 33" xfId="3018"/>
    <cellStyle name="Comma 2 33 2" xfId="10446"/>
    <cellStyle name="Comma 2 34" xfId="3019"/>
    <cellStyle name="Comma 2 34 2" xfId="10447"/>
    <cellStyle name="Comma 2 35" xfId="3020"/>
    <cellStyle name="Comma 2 35 2" xfId="10448"/>
    <cellStyle name="Comma 2 36" xfId="3021"/>
    <cellStyle name="Comma 2 36 2" xfId="10449"/>
    <cellStyle name="Comma 2 37" xfId="3022"/>
    <cellStyle name="Comma 2 37 2" xfId="10450"/>
    <cellStyle name="Comma 2 38" xfId="3023"/>
    <cellStyle name="Comma 2 38 2" xfId="10451"/>
    <cellStyle name="Comma 2 39" xfId="3024"/>
    <cellStyle name="Comma 2 39 2" xfId="10452"/>
    <cellStyle name="Comma 2 4" xfId="3025"/>
    <cellStyle name="Comma 2 4 10" xfId="3026"/>
    <cellStyle name="Comma 2 4 10 2" xfId="10454"/>
    <cellStyle name="Comma 2 4 11" xfId="3027"/>
    <cellStyle name="Comma 2 4 11 2" xfId="10455"/>
    <cellStyle name="Comma 2 4 12" xfId="3028"/>
    <cellStyle name="Comma 2 4 12 2" xfId="10456"/>
    <cellStyle name="Comma 2 4 13" xfId="3029"/>
    <cellStyle name="Comma 2 4 13 2" xfId="10457"/>
    <cellStyle name="Comma 2 4 14" xfId="3030"/>
    <cellStyle name="Comma 2 4 14 2" xfId="10458"/>
    <cellStyle name="Comma 2 4 15" xfId="3031"/>
    <cellStyle name="Comma 2 4 15 2" xfId="10459"/>
    <cellStyle name="Comma 2 4 16" xfId="3032"/>
    <cellStyle name="Comma 2 4 16 2" xfId="10460"/>
    <cellStyle name="Comma 2 4 17" xfId="3033"/>
    <cellStyle name="Comma 2 4 17 2" xfId="10461"/>
    <cellStyle name="Comma 2 4 18" xfId="3034"/>
    <cellStyle name="Comma 2 4 18 2" xfId="10462"/>
    <cellStyle name="Comma 2 4 19" xfId="3035"/>
    <cellStyle name="Comma 2 4 19 2" xfId="10463"/>
    <cellStyle name="Comma 2 4 2" xfId="3036"/>
    <cellStyle name="Comma 2 4 2 10" xfId="3037"/>
    <cellStyle name="Comma 2 4 2 10 2" xfId="10465"/>
    <cellStyle name="Comma 2 4 2 11" xfId="3038"/>
    <cellStyle name="Comma 2 4 2 11 2" xfId="10466"/>
    <cellStyle name="Comma 2 4 2 12" xfId="3039"/>
    <cellStyle name="Comma 2 4 2 12 2" xfId="10467"/>
    <cellStyle name="Comma 2 4 2 13" xfId="3040"/>
    <cellStyle name="Comma 2 4 2 13 2" xfId="10468"/>
    <cellStyle name="Comma 2 4 2 14" xfId="3041"/>
    <cellStyle name="Comma 2 4 2 14 2" xfId="10469"/>
    <cellStyle name="Comma 2 4 2 15" xfId="3042"/>
    <cellStyle name="Comma 2 4 2 15 2" xfId="10470"/>
    <cellStyle name="Comma 2 4 2 16" xfId="3043"/>
    <cellStyle name="Comma 2 4 2 16 2" xfId="10471"/>
    <cellStyle name="Comma 2 4 2 17" xfId="3044"/>
    <cellStyle name="Comma 2 4 2 17 2" xfId="10472"/>
    <cellStyle name="Comma 2 4 2 18" xfId="10464"/>
    <cellStyle name="Comma 2 4 2 2" xfId="3045"/>
    <cellStyle name="Comma 2 4 2 2 2" xfId="10473"/>
    <cellStyle name="Comma 2 4 2 3" xfId="3046"/>
    <cellStyle name="Comma 2 4 2 3 2" xfId="10474"/>
    <cellStyle name="Comma 2 4 2 4" xfId="3047"/>
    <cellStyle name="Comma 2 4 2 4 2" xfId="10475"/>
    <cellStyle name="Comma 2 4 2 5" xfId="3048"/>
    <cellStyle name="Comma 2 4 2 5 2" xfId="10476"/>
    <cellStyle name="Comma 2 4 2 6" xfId="3049"/>
    <cellStyle name="Comma 2 4 2 6 2" xfId="10477"/>
    <cellStyle name="Comma 2 4 2 7" xfId="3050"/>
    <cellStyle name="Comma 2 4 2 7 2" xfId="10478"/>
    <cellStyle name="Comma 2 4 2 8" xfId="3051"/>
    <cellStyle name="Comma 2 4 2 8 2" xfId="10479"/>
    <cellStyle name="Comma 2 4 2 9" xfId="3052"/>
    <cellStyle name="Comma 2 4 2 9 2" xfId="10480"/>
    <cellStyle name="Comma 2 4 20" xfId="3053"/>
    <cellStyle name="Comma 2 4 20 2" xfId="10481"/>
    <cellStyle name="Comma 2 4 21" xfId="3054"/>
    <cellStyle name="Comma 2 4 21 2" xfId="10482"/>
    <cellStyle name="Comma 2 4 22" xfId="3055"/>
    <cellStyle name="Comma 2 4 22 2" xfId="10483"/>
    <cellStyle name="Comma 2 4 23" xfId="3056"/>
    <cellStyle name="Comma 2 4 23 2" xfId="10484"/>
    <cellStyle name="Comma 2 4 24" xfId="3057"/>
    <cellStyle name="Comma 2 4 24 2" xfId="10485"/>
    <cellStyle name="Comma 2 4 25" xfId="3058"/>
    <cellStyle name="Comma 2 4 25 2" xfId="10486"/>
    <cellStyle name="Comma 2 4 26" xfId="3059"/>
    <cellStyle name="Comma 2 4 26 2" xfId="10487"/>
    <cellStyle name="Comma 2 4 27" xfId="3060"/>
    <cellStyle name="Comma 2 4 27 2" xfId="10488"/>
    <cellStyle name="Comma 2 4 28" xfId="3061"/>
    <cellStyle name="Comma 2 4 28 2" xfId="10489"/>
    <cellStyle name="Comma 2 4 29" xfId="3062"/>
    <cellStyle name="Comma 2 4 29 2" xfId="10490"/>
    <cellStyle name="Comma 2 4 3" xfId="3063"/>
    <cellStyle name="Comma 2 4 3 2" xfId="10491"/>
    <cellStyle name="Comma 2 4 30" xfId="3064"/>
    <cellStyle name="Comma 2 4 30 2" xfId="10492"/>
    <cellStyle name="Comma 2 4 31" xfId="3065"/>
    <cellStyle name="Comma 2 4 31 2" xfId="10493"/>
    <cellStyle name="Comma 2 4 32" xfId="3066"/>
    <cellStyle name="Comma 2 4 32 2" xfId="10494"/>
    <cellStyle name="Comma 2 4 33" xfId="3067"/>
    <cellStyle name="Comma 2 4 33 2" xfId="10495"/>
    <cellStyle name="Comma 2 4 34" xfId="3068"/>
    <cellStyle name="Comma 2 4 34 2" xfId="10496"/>
    <cellStyle name="Comma 2 4 35" xfId="3069"/>
    <cellStyle name="Comma 2 4 35 2" xfId="10497"/>
    <cellStyle name="Comma 2 4 36" xfId="3070"/>
    <cellStyle name="Comma 2 4 36 2" xfId="10498"/>
    <cellStyle name="Comma 2 4 37" xfId="3071"/>
    <cellStyle name="Comma 2 4 37 2" xfId="10499"/>
    <cellStyle name="Comma 2 4 38" xfId="3072"/>
    <cellStyle name="Comma 2 4 38 2" xfId="10500"/>
    <cellStyle name="Comma 2 4 39" xfId="3073"/>
    <cellStyle name="Comma 2 4 39 2" xfId="10501"/>
    <cellStyle name="Comma 2 4 4" xfId="3074"/>
    <cellStyle name="Comma 2 4 4 2" xfId="10502"/>
    <cellStyle name="Comma 2 4 40" xfId="3075"/>
    <cellStyle name="Comma 2 4 40 2" xfId="10503"/>
    <cellStyle name="Comma 2 4 41" xfId="3076"/>
    <cellStyle name="Comma 2 4 41 2" xfId="10504"/>
    <cellStyle name="Comma 2 4 42" xfId="3077"/>
    <cellStyle name="Comma 2 4 42 2" xfId="10505"/>
    <cellStyle name="Comma 2 4 43" xfId="3078"/>
    <cellStyle name="Comma 2 4 43 2" xfId="10506"/>
    <cellStyle name="Comma 2 4 44" xfId="3079"/>
    <cellStyle name="Comma 2 4 44 2" xfId="10507"/>
    <cellStyle name="Comma 2 4 45" xfId="3080"/>
    <cellStyle name="Comma 2 4 45 2" xfId="10508"/>
    <cellStyle name="Comma 2 4 46" xfId="3081"/>
    <cellStyle name="Comma 2 4 46 2" xfId="10509"/>
    <cellStyle name="Comma 2 4 47" xfId="3082"/>
    <cellStyle name="Comma 2 4 47 2" xfId="10510"/>
    <cellStyle name="Comma 2 4 48" xfId="3083"/>
    <cellStyle name="Comma 2 4 48 2" xfId="10511"/>
    <cellStyle name="Comma 2 4 49" xfId="3084"/>
    <cellStyle name="Comma 2 4 49 2" xfId="10512"/>
    <cellStyle name="Comma 2 4 5" xfId="3085"/>
    <cellStyle name="Comma 2 4 5 2" xfId="10513"/>
    <cellStyle name="Comma 2 4 50" xfId="3086"/>
    <cellStyle name="Comma 2 4 50 2" xfId="10514"/>
    <cellStyle name="Comma 2 4 51" xfId="3087"/>
    <cellStyle name="Comma 2 4 51 2" xfId="10515"/>
    <cellStyle name="Comma 2 4 52" xfId="3088"/>
    <cellStyle name="Comma 2 4 52 2" xfId="10516"/>
    <cellStyle name="Comma 2 4 53" xfId="3089"/>
    <cellStyle name="Comma 2 4 53 2" xfId="10517"/>
    <cellStyle name="Comma 2 4 54" xfId="3090"/>
    <cellStyle name="Comma 2 4 54 2" xfId="10518"/>
    <cellStyle name="Comma 2 4 55" xfId="3091"/>
    <cellStyle name="Comma 2 4 55 2" xfId="10519"/>
    <cellStyle name="Comma 2 4 56" xfId="3092"/>
    <cellStyle name="Comma 2 4 56 2" xfId="10520"/>
    <cellStyle name="Comma 2 4 57" xfId="3093"/>
    <cellStyle name="Comma 2 4 57 2" xfId="10521"/>
    <cellStyle name="Comma 2 4 58" xfId="3094"/>
    <cellStyle name="Comma 2 4 58 2" xfId="10522"/>
    <cellStyle name="Comma 2 4 59" xfId="3095"/>
    <cellStyle name="Comma 2 4 59 2" xfId="10523"/>
    <cellStyle name="Comma 2 4 6" xfId="3096"/>
    <cellStyle name="Comma 2 4 6 2" xfId="10524"/>
    <cellStyle name="Comma 2 4 60" xfId="3097"/>
    <cellStyle name="Comma 2 4 60 2" xfId="10525"/>
    <cellStyle name="Comma 2 4 61" xfId="3098"/>
    <cellStyle name="Comma 2 4 61 2" xfId="10526"/>
    <cellStyle name="Comma 2 4 62" xfId="3099"/>
    <cellStyle name="Comma 2 4 62 2" xfId="10527"/>
    <cellStyle name="Comma 2 4 63" xfId="3100"/>
    <cellStyle name="Comma 2 4 63 2" xfId="10528"/>
    <cellStyle name="Comma 2 4 64" xfId="3101"/>
    <cellStyle name="Comma 2 4 65" xfId="3102"/>
    <cellStyle name="Comma 2 4 66" xfId="3103"/>
    <cellStyle name="Comma 2 4 67" xfId="3104"/>
    <cellStyle name="Comma 2 4 68" xfId="3105"/>
    <cellStyle name="Comma 2 4 69" xfId="3106"/>
    <cellStyle name="Comma 2 4 7" xfId="3107"/>
    <cellStyle name="Comma 2 4 7 2" xfId="10529"/>
    <cellStyle name="Comma 2 4 70" xfId="3108"/>
    <cellStyle name="Comma 2 4 71" xfId="3109"/>
    <cellStyle name="Comma 2 4 72" xfId="3110"/>
    <cellStyle name="Comma 2 4 73" xfId="3111"/>
    <cellStyle name="Comma 2 4 74" xfId="3112"/>
    <cellStyle name="Comma 2 4 75" xfId="3113"/>
    <cellStyle name="Comma 2 4 76" xfId="3114"/>
    <cellStyle name="Comma 2 4 77" xfId="3115"/>
    <cellStyle name="Comma 2 4 78" xfId="3116"/>
    <cellStyle name="Comma 2 4 79" xfId="10453"/>
    <cellStyle name="Comma 2 4 8" xfId="3117"/>
    <cellStyle name="Comma 2 4 8 2" xfId="10530"/>
    <cellStyle name="Comma 2 4 9" xfId="3118"/>
    <cellStyle name="Comma 2 4 9 2" xfId="10531"/>
    <cellStyle name="Comma 2 40" xfId="3119"/>
    <cellStyle name="Comma 2 40 2" xfId="10532"/>
    <cellStyle name="Comma 2 41" xfId="3120"/>
    <cellStyle name="Comma 2 41 2" xfId="10533"/>
    <cellStyle name="Comma 2 42" xfId="3121"/>
    <cellStyle name="Comma 2 42 2" xfId="10534"/>
    <cellStyle name="Comma 2 43" xfId="3122"/>
    <cellStyle name="Comma 2 43 2" xfId="10535"/>
    <cellStyle name="Comma 2 44" xfId="3123"/>
    <cellStyle name="Comma 2 44 2" xfId="10536"/>
    <cellStyle name="Comma 2 45" xfId="3124"/>
    <cellStyle name="Comma 2 45 2" xfId="10537"/>
    <cellStyle name="Comma 2 46" xfId="3125"/>
    <cellStyle name="Comma 2 46 2" xfId="10538"/>
    <cellStyle name="Comma 2 47" xfId="3126"/>
    <cellStyle name="Comma 2 47 2" xfId="10539"/>
    <cellStyle name="Comma 2 48" xfId="3127"/>
    <cellStyle name="Comma 2 48 2" xfId="10540"/>
    <cellStyle name="Comma 2 49" xfId="3128"/>
    <cellStyle name="Comma 2 49 2" xfId="10541"/>
    <cellStyle name="Comma 2 5" xfId="3129"/>
    <cellStyle name="Comma 2 5 2" xfId="10542"/>
    <cellStyle name="Comma 2 50" xfId="3130"/>
    <cellStyle name="Comma 2 50 2" xfId="10543"/>
    <cellStyle name="Comma 2 51" xfId="3131"/>
    <cellStyle name="Comma 2 51 10" xfId="3132"/>
    <cellStyle name="Comma 2 51 11" xfId="3133"/>
    <cellStyle name="Comma 2 51 12" xfId="3134"/>
    <cellStyle name="Comma 2 51 13" xfId="3135"/>
    <cellStyle name="Comma 2 51 14" xfId="3136"/>
    <cellStyle name="Comma 2 51 15" xfId="3137"/>
    <cellStyle name="Comma 2 51 16" xfId="3138"/>
    <cellStyle name="Comma 2 51 17" xfId="3139"/>
    <cellStyle name="Comma 2 51 18" xfId="10544"/>
    <cellStyle name="Comma 2 51 2" xfId="3140"/>
    <cellStyle name="Comma 2 51 3" xfId="3141"/>
    <cellStyle name="Comma 2 51 4" xfId="3142"/>
    <cellStyle name="Comma 2 51 5" xfId="3143"/>
    <cellStyle name="Comma 2 51 6" xfId="3144"/>
    <cellStyle name="Comma 2 51 7" xfId="3145"/>
    <cellStyle name="Comma 2 51 8" xfId="3146"/>
    <cellStyle name="Comma 2 51 9" xfId="3147"/>
    <cellStyle name="Comma 2 52" xfId="3148"/>
    <cellStyle name="Comma 2 52 10" xfId="3149"/>
    <cellStyle name="Comma 2 52 11" xfId="3150"/>
    <cellStyle name="Comma 2 52 12" xfId="3151"/>
    <cellStyle name="Comma 2 52 13" xfId="3152"/>
    <cellStyle name="Comma 2 52 14" xfId="3153"/>
    <cellStyle name="Comma 2 52 15" xfId="3154"/>
    <cellStyle name="Comma 2 52 16" xfId="3155"/>
    <cellStyle name="Comma 2 52 17" xfId="3156"/>
    <cellStyle name="Comma 2 52 18" xfId="10545"/>
    <cellStyle name="Comma 2 52 2" xfId="3157"/>
    <cellStyle name="Comma 2 52 3" xfId="3158"/>
    <cellStyle name="Comma 2 52 4" xfId="3159"/>
    <cellStyle name="Comma 2 52 5" xfId="3160"/>
    <cellStyle name="Comma 2 52 6" xfId="3161"/>
    <cellStyle name="Comma 2 52 7" xfId="3162"/>
    <cellStyle name="Comma 2 52 8" xfId="3163"/>
    <cellStyle name="Comma 2 52 9" xfId="3164"/>
    <cellStyle name="Comma 2 53" xfId="3165"/>
    <cellStyle name="Comma 2 53 2" xfId="10546"/>
    <cellStyle name="Comma 2 54" xfId="3166"/>
    <cellStyle name="Comma 2 54 2" xfId="10547"/>
    <cellStyle name="Comma 2 55" xfId="3167"/>
    <cellStyle name="Comma 2 55 2" xfId="10548"/>
    <cellStyle name="Comma 2 56" xfId="3168"/>
    <cellStyle name="Comma 2 56 2" xfId="10549"/>
    <cellStyle name="Comma 2 57" xfId="3169"/>
    <cellStyle name="Comma 2 57 2" xfId="10550"/>
    <cellStyle name="Comma 2 58" xfId="3170"/>
    <cellStyle name="Comma 2 58 2" xfId="10551"/>
    <cellStyle name="Comma 2 59" xfId="3171"/>
    <cellStyle name="Comma 2 59 2" xfId="10552"/>
    <cellStyle name="Comma 2 6" xfId="3172"/>
    <cellStyle name="Comma 2 6 2" xfId="10553"/>
    <cellStyle name="Comma 2 60" xfId="3173"/>
    <cellStyle name="Comma 2 60 2" xfId="10554"/>
    <cellStyle name="Comma 2 61" xfId="3174"/>
    <cellStyle name="Comma 2 61 2" xfId="10555"/>
    <cellStyle name="Comma 2 62" xfId="3175"/>
    <cellStyle name="Comma 2 62 2" xfId="10556"/>
    <cellStyle name="Comma 2 63" xfId="3176"/>
    <cellStyle name="Comma 2 63 2" xfId="10557"/>
    <cellStyle name="Comma 2 64" xfId="3177"/>
    <cellStyle name="Comma 2 65" xfId="3178"/>
    <cellStyle name="Comma 2 66" xfId="3179"/>
    <cellStyle name="Comma 2 67" xfId="3180"/>
    <cellStyle name="Comma 2 68" xfId="3181"/>
    <cellStyle name="Comma 2 69" xfId="3182"/>
    <cellStyle name="Comma 2 7" xfId="3183"/>
    <cellStyle name="Comma 2 7 2" xfId="10558"/>
    <cellStyle name="Comma 2 70" xfId="3184"/>
    <cellStyle name="Comma 2 71" xfId="3185"/>
    <cellStyle name="Comma 2 72" xfId="3186"/>
    <cellStyle name="Comma 2 73" xfId="3187"/>
    <cellStyle name="Comma 2 74" xfId="3188"/>
    <cellStyle name="Comma 2 75" xfId="3189"/>
    <cellStyle name="Comma 2 76" xfId="3190"/>
    <cellStyle name="Comma 2 77" xfId="3191"/>
    <cellStyle name="Comma 2 78" xfId="3192"/>
    <cellStyle name="Comma 2 79" xfId="3193"/>
    <cellStyle name="Comma 2 8" xfId="3194"/>
    <cellStyle name="Comma 2 8 2" xfId="10559"/>
    <cellStyle name="Comma 2 80" xfId="3195"/>
    <cellStyle name="Comma 2 81" xfId="3196"/>
    <cellStyle name="Comma 2 82" xfId="3197"/>
    <cellStyle name="Comma 2 83" xfId="3198"/>
    <cellStyle name="Comma 2 84" xfId="3199"/>
    <cellStyle name="Comma 2 85" xfId="3200"/>
    <cellStyle name="Comma 2 86" xfId="3201"/>
    <cellStyle name="Comma 2 87" xfId="3202"/>
    <cellStyle name="Comma 2 88" xfId="3203"/>
    <cellStyle name="Comma 2 89" xfId="3204"/>
    <cellStyle name="Comma 2 9" xfId="3205"/>
    <cellStyle name="Comma 2 9 2" xfId="10560"/>
    <cellStyle name="Comma 2 90" xfId="3206"/>
    <cellStyle name="Comma 2 91" xfId="3207"/>
    <cellStyle name="Comma 2 92" xfId="3208"/>
    <cellStyle name="Comma 2 93" xfId="3209"/>
    <cellStyle name="Comma 2 94" xfId="3210"/>
    <cellStyle name="Comma 2 95" xfId="3211"/>
    <cellStyle name="Comma 2 96" xfId="3212"/>
    <cellStyle name="Comma 2 97" xfId="3213"/>
    <cellStyle name="Comma 2 98" xfId="3214"/>
    <cellStyle name="Comma 2 99" xfId="3215"/>
    <cellStyle name="Comma 2*" xfId="3216"/>
    <cellStyle name="Comma 2_2.11 Staff NG BS" xfId="3217"/>
    <cellStyle name="Comma 20" xfId="3218"/>
    <cellStyle name="Comma 20 2" xfId="3219"/>
    <cellStyle name="Comma 20 2 2" xfId="10562"/>
    <cellStyle name="Comma 20 3" xfId="3220"/>
    <cellStyle name="Comma 20 3 2" xfId="10563"/>
    <cellStyle name="Comma 20 4" xfId="10561"/>
    <cellStyle name="Comma 21" xfId="3221"/>
    <cellStyle name="Comma 21 2" xfId="3222"/>
    <cellStyle name="Comma 21 2 2" xfId="10565"/>
    <cellStyle name="Comma 21 3" xfId="3223"/>
    <cellStyle name="Comma 21 3 2" xfId="10566"/>
    <cellStyle name="Comma 21 4" xfId="3224"/>
    <cellStyle name="Comma 21 4 2" xfId="10567"/>
    <cellStyle name="Comma 21 5" xfId="10564"/>
    <cellStyle name="Comma 22" xfId="3225"/>
    <cellStyle name="Comma 22 10" xfId="10568"/>
    <cellStyle name="Comma 22 2" xfId="3226"/>
    <cellStyle name="Comma 22 2 2" xfId="4484"/>
    <cellStyle name="Comma 22 2 2 2" xfId="4856"/>
    <cellStyle name="Comma 22 2 2 2 2" xfId="8599"/>
    <cellStyle name="Comma 22 2 2 2 2 2" xfId="15147"/>
    <cellStyle name="Comma 22 2 2 2 3" xfId="6880"/>
    <cellStyle name="Comma 22 2 2 2 3 2" xfId="13566"/>
    <cellStyle name="Comma 22 2 2 2 4" xfId="11781"/>
    <cellStyle name="Comma 22 2 2 3" xfId="5311"/>
    <cellStyle name="Comma 22 2 2 3 2" xfId="9054"/>
    <cellStyle name="Comma 22 2 2 3 2 2" xfId="15598"/>
    <cellStyle name="Comma 22 2 2 3 3" xfId="7335"/>
    <cellStyle name="Comma 22 2 2 3 3 2" xfId="14017"/>
    <cellStyle name="Comma 22 2 2 3 4" xfId="12232"/>
    <cellStyle name="Comma 22 2 2 4" xfId="5749"/>
    <cellStyle name="Comma 22 2 2 4 2" xfId="9490"/>
    <cellStyle name="Comma 22 2 2 4 2 2" xfId="15992"/>
    <cellStyle name="Comma 22 2 2 4 3" xfId="7771"/>
    <cellStyle name="Comma 22 2 2 4 3 2" xfId="14411"/>
    <cellStyle name="Comma 22 2 2 4 4" xfId="12642"/>
    <cellStyle name="Comma 22 2 2 5" xfId="9852"/>
    <cellStyle name="Comma 22 2 2 5 2" xfId="16333"/>
    <cellStyle name="Comma 22 2 2 6" xfId="8248"/>
    <cellStyle name="Comma 22 2 2 6 2" xfId="14805"/>
    <cellStyle name="Comma 22 2 2 7" xfId="6529"/>
    <cellStyle name="Comma 22 2 2 7 2" xfId="13219"/>
    <cellStyle name="Comma 22 2 2 8" xfId="11429"/>
    <cellStyle name="Comma 22 2 3" xfId="4757"/>
    <cellStyle name="Comma 22 2 3 2" xfId="8500"/>
    <cellStyle name="Comma 22 2 3 2 2" xfId="15052"/>
    <cellStyle name="Comma 22 2 3 3" xfId="6781"/>
    <cellStyle name="Comma 22 2 3 3 2" xfId="13471"/>
    <cellStyle name="Comma 22 2 3 4" xfId="11686"/>
    <cellStyle name="Comma 22 2 4" xfId="5114"/>
    <cellStyle name="Comma 22 2 4 2" xfId="8857"/>
    <cellStyle name="Comma 22 2 4 2 2" xfId="15401"/>
    <cellStyle name="Comma 22 2 4 3" xfId="7138"/>
    <cellStyle name="Comma 22 2 4 3 2" xfId="13820"/>
    <cellStyle name="Comma 22 2 4 4" xfId="12035"/>
    <cellStyle name="Comma 22 2 5" xfId="5547"/>
    <cellStyle name="Comma 22 2 5 2" xfId="9288"/>
    <cellStyle name="Comma 22 2 5 2 2" xfId="15795"/>
    <cellStyle name="Comma 22 2 5 3" xfId="7569"/>
    <cellStyle name="Comma 22 2 5 3 2" xfId="14214"/>
    <cellStyle name="Comma 22 2 5 4" xfId="12440"/>
    <cellStyle name="Comma 22 2 6" xfId="9747"/>
    <cellStyle name="Comma 22 2 6 2" xfId="16238"/>
    <cellStyle name="Comma 22 2 7" xfId="7994"/>
    <cellStyle name="Comma 22 2 7 2" xfId="14608"/>
    <cellStyle name="Comma 22 2 8" xfId="6226"/>
    <cellStyle name="Comma 22 2 8 2" xfId="12951"/>
    <cellStyle name="Comma 22 2 9" xfId="10569"/>
    <cellStyle name="Comma 22 3" xfId="4483"/>
    <cellStyle name="Comma 22 3 2" xfId="4857"/>
    <cellStyle name="Comma 22 3 2 2" xfId="8600"/>
    <cellStyle name="Comma 22 3 2 2 2" xfId="15148"/>
    <cellStyle name="Comma 22 3 2 3" xfId="6881"/>
    <cellStyle name="Comma 22 3 2 3 2" xfId="13567"/>
    <cellStyle name="Comma 22 3 2 4" xfId="11782"/>
    <cellStyle name="Comma 22 3 3" xfId="5310"/>
    <cellStyle name="Comma 22 3 3 2" xfId="9053"/>
    <cellStyle name="Comma 22 3 3 2 2" xfId="15597"/>
    <cellStyle name="Comma 22 3 3 3" xfId="7334"/>
    <cellStyle name="Comma 22 3 3 3 2" xfId="14016"/>
    <cellStyle name="Comma 22 3 3 4" xfId="12231"/>
    <cellStyle name="Comma 22 3 4" xfId="5748"/>
    <cellStyle name="Comma 22 3 4 2" xfId="9489"/>
    <cellStyle name="Comma 22 3 4 2 2" xfId="15991"/>
    <cellStyle name="Comma 22 3 4 3" xfId="7770"/>
    <cellStyle name="Comma 22 3 4 3 2" xfId="14410"/>
    <cellStyle name="Comma 22 3 4 4" xfId="12641"/>
    <cellStyle name="Comma 22 3 5" xfId="9853"/>
    <cellStyle name="Comma 22 3 5 2" xfId="16334"/>
    <cellStyle name="Comma 22 3 6" xfId="8247"/>
    <cellStyle name="Comma 22 3 6 2" xfId="14804"/>
    <cellStyle name="Comma 22 3 7" xfId="6528"/>
    <cellStyle name="Comma 22 3 7 2" xfId="13218"/>
    <cellStyle name="Comma 22 3 8" xfId="11428"/>
    <cellStyle name="Comma 22 4" xfId="4693"/>
    <cellStyle name="Comma 22 4 2" xfId="8439"/>
    <cellStyle name="Comma 22 4 2 2" xfId="14991"/>
    <cellStyle name="Comma 22 4 3" xfId="6720"/>
    <cellStyle name="Comma 22 4 3 2" xfId="13410"/>
    <cellStyle name="Comma 22 4 4" xfId="11624"/>
    <cellStyle name="Comma 22 5" xfId="5113"/>
    <cellStyle name="Comma 22 5 2" xfId="8856"/>
    <cellStyle name="Comma 22 5 2 2" xfId="15400"/>
    <cellStyle name="Comma 22 5 3" xfId="7137"/>
    <cellStyle name="Comma 22 5 3 2" xfId="13819"/>
    <cellStyle name="Comma 22 5 4" xfId="12034"/>
    <cellStyle name="Comma 22 6" xfId="5546"/>
    <cellStyle name="Comma 22 6 2" xfId="9287"/>
    <cellStyle name="Comma 22 6 2 2" xfId="15794"/>
    <cellStyle name="Comma 22 6 3" xfId="7568"/>
    <cellStyle name="Comma 22 6 3 2" xfId="14213"/>
    <cellStyle name="Comma 22 6 4" xfId="12439"/>
    <cellStyle name="Comma 22 7" xfId="9676"/>
    <cellStyle name="Comma 22 7 2" xfId="16176"/>
    <cellStyle name="Comma 22 8" xfId="7993"/>
    <cellStyle name="Comma 22 8 2" xfId="14607"/>
    <cellStyle name="Comma 22 9" xfId="6225"/>
    <cellStyle name="Comma 22 9 2" xfId="12950"/>
    <cellStyle name="Comma 23" xfId="3227"/>
    <cellStyle name="Comma 23 2" xfId="10570"/>
    <cellStyle name="Comma 24" xfId="3228"/>
    <cellStyle name="Comma 24 2" xfId="10571"/>
    <cellStyle name="Comma 25" xfId="3229"/>
    <cellStyle name="Comma 25 2" xfId="10572"/>
    <cellStyle name="Comma 26" xfId="3230"/>
    <cellStyle name="Comma 26 2" xfId="10573"/>
    <cellStyle name="Comma 27" xfId="4646"/>
    <cellStyle name="Comma 27 2" xfId="11591"/>
    <cellStyle name="Comma 28" xfId="4647"/>
    <cellStyle name="Comma 28 2" xfId="11592"/>
    <cellStyle name="Comma 29" xfId="4648"/>
    <cellStyle name="Comma 29 2" xfId="11593"/>
    <cellStyle name="Comma 3" xfId="12"/>
    <cellStyle name="Comma 3 10" xfId="3231"/>
    <cellStyle name="Comma 3 10 2" xfId="10574"/>
    <cellStyle name="Comma 3 100" xfId="3232"/>
    <cellStyle name="Comma 3 100 2" xfId="10575"/>
    <cellStyle name="Comma 3 101" xfId="3233"/>
    <cellStyle name="Comma 3 101 2" xfId="10576"/>
    <cellStyle name="Comma 3 102" xfId="3234"/>
    <cellStyle name="Comma 3 102 2" xfId="10577"/>
    <cellStyle name="Comma 3 103" xfId="3235"/>
    <cellStyle name="Comma 3 103 2" xfId="10578"/>
    <cellStyle name="Comma 3 104" xfId="3236"/>
    <cellStyle name="Comma 3 104 2" xfId="10579"/>
    <cellStyle name="Comma 3 105" xfId="3237"/>
    <cellStyle name="Comma 3 105 2" xfId="10580"/>
    <cellStyle name="Comma 3 106" xfId="3238"/>
    <cellStyle name="Comma 3 106 2" xfId="10581"/>
    <cellStyle name="Comma 3 107" xfId="3239"/>
    <cellStyle name="Comma 3 107 2" xfId="10582"/>
    <cellStyle name="Comma 3 108" xfId="3240"/>
    <cellStyle name="Comma 3 108 2" xfId="10583"/>
    <cellStyle name="Comma 3 109" xfId="3241"/>
    <cellStyle name="Comma 3 109 2" xfId="10584"/>
    <cellStyle name="Comma 3 11" xfId="3242"/>
    <cellStyle name="Comma 3 11 2" xfId="10585"/>
    <cellStyle name="Comma 3 110" xfId="3243"/>
    <cellStyle name="Comma 3 110 2" xfId="10586"/>
    <cellStyle name="Comma 3 111" xfId="3244"/>
    <cellStyle name="Comma 3 111 2" xfId="10587"/>
    <cellStyle name="Comma 3 112" xfId="3245"/>
    <cellStyle name="Comma 3 112 2" xfId="10588"/>
    <cellStyle name="Comma 3 113" xfId="3246"/>
    <cellStyle name="Comma 3 113 2" xfId="10589"/>
    <cellStyle name="Comma 3 114" xfId="3247"/>
    <cellStyle name="Comma 3 114 2" xfId="10590"/>
    <cellStyle name="Comma 3 115" xfId="3248"/>
    <cellStyle name="Comma 3 115 2" xfId="10591"/>
    <cellStyle name="Comma 3 116" xfId="3249"/>
    <cellStyle name="Comma 3 116 2" xfId="10592"/>
    <cellStyle name="Comma 3 117" xfId="3250"/>
    <cellStyle name="Comma 3 117 2" xfId="10593"/>
    <cellStyle name="Comma 3 118" xfId="3251"/>
    <cellStyle name="Comma 3 118 2" xfId="10594"/>
    <cellStyle name="Comma 3 119" xfId="3252"/>
    <cellStyle name="Comma 3 119 2" xfId="10595"/>
    <cellStyle name="Comma 3 12" xfId="3253"/>
    <cellStyle name="Comma 3 12 2" xfId="10596"/>
    <cellStyle name="Comma 3 120" xfId="3254"/>
    <cellStyle name="Comma 3 120 2" xfId="10597"/>
    <cellStyle name="Comma 3 121" xfId="3255"/>
    <cellStyle name="Comma 3 121 2" xfId="10598"/>
    <cellStyle name="Comma 3 122" xfId="3256"/>
    <cellStyle name="Comma 3 122 2" xfId="10599"/>
    <cellStyle name="Comma 3 123" xfId="3257"/>
    <cellStyle name="Comma 3 123 2" xfId="10600"/>
    <cellStyle name="Comma 3 124" xfId="3258"/>
    <cellStyle name="Comma 3 124 2" xfId="10601"/>
    <cellStyle name="Comma 3 125" xfId="3259"/>
    <cellStyle name="Comma 3 125 2" xfId="10602"/>
    <cellStyle name="Comma 3 126" xfId="3260"/>
    <cellStyle name="Comma 3 126 2" xfId="10603"/>
    <cellStyle name="Comma 3 127" xfId="10250"/>
    <cellStyle name="Comma 3 13" xfId="3261"/>
    <cellStyle name="Comma 3 13 2" xfId="10604"/>
    <cellStyle name="Comma 3 14" xfId="3262"/>
    <cellStyle name="Comma 3 14 2" xfId="10605"/>
    <cellStyle name="Comma 3 15" xfId="3263"/>
    <cellStyle name="Comma 3 15 2" xfId="10606"/>
    <cellStyle name="Comma 3 16" xfId="3264"/>
    <cellStyle name="Comma 3 16 2" xfId="10607"/>
    <cellStyle name="Comma 3 17" xfId="3265"/>
    <cellStyle name="Comma 3 17 2" xfId="10608"/>
    <cellStyle name="Comma 3 18" xfId="3266"/>
    <cellStyle name="Comma 3 18 2" xfId="10609"/>
    <cellStyle name="Comma 3 19" xfId="3267"/>
    <cellStyle name="Comma 3 19 2" xfId="10610"/>
    <cellStyle name="Comma 3 2" xfId="3268"/>
    <cellStyle name="Comma 3 2 2" xfId="3269"/>
    <cellStyle name="Comma 3 2 2 10" xfId="3270"/>
    <cellStyle name="Comma 3 2 2 10 2" xfId="10613"/>
    <cellStyle name="Comma 3 2 2 11" xfId="3271"/>
    <cellStyle name="Comma 3 2 2 11 2" xfId="10614"/>
    <cellStyle name="Comma 3 2 2 12" xfId="3272"/>
    <cellStyle name="Comma 3 2 2 12 2" xfId="10615"/>
    <cellStyle name="Comma 3 2 2 13" xfId="3273"/>
    <cellStyle name="Comma 3 2 2 13 2" xfId="10616"/>
    <cellStyle name="Comma 3 2 2 14" xfId="3274"/>
    <cellStyle name="Comma 3 2 2 14 2" xfId="10617"/>
    <cellStyle name="Comma 3 2 2 15" xfId="10612"/>
    <cellStyle name="Comma 3 2 2 2" xfId="3275"/>
    <cellStyle name="Comma 3 2 2 2 2" xfId="10618"/>
    <cellStyle name="Comma 3 2 2 3" xfId="3276"/>
    <cellStyle name="Comma 3 2 2 3 2" xfId="10619"/>
    <cellStyle name="Comma 3 2 2 4" xfId="3277"/>
    <cellStyle name="Comma 3 2 2 4 2" xfId="10620"/>
    <cellStyle name="Comma 3 2 2 5" xfId="3278"/>
    <cellStyle name="Comma 3 2 2 5 2" xfId="10621"/>
    <cellStyle name="Comma 3 2 2 6" xfId="3279"/>
    <cellStyle name="Comma 3 2 2 6 2" xfId="10622"/>
    <cellStyle name="Comma 3 2 2 7" xfId="3280"/>
    <cellStyle name="Comma 3 2 2 7 2" xfId="10623"/>
    <cellStyle name="Comma 3 2 2 8" xfId="3281"/>
    <cellStyle name="Comma 3 2 2 8 2" xfId="10624"/>
    <cellStyle name="Comma 3 2 2 9" xfId="3282"/>
    <cellStyle name="Comma 3 2 2 9 2" xfId="10625"/>
    <cellStyle name="Comma 3 2 3" xfId="3283"/>
    <cellStyle name="Comma 3 2 3 2" xfId="3284"/>
    <cellStyle name="Comma 3 2 3 2 2" xfId="10627"/>
    <cellStyle name="Comma 3 2 3 3" xfId="10626"/>
    <cellStyle name="Comma 3 2 4" xfId="3285"/>
    <cellStyle name="Comma 3 2 4 2" xfId="10628"/>
    <cellStyle name="Comma 3 2 5" xfId="3286"/>
    <cellStyle name="Comma 3 2 5 2" xfId="10629"/>
    <cellStyle name="Comma 3 2 6" xfId="10611"/>
    <cellStyle name="Comma 3 2_3.1.2 DB Pension Detail" xfId="3287"/>
    <cellStyle name="Comma 3 20" xfId="3288"/>
    <cellStyle name="Comma 3 20 2" xfId="10630"/>
    <cellStyle name="Comma 3 21" xfId="3289"/>
    <cellStyle name="Comma 3 21 2" xfId="10631"/>
    <cellStyle name="Comma 3 22" xfId="3290"/>
    <cellStyle name="Comma 3 22 2" xfId="10632"/>
    <cellStyle name="Comma 3 23" xfId="3291"/>
    <cellStyle name="Comma 3 23 2" xfId="10633"/>
    <cellStyle name="Comma 3 24" xfId="3292"/>
    <cellStyle name="Comma 3 24 2" xfId="10634"/>
    <cellStyle name="Comma 3 25" xfId="3293"/>
    <cellStyle name="Comma 3 25 2" xfId="10635"/>
    <cellStyle name="Comma 3 26" xfId="3294"/>
    <cellStyle name="Comma 3 26 2" xfId="10636"/>
    <cellStyle name="Comma 3 27" xfId="3295"/>
    <cellStyle name="Comma 3 27 2" xfId="10637"/>
    <cellStyle name="Comma 3 28" xfId="3296"/>
    <cellStyle name="Comma 3 28 2" xfId="10638"/>
    <cellStyle name="Comma 3 29" xfId="3297"/>
    <cellStyle name="Comma 3 29 2" xfId="10639"/>
    <cellStyle name="Comma 3 3" xfId="3298"/>
    <cellStyle name="Comma 3 3 2" xfId="3299"/>
    <cellStyle name="Comma 3 3 2 2" xfId="3300"/>
    <cellStyle name="Comma 3 3 2 2 2" xfId="10642"/>
    <cellStyle name="Comma 3 3 2 3" xfId="10641"/>
    <cellStyle name="Comma 3 3 3" xfId="3301"/>
    <cellStyle name="Comma 3 3 3 2" xfId="10643"/>
    <cellStyle name="Comma 3 3 4" xfId="3302"/>
    <cellStyle name="Comma 3 3 4 2" xfId="10644"/>
    <cellStyle name="Comma 3 3 5" xfId="10640"/>
    <cellStyle name="Comma 3 30" xfId="3303"/>
    <cellStyle name="Comma 3 30 2" xfId="10645"/>
    <cellStyle name="Comma 3 31" xfId="3304"/>
    <cellStyle name="Comma 3 31 2" xfId="10646"/>
    <cellStyle name="Comma 3 32" xfId="3305"/>
    <cellStyle name="Comma 3 32 2" xfId="10647"/>
    <cellStyle name="Comma 3 33" xfId="3306"/>
    <cellStyle name="Comma 3 33 2" xfId="10648"/>
    <cellStyle name="Comma 3 34" xfId="3307"/>
    <cellStyle name="Comma 3 34 2" xfId="10649"/>
    <cellStyle name="Comma 3 35" xfId="3308"/>
    <cellStyle name="Comma 3 35 2" xfId="10650"/>
    <cellStyle name="Comma 3 36" xfId="3309"/>
    <cellStyle name="Comma 3 36 2" xfId="10651"/>
    <cellStyle name="Comma 3 37" xfId="3310"/>
    <cellStyle name="Comma 3 37 2" xfId="10652"/>
    <cellStyle name="Comma 3 38" xfId="3311"/>
    <cellStyle name="Comma 3 38 2" xfId="10653"/>
    <cellStyle name="Comma 3 39" xfId="3312"/>
    <cellStyle name="Comma 3 39 2" xfId="10654"/>
    <cellStyle name="Comma 3 4" xfId="3313"/>
    <cellStyle name="Comma 3 4 2" xfId="10655"/>
    <cellStyle name="Comma 3 40" xfId="3314"/>
    <cellStyle name="Comma 3 40 2" xfId="10656"/>
    <cellStyle name="Comma 3 41" xfId="3315"/>
    <cellStyle name="Comma 3 41 2" xfId="10657"/>
    <cellStyle name="Comma 3 42" xfId="3316"/>
    <cellStyle name="Comma 3 42 2" xfId="10658"/>
    <cellStyle name="Comma 3 43" xfId="3317"/>
    <cellStyle name="Comma 3 43 2" xfId="10659"/>
    <cellStyle name="Comma 3 44" xfId="3318"/>
    <cellStyle name="Comma 3 44 2" xfId="10660"/>
    <cellStyle name="Comma 3 45" xfId="3319"/>
    <cellStyle name="Comma 3 45 2" xfId="10661"/>
    <cellStyle name="Comma 3 46" xfId="3320"/>
    <cellStyle name="Comma 3 46 2" xfId="10662"/>
    <cellStyle name="Comma 3 47" xfId="3321"/>
    <cellStyle name="Comma 3 47 2" xfId="10663"/>
    <cellStyle name="Comma 3 48" xfId="3322"/>
    <cellStyle name="Comma 3 48 2" xfId="10664"/>
    <cellStyle name="Comma 3 49" xfId="3323"/>
    <cellStyle name="Comma 3 49 2" xfId="10665"/>
    <cellStyle name="Comma 3 5" xfId="3324"/>
    <cellStyle name="Comma 3 5 2" xfId="10666"/>
    <cellStyle name="Comma 3 50" xfId="3325"/>
    <cellStyle name="Comma 3 50 2" xfId="10667"/>
    <cellStyle name="Comma 3 51" xfId="3326"/>
    <cellStyle name="Comma 3 51 10" xfId="3327"/>
    <cellStyle name="Comma 3 51 10 2" xfId="10669"/>
    <cellStyle name="Comma 3 51 11" xfId="3328"/>
    <cellStyle name="Comma 3 51 11 2" xfId="10670"/>
    <cellStyle name="Comma 3 51 12" xfId="3329"/>
    <cellStyle name="Comma 3 51 12 2" xfId="10671"/>
    <cellStyle name="Comma 3 51 13" xfId="3330"/>
    <cellStyle name="Comma 3 51 13 2" xfId="10672"/>
    <cellStyle name="Comma 3 51 14" xfId="3331"/>
    <cellStyle name="Comma 3 51 14 2" xfId="10673"/>
    <cellStyle name="Comma 3 51 15" xfId="3332"/>
    <cellStyle name="Comma 3 51 15 2" xfId="10674"/>
    <cellStyle name="Comma 3 51 16" xfId="3333"/>
    <cellStyle name="Comma 3 51 16 2" xfId="10675"/>
    <cellStyle name="Comma 3 51 17" xfId="3334"/>
    <cellStyle name="Comma 3 51 17 2" xfId="10676"/>
    <cellStyle name="Comma 3 51 18" xfId="10668"/>
    <cellStyle name="Comma 3 51 2" xfId="3335"/>
    <cellStyle name="Comma 3 51 2 2" xfId="10677"/>
    <cellStyle name="Comma 3 51 3" xfId="3336"/>
    <cellStyle name="Comma 3 51 3 2" xfId="10678"/>
    <cellStyle name="Comma 3 51 4" xfId="3337"/>
    <cellStyle name="Comma 3 51 4 2" xfId="10679"/>
    <cellStyle name="Comma 3 51 5" xfId="3338"/>
    <cellStyle name="Comma 3 51 5 2" xfId="10680"/>
    <cellStyle name="Comma 3 51 6" xfId="3339"/>
    <cellStyle name="Comma 3 51 6 2" xfId="10681"/>
    <cellStyle name="Comma 3 51 7" xfId="3340"/>
    <cellStyle name="Comma 3 51 7 2" xfId="10682"/>
    <cellStyle name="Comma 3 51 8" xfId="3341"/>
    <cellStyle name="Comma 3 51 8 2" xfId="10683"/>
    <cellStyle name="Comma 3 51 9" xfId="3342"/>
    <cellStyle name="Comma 3 51 9 2" xfId="10684"/>
    <cellStyle name="Comma 3 52" xfId="3343"/>
    <cellStyle name="Comma 3 52 10" xfId="3344"/>
    <cellStyle name="Comma 3 52 10 2" xfId="10686"/>
    <cellStyle name="Comma 3 52 11" xfId="3345"/>
    <cellStyle name="Comma 3 52 11 2" xfId="10687"/>
    <cellStyle name="Comma 3 52 12" xfId="3346"/>
    <cellStyle name="Comma 3 52 12 2" xfId="10688"/>
    <cellStyle name="Comma 3 52 13" xfId="3347"/>
    <cellStyle name="Comma 3 52 13 2" xfId="10689"/>
    <cellStyle name="Comma 3 52 14" xfId="3348"/>
    <cellStyle name="Comma 3 52 14 2" xfId="10690"/>
    <cellStyle name="Comma 3 52 15" xfId="3349"/>
    <cellStyle name="Comma 3 52 15 2" xfId="10691"/>
    <cellStyle name="Comma 3 52 16" xfId="3350"/>
    <cellStyle name="Comma 3 52 16 2" xfId="10692"/>
    <cellStyle name="Comma 3 52 17" xfId="3351"/>
    <cellStyle name="Comma 3 52 17 2" xfId="10693"/>
    <cellStyle name="Comma 3 52 18" xfId="10685"/>
    <cellStyle name="Comma 3 52 2" xfId="3352"/>
    <cellStyle name="Comma 3 52 2 2" xfId="10694"/>
    <cellStyle name="Comma 3 52 3" xfId="3353"/>
    <cellStyle name="Comma 3 52 3 2" xfId="10695"/>
    <cellStyle name="Comma 3 52 4" xfId="3354"/>
    <cellStyle name="Comma 3 52 4 2" xfId="10696"/>
    <cellStyle name="Comma 3 52 5" xfId="3355"/>
    <cellStyle name="Comma 3 52 5 2" xfId="10697"/>
    <cellStyle name="Comma 3 52 6" xfId="3356"/>
    <cellStyle name="Comma 3 52 6 2" xfId="10698"/>
    <cellStyle name="Comma 3 52 7" xfId="3357"/>
    <cellStyle name="Comma 3 52 7 2" xfId="10699"/>
    <cellStyle name="Comma 3 52 8" xfId="3358"/>
    <cellStyle name="Comma 3 52 8 2" xfId="10700"/>
    <cellStyle name="Comma 3 52 9" xfId="3359"/>
    <cellStyle name="Comma 3 52 9 2" xfId="10701"/>
    <cellStyle name="Comma 3 53" xfId="3360"/>
    <cellStyle name="Comma 3 53 2" xfId="10702"/>
    <cellStyle name="Comma 3 54" xfId="3361"/>
    <cellStyle name="Comma 3 54 2" xfId="10703"/>
    <cellStyle name="Comma 3 55" xfId="3362"/>
    <cellStyle name="Comma 3 55 2" xfId="10704"/>
    <cellStyle name="Comma 3 56" xfId="3363"/>
    <cellStyle name="Comma 3 56 2" xfId="10705"/>
    <cellStyle name="Comma 3 57" xfId="3364"/>
    <cellStyle name="Comma 3 57 2" xfId="10706"/>
    <cellStyle name="Comma 3 58" xfId="3365"/>
    <cellStyle name="Comma 3 58 2" xfId="10707"/>
    <cellStyle name="Comma 3 59" xfId="3366"/>
    <cellStyle name="Comma 3 59 2" xfId="10708"/>
    <cellStyle name="Comma 3 6" xfId="3367"/>
    <cellStyle name="Comma 3 6 2" xfId="10709"/>
    <cellStyle name="Comma 3 60" xfId="3368"/>
    <cellStyle name="Comma 3 60 2" xfId="10710"/>
    <cellStyle name="Comma 3 61" xfId="3369"/>
    <cellStyle name="Comma 3 61 2" xfId="10711"/>
    <cellStyle name="Comma 3 62" xfId="3370"/>
    <cellStyle name="Comma 3 62 2" xfId="10712"/>
    <cellStyle name="Comma 3 63" xfId="3371"/>
    <cellStyle name="Comma 3 63 2" xfId="10713"/>
    <cellStyle name="Comma 3 64" xfId="3372"/>
    <cellStyle name="Comma 3 64 2" xfId="10714"/>
    <cellStyle name="Comma 3 65" xfId="3373"/>
    <cellStyle name="Comma 3 65 2" xfId="10715"/>
    <cellStyle name="Comma 3 66" xfId="3374"/>
    <cellStyle name="Comma 3 66 2" xfId="10716"/>
    <cellStyle name="Comma 3 67" xfId="3375"/>
    <cellStyle name="Comma 3 67 2" xfId="10717"/>
    <cellStyle name="Comma 3 68" xfId="3376"/>
    <cellStyle name="Comma 3 68 2" xfId="10718"/>
    <cellStyle name="Comma 3 69" xfId="3377"/>
    <cellStyle name="Comma 3 69 2" xfId="10719"/>
    <cellStyle name="Comma 3 7" xfId="3378"/>
    <cellStyle name="Comma 3 7 2" xfId="10720"/>
    <cellStyle name="Comma 3 70" xfId="3379"/>
    <cellStyle name="Comma 3 70 2" xfId="10721"/>
    <cellStyle name="Comma 3 71" xfId="3380"/>
    <cellStyle name="Comma 3 71 2" xfId="10722"/>
    <cellStyle name="Comma 3 72" xfId="3381"/>
    <cellStyle name="Comma 3 72 2" xfId="10723"/>
    <cellStyle name="Comma 3 73" xfId="3382"/>
    <cellStyle name="Comma 3 73 2" xfId="10724"/>
    <cellStyle name="Comma 3 74" xfId="3383"/>
    <cellStyle name="Comma 3 74 2" xfId="10725"/>
    <cellStyle name="Comma 3 75" xfId="3384"/>
    <cellStyle name="Comma 3 75 2" xfId="10726"/>
    <cellStyle name="Comma 3 76" xfId="3385"/>
    <cellStyle name="Comma 3 76 2" xfId="10727"/>
    <cellStyle name="Comma 3 77" xfId="3386"/>
    <cellStyle name="Comma 3 77 2" xfId="10728"/>
    <cellStyle name="Comma 3 78" xfId="3387"/>
    <cellStyle name="Comma 3 78 2" xfId="10729"/>
    <cellStyle name="Comma 3 79" xfId="3388"/>
    <cellStyle name="Comma 3 79 2" xfId="10730"/>
    <cellStyle name="Comma 3 8" xfId="3389"/>
    <cellStyle name="Comma 3 8 2" xfId="10731"/>
    <cellStyle name="Comma 3 80" xfId="3390"/>
    <cellStyle name="Comma 3 80 2" xfId="10732"/>
    <cellStyle name="Comma 3 81" xfId="3391"/>
    <cellStyle name="Comma 3 81 2" xfId="10733"/>
    <cellStyle name="Comma 3 82" xfId="3392"/>
    <cellStyle name="Comma 3 82 2" xfId="10734"/>
    <cellStyle name="Comma 3 83" xfId="3393"/>
    <cellStyle name="Comma 3 83 2" xfId="10735"/>
    <cellStyle name="Comma 3 84" xfId="3394"/>
    <cellStyle name="Comma 3 84 2" xfId="10736"/>
    <cellStyle name="Comma 3 85" xfId="3395"/>
    <cellStyle name="Comma 3 85 2" xfId="10737"/>
    <cellStyle name="Comma 3 86" xfId="3396"/>
    <cellStyle name="Comma 3 86 2" xfId="10738"/>
    <cellStyle name="Comma 3 87" xfId="3397"/>
    <cellStyle name="Comma 3 87 2" xfId="10739"/>
    <cellStyle name="Comma 3 88" xfId="3398"/>
    <cellStyle name="Comma 3 88 2" xfId="10740"/>
    <cellStyle name="Comma 3 89" xfId="3399"/>
    <cellStyle name="Comma 3 89 2" xfId="10741"/>
    <cellStyle name="Comma 3 9" xfId="3400"/>
    <cellStyle name="Comma 3 9 2" xfId="10742"/>
    <cellStyle name="Comma 3 90" xfId="3401"/>
    <cellStyle name="Comma 3 90 2" xfId="10743"/>
    <cellStyle name="Comma 3 91" xfId="3402"/>
    <cellStyle name="Comma 3 91 2" xfId="10744"/>
    <cellStyle name="Comma 3 92" xfId="3403"/>
    <cellStyle name="Comma 3 92 2" xfId="10745"/>
    <cellStyle name="Comma 3 93" xfId="3404"/>
    <cellStyle name="Comma 3 93 2" xfId="10746"/>
    <cellStyle name="Comma 3 94" xfId="3405"/>
    <cellStyle name="Comma 3 94 2" xfId="10747"/>
    <cellStyle name="Comma 3 95" xfId="3406"/>
    <cellStyle name="Comma 3 95 2" xfId="10748"/>
    <cellStyle name="Comma 3 96" xfId="3407"/>
    <cellStyle name="Comma 3 96 2" xfId="10749"/>
    <cellStyle name="Comma 3 97" xfId="3408"/>
    <cellStyle name="Comma 3 97 2" xfId="10750"/>
    <cellStyle name="Comma 3 98" xfId="3409"/>
    <cellStyle name="Comma 3 98 2" xfId="10751"/>
    <cellStyle name="Comma 3 99" xfId="3410"/>
    <cellStyle name="Comma 3 99 2" xfId="10752"/>
    <cellStyle name="Comma 3*" xfId="3411"/>
    <cellStyle name="Comma 3_3.1.2 DB Pension Detail" xfId="3412"/>
    <cellStyle name="Comma 30" xfId="4649"/>
    <cellStyle name="Comma 30 2" xfId="11594"/>
    <cellStyle name="Comma 31" xfId="4650"/>
    <cellStyle name="Comma 31 2" xfId="11595"/>
    <cellStyle name="Comma 32" xfId="4651"/>
    <cellStyle name="Comma 32 2" xfId="11596"/>
    <cellStyle name="Comma 33" xfId="4652"/>
    <cellStyle name="Comma 33 2" xfId="11597"/>
    <cellStyle name="Comma 34" xfId="4653"/>
    <cellStyle name="Comma 34 2" xfId="11598"/>
    <cellStyle name="Comma 35" xfId="4654"/>
    <cellStyle name="Comma 35 2" xfId="11599"/>
    <cellStyle name="Comma 36" xfId="4670"/>
    <cellStyle name="Comma 36 2" xfId="5074"/>
    <cellStyle name="Comma 36 2 2" xfId="8817"/>
    <cellStyle name="Comma 36 2 2 2" xfId="15365"/>
    <cellStyle name="Comma 36 2 3" xfId="7098"/>
    <cellStyle name="Comma 36 2 3 2" xfId="13784"/>
    <cellStyle name="Comma 36 2 4" xfId="11999"/>
    <cellStyle name="Comma 36 3" xfId="10070"/>
    <cellStyle name="Comma 36 3 2" xfId="16551"/>
    <cellStyle name="Comma 36 4" xfId="8417"/>
    <cellStyle name="Comma 36 4 2" xfId="14969"/>
    <cellStyle name="Comma 36 5" xfId="6698"/>
    <cellStyle name="Comma 36 5 2" xfId="13388"/>
    <cellStyle name="Comma 36 6" xfId="11602"/>
    <cellStyle name="Comma 37" xfId="4733"/>
    <cellStyle name="Comma 37 2" xfId="11662"/>
    <cellStyle name="Comma 38" xfId="9721"/>
    <cellStyle name="Comma 38 2" xfId="16214"/>
    <cellStyle name="Comma 39" xfId="9671"/>
    <cellStyle name="Comma 39 2" xfId="16173"/>
    <cellStyle name="Comma 4" xfId="43"/>
    <cellStyle name="Comma 4 10" xfId="3413"/>
    <cellStyle name="Comma 4 10 2" xfId="10753"/>
    <cellStyle name="Comma 4 11" xfId="3414"/>
    <cellStyle name="Comma 4 11 2" xfId="10754"/>
    <cellStyle name="Comma 4 12" xfId="3415"/>
    <cellStyle name="Comma 4 12 2" xfId="10755"/>
    <cellStyle name="Comma 4 13" xfId="3416"/>
    <cellStyle name="Comma 4 13 2" xfId="10756"/>
    <cellStyle name="Comma 4 14" xfId="3417"/>
    <cellStyle name="Comma 4 14 2" xfId="10757"/>
    <cellStyle name="Comma 4 15" xfId="3418"/>
    <cellStyle name="Comma 4 15 2" xfId="10758"/>
    <cellStyle name="Comma 4 16" xfId="3419"/>
    <cellStyle name="Comma 4 16 2" xfId="10759"/>
    <cellStyle name="Comma 4 17" xfId="3420"/>
    <cellStyle name="Comma 4 17 2" xfId="10760"/>
    <cellStyle name="Comma 4 18" xfId="3421"/>
    <cellStyle name="Comma 4 18 2" xfId="10761"/>
    <cellStyle name="Comma 4 19" xfId="3422"/>
    <cellStyle name="Comma 4 19 2" xfId="10762"/>
    <cellStyle name="Comma 4 2" xfId="3423"/>
    <cellStyle name="Comma 4 2 10" xfId="3424"/>
    <cellStyle name="Comma 4 2 10 2" xfId="10764"/>
    <cellStyle name="Comma 4 2 100" xfId="3425"/>
    <cellStyle name="Comma 4 2 100 2" xfId="10765"/>
    <cellStyle name="Comma 4 2 101" xfId="3426"/>
    <cellStyle name="Comma 4 2 101 2" xfId="10766"/>
    <cellStyle name="Comma 4 2 102" xfId="3427"/>
    <cellStyle name="Comma 4 2 102 2" xfId="10767"/>
    <cellStyle name="Comma 4 2 103" xfId="3428"/>
    <cellStyle name="Comma 4 2 103 2" xfId="10768"/>
    <cellStyle name="Comma 4 2 104" xfId="3429"/>
    <cellStyle name="Comma 4 2 104 2" xfId="10769"/>
    <cellStyle name="Comma 4 2 105" xfId="3430"/>
    <cellStyle name="Comma 4 2 105 2" xfId="10770"/>
    <cellStyle name="Comma 4 2 106" xfId="3431"/>
    <cellStyle name="Comma 4 2 106 2" xfId="10771"/>
    <cellStyle name="Comma 4 2 107" xfId="3432"/>
    <cellStyle name="Comma 4 2 107 2" xfId="10772"/>
    <cellStyle name="Comma 4 2 108" xfId="3433"/>
    <cellStyle name="Comma 4 2 108 2" xfId="10773"/>
    <cellStyle name="Comma 4 2 109" xfId="3434"/>
    <cellStyle name="Comma 4 2 109 2" xfId="10774"/>
    <cellStyle name="Comma 4 2 11" xfId="3435"/>
    <cellStyle name="Comma 4 2 11 2" xfId="10775"/>
    <cellStyle name="Comma 4 2 110" xfId="10763"/>
    <cellStyle name="Comma 4 2 12" xfId="3436"/>
    <cellStyle name="Comma 4 2 12 2" xfId="10776"/>
    <cellStyle name="Comma 4 2 13" xfId="3437"/>
    <cellStyle name="Comma 4 2 13 2" xfId="10777"/>
    <cellStyle name="Comma 4 2 14" xfId="3438"/>
    <cellStyle name="Comma 4 2 14 2" xfId="10778"/>
    <cellStyle name="Comma 4 2 15" xfId="3439"/>
    <cellStyle name="Comma 4 2 15 2" xfId="10779"/>
    <cellStyle name="Comma 4 2 16" xfId="3440"/>
    <cellStyle name="Comma 4 2 16 2" xfId="10780"/>
    <cellStyle name="Comma 4 2 17" xfId="3441"/>
    <cellStyle name="Comma 4 2 17 2" xfId="10781"/>
    <cellStyle name="Comma 4 2 18" xfId="3442"/>
    <cellStyle name="Comma 4 2 18 2" xfId="10782"/>
    <cellStyle name="Comma 4 2 19" xfId="3443"/>
    <cellStyle name="Comma 4 2 19 2" xfId="10783"/>
    <cellStyle name="Comma 4 2 2" xfId="3444"/>
    <cellStyle name="Comma 4 2 2 10" xfId="3445"/>
    <cellStyle name="Comma 4 2 2 10 2" xfId="10785"/>
    <cellStyle name="Comma 4 2 2 11" xfId="3446"/>
    <cellStyle name="Comma 4 2 2 11 2" xfId="10786"/>
    <cellStyle name="Comma 4 2 2 12" xfId="3447"/>
    <cellStyle name="Comma 4 2 2 12 2" xfId="10787"/>
    <cellStyle name="Comma 4 2 2 13" xfId="3448"/>
    <cellStyle name="Comma 4 2 2 13 2" xfId="10788"/>
    <cellStyle name="Comma 4 2 2 14" xfId="10784"/>
    <cellStyle name="Comma 4 2 2 2" xfId="3449"/>
    <cellStyle name="Comma 4 2 2 2 2" xfId="10789"/>
    <cellStyle name="Comma 4 2 2 3" xfId="3450"/>
    <cellStyle name="Comma 4 2 2 3 2" xfId="10790"/>
    <cellStyle name="Comma 4 2 2 4" xfId="3451"/>
    <cellStyle name="Comma 4 2 2 4 2" xfId="10791"/>
    <cellStyle name="Comma 4 2 2 5" xfId="3452"/>
    <cellStyle name="Comma 4 2 2 5 2" xfId="10792"/>
    <cellStyle name="Comma 4 2 2 6" xfId="3453"/>
    <cellStyle name="Comma 4 2 2 6 2" xfId="10793"/>
    <cellStyle name="Comma 4 2 2 7" xfId="3454"/>
    <cellStyle name="Comma 4 2 2 7 2" xfId="10794"/>
    <cellStyle name="Comma 4 2 2 8" xfId="3455"/>
    <cellStyle name="Comma 4 2 2 8 2" xfId="10795"/>
    <cellStyle name="Comma 4 2 2 9" xfId="3456"/>
    <cellStyle name="Comma 4 2 2 9 2" xfId="10796"/>
    <cellStyle name="Comma 4 2 20" xfId="3457"/>
    <cellStyle name="Comma 4 2 20 2" xfId="10797"/>
    <cellStyle name="Comma 4 2 21" xfId="3458"/>
    <cellStyle name="Comma 4 2 21 2" xfId="10798"/>
    <cellStyle name="Comma 4 2 22" xfId="3459"/>
    <cellStyle name="Comma 4 2 22 2" xfId="10799"/>
    <cellStyle name="Comma 4 2 23" xfId="3460"/>
    <cellStyle name="Comma 4 2 23 10" xfId="3461"/>
    <cellStyle name="Comma 4 2 23 10 2" xfId="10801"/>
    <cellStyle name="Comma 4 2 23 11" xfId="3462"/>
    <cellStyle name="Comma 4 2 23 11 2" xfId="10802"/>
    <cellStyle name="Comma 4 2 23 12" xfId="3463"/>
    <cellStyle name="Comma 4 2 23 12 2" xfId="10803"/>
    <cellStyle name="Comma 4 2 23 13" xfId="3464"/>
    <cellStyle name="Comma 4 2 23 13 2" xfId="10804"/>
    <cellStyle name="Comma 4 2 23 14" xfId="3465"/>
    <cellStyle name="Comma 4 2 23 14 2" xfId="10805"/>
    <cellStyle name="Comma 4 2 23 15" xfId="3466"/>
    <cellStyle name="Comma 4 2 23 15 2" xfId="10806"/>
    <cellStyle name="Comma 4 2 23 16" xfId="3467"/>
    <cellStyle name="Comma 4 2 23 16 2" xfId="10807"/>
    <cellStyle name="Comma 4 2 23 17" xfId="3468"/>
    <cellStyle name="Comma 4 2 23 17 2" xfId="10808"/>
    <cellStyle name="Comma 4 2 23 18" xfId="10800"/>
    <cellStyle name="Comma 4 2 23 2" xfId="3469"/>
    <cellStyle name="Comma 4 2 23 2 2" xfId="10809"/>
    <cellStyle name="Comma 4 2 23 3" xfId="3470"/>
    <cellStyle name="Comma 4 2 23 3 2" xfId="10810"/>
    <cellStyle name="Comma 4 2 23 4" xfId="3471"/>
    <cellStyle name="Comma 4 2 23 4 2" xfId="10811"/>
    <cellStyle name="Comma 4 2 23 5" xfId="3472"/>
    <cellStyle name="Comma 4 2 23 5 2" xfId="10812"/>
    <cellStyle name="Comma 4 2 23 6" xfId="3473"/>
    <cellStyle name="Comma 4 2 23 6 2" xfId="10813"/>
    <cellStyle name="Comma 4 2 23 7" xfId="3474"/>
    <cellStyle name="Comma 4 2 23 7 2" xfId="10814"/>
    <cellStyle name="Comma 4 2 23 8" xfId="3475"/>
    <cellStyle name="Comma 4 2 23 8 2" xfId="10815"/>
    <cellStyle name="Comma 4 2 23 9" xfId="3476"/>
    <cellStyle name="Comma 4 2 23 9 2" xfId="10816"/>
    <cellStyle name="Comma 4 2 24" xfId="3477"/>
    <cellStyle name="Comma 4 2 24 2" xfId="10817"/>
    <cellStyle name="Comma 4 2 25" xfId="3478"/>
    <cellStyle name="Comma 4 2 25 2" xfId="10818"/>
    <cellStyle name="Comma 4 2 26" xfId="3479"/>
    <cellStyle name="Comma 4 2 26 2" xfId="10819"/>
    <cellStyle name="Comma 4 2 27" xfId="3480"/>
    <cellStyle name="Comma 4 2 27 2" xfId="10820"/>
    <cellStyle name="Comma 4 2 28" xfId="3481"/>
    <cellStyle name="Comma 4 2 28 2" xfId="10821"/>
    <cellStyle name="Comma 4 2 29" xfId="3482"/>
    <cellStyle name="Comma 4 2 29 2" xfId="10822"/>
    <cellStyle name="Comma 4 2 3" xfId="3483"/>
    <cellStyle name="Comma 4 2 3 2" xfId="10823"/>
    <cellStyle name="Comma 4 2 30" xfId="3484"/>
    <cellStyle name="Comma 4 2 30 2" xfId="10824"/>
    <cellStyle name="Comma 4 2 31" xfId="3485"/>
    <cellStyle name="Comma 4 2 31 2" xfId="10825"/>
    <cellStyle name="Comma 4 2 32" xfId="3486"/>
    <cellStyle name="Comma 4 2 32 2" xfId="10826"/>
    <cellStyle name="Comma 4 2 33" xfId="3487"/>
    <cellStyle name="Comma 4 2 33 2" xfId="10827"/>
    <cellStyle name="Comma 4 2 34" xfId="3488"/>
    <cellStyle name="Comma 4 2 34 2" xfId="10828"/>
    <cellStyle name="Comma 4 2 35" xfId="3489"/>
    <cellStyle name="Comma 4 2 35 2" xfId="10829"/>
    <cellStyle name="Comma 4 2 36" xfId="3490"/>
    <cellStyle name="Comma 4 2 36 2" xfId="10830"/>
    <cellStyle name="Comma 4 2 37" xfId="3491"/>
    <cellStyle name="Comma 4 2 37 2" xfId="10831"/>
    <cellStyle name="Comma 4 2 38" xfId="3492"/>
    <cellStyle name="Comma 4 2 38 2" xfId="10832"/>
    <cellStyle name="Comma 4 2 39" xfId="3493"/>
    <cellStyle name="Comma 4 2 39 2" xfId="10833"/>
    <cellStyle name="Comma 4 2 4" xfId="3494"/>
    <cellStyle name="Comma 4 2 4 2" xfId="10834"/>
    <cellStyle name="Comma 4 2 40" xfId="3495"/>
    <cellStyle name="Comma 4 2 40 2" xfId="10835"/>
    <cellStyle name="Comma 4 2 41" xfId="3496"/>
    <cellStyle name="Comma 4 2 41 2" xfId="10836"/>
    <cellStyle name="Comma 4 2 42" xfId="3497"/>
    <cellStyle name="Comma 4 2 42 2" xfId="10837"/>
    <cellStyle name="Comma 4 2 43" xfId="3498"/>
    <cellStyle name="Comma 4 2 43 2" xfId="10838"/>
    <cellStyle name="Comma 4 2 44" xfId="3499"/>
    <cellStyle name="Comma 4 2 44 2" xfId="10839"/>
    <cellStyle name="Comma 4 2 45" xfId="3500"/>
    <cellStyle name="Comma 4 2 45 2" xfId="10840"/>
    <cellStyle name="Comma 4 2 46" xfId="3501"/>
    <cellStyle name="Comma 4 2 46 2" xfId="10841"/>
    <cellStyle name="Comma 4 2 47" xfId="3502"/>
    <cellStyle name="Comma 4 2 47 2" xfId="10842"/>
    <cellStyle name="Comma 4 2 48" xfId="3503"/>
    <cellStyle name="Comma 4 2 48 2" xfId="10843"/>
    <cellStyle name="Comma 4 2 49" xfId="3504"/>
    <cellStyle name="Comma 4 2 49 2" xfId="10844"/>
    <cellStyle name="Comma 4 2 5" xfId="3505"/>
    <cellStyle name="Comma 4 2 5 2" xfId="10845"/>
    <cellStyle name="Comma 4 2 50" xfId="3506"/>
    <cellStyle name="Comma 4 2 50 2" xfId="10846"/>
    <cellStyle name="Comma 4 2 51" xfId="3507"/>
    <cellStyle name="Comma 4 2 51 2" xfId="10847"/>
    <cellStyle name="Comma 4 2 52" xfId="3508"/>
    <cellStyle name="Comma 4 2 52 2" xfId="10848"/>
    <cellStyle name="Comma 4 2 53" xfId="3509"/>
    <cellStyle name="Comma 4 2 53 2" xfId="10849"/>
    <cellStyle name="Comma 4 2 54" xfId="3510"/>
    <cellStyle name="Comma 4 2 54 2" xfId="10850"/>
    <cellStyle name="Comma 4 2 55" xfId="3511"/>
    <cellStyle name="Comma 4 2 55 2" xfId="10851"/>
    <cellStyle name="Comma 4 2 56" xfId="3512"/>
    <cellStyle name="Comma 4 2 56 2" xfId="10852"/>
    <cellStyle name="Comma 4 2 57" xfId="3513"/>
    <cellStyle name="Comma 4 2 57 2" xfId="10853"/>
    <cellStyle name="Comma 4 2 58" xfId="3514"/>
    <cellStyle name="Comma 4 2 58 2" xfId="10854"/>
    <cellStyle name="Comma 4 2 59" xfId="3515"/>
    <cellStyle name="Comma 4 2 59 2" xfId="10855"/>
    <cellStyle name="Comma 4 2 6" xfId="3516"/>
    <cellStyle name="Comma 4 2 6 2" xfId="10856"/>
    <cellStyle name="Comma 4 2 60" xfId="3517"/>
    <cellStyle name="Comma 4 2 60 2" xfId="10857"/>
    <cellStyle name="Comma 4 2 61" xfId="3518"/>
    <cellStyle name="Comma 4 2 61 2" xfId="10858"/>
    <cellStyle name="Comma 4 2 62" xfId="3519"/>
    <cellStyle name="Comma 4 2 62 2" xfId="10859"/>
    <cellStyle name="Comma 4 2 63" xfId="3520"/>
    <cellStyle name="Comma 4 2 63 2" xfId="10860"/>
    <cellStyle name="Comma 4 2 64" xfId="3521"/>
    <cellStyle name="Comma 4 2 64 2" xfId="10861"/>
    <cellStyle name="Comma 4 2 65" xfId="3522"/>
    <cellStyle name="Comma 4 2 65 2" xfId="10862"/>
    <cellStyle name="Comma 4 2 66" xfId="3523"/>
    <cellStyle name="Comma 4 2 66 2" xfId="10863"/>
    <cellStyle name="Comma 4 2 67" xfId="3524"/>
    <cellStyle name="Comma 4 2 67 2" xfId="10864"/>
    <cellStyle name="Comma 4 2 68" xfId="3525"/>
    <cellStyle name="Comma 4 2 68 2" xfId="10865"/>
    <cellStyle name="Comma 4 2 69" xfId="3526"/>
    <cellStyle name="Comma 4 2 69 2" xfId="10866"/>
    <cellStyle name="Comma 4 2 7" xfId="3527"/>
    <cellStyle name="Comma 4 2 7 2" xfId="10867"/>
    <cellStyle name="Comma 4 2 70" xfId="3528"/>
    <cellStyle name="Comma 4 2 70 2" xfId="10868"/>
    <cellStyle name="Comma 4 2 71" xfId="3529"/>
    <cellStyle name="Comma 4 2 71 2" xfId="10869"/>
    <cellStyle name="Comma 4 2 72" xfId="3530"/>
    <cellStyle name="Comma 4 2 72 2" xfId="10870"/>
    <cellStyle name="Comma 4 2 73" xfId="3531"/>
    <cellStyle name="Comma 4 2 73 2" xfId="10871"/>
    <cellStyle name="Comma 4 2 74" xfId="3532"/>
    <cellStyle name="Comma 4 2 74 2" xfId="10872"/>
    <cellStyle name="Comma 4 2 75" xfId="3533"/>
    <cellStyle name="Comma 4 2 75 2" xfId="10873"/>
    <cellStyle name="Comma 4 2 76" xfId="3534"/>
    <cellStyle name="Comma 4 2 76 2" xfId="10874"/>
    <cellStyle name="Comma 4 2 77" xfId="3535"/>
    <cellStyle name="Comma 4 2 77 2" xfId="10875"/>
    <cellStyle name="Comma 4 2 78" xfId="3536"/>
    <cellStyle name="Comma 4 2 78 2" xfId="10876"/>
    <cellStyle name="Comma 4 2 79" xfId="3537"/>
    <cellStyle name="Comma 4 2 79 2" xfId="10877"/>
    <cellStyle name="Comma 4 2 8" xfId="3538"/>
    <cellStyle name="Comma 4 2 8 2" xfId="10878"/>
    <cellStyle name="Comma 4 2 80" xfId="3539"/>
    <cellStyle name="Comma 4 2 80 2" xfId="10879"/>
    <cellStyle name="Comma 4 2 81" xfId="3540"/>
    <cellStyle name="Comma 4 2 81 2" xfId="10880"/>
    <cellStyle name="Comma 4 2 82" xfId="3541"/>
    <cellStyle name="Comma 4 2 82 2" xfId="10881"/>
    <cellStyle name="Comma 4 2 83" xfId="3542"/>
    <cellStyle name="Comma 4 2 83 2" xfId="10882"/>
    <cellStyle name="Comma 4 2 84" xfId="3543"/>
    <cellStyle name="Comma 4 2 84 2" xfId="10883"/>
    <cellStyle name="Comma 4 2 85" xfId="3544"/>
    <cellStyle name="Comma 4 2 85 2" xfId="10884"/>
    <cellStyle name="Comma 4 2 86" xfId="3545"/>
    <cellStyle name="Comma 4 2 86 2" xfId="10885"/>
    <cellStyle name="Comma 4 2 87" xfId="3546"/>
    <cellStyle name="Comma 4 2 87 2" xfId="10886"/>
    <cellStyle name="Comma 4 2 88" xfId="3547"/>
    <cellStyle name="Comma 4 2 88 2" xfId="10887"/>
    <cellStyle name="Comma 4 2 89" xfId="3548"/>
    <cellStyle name="Comma 4 2 89 2" xfId="10888"/>
    <cellStyle name="Comma 4 2 9" xfId="3549"/>
    <cellStyle name="Comma 4 2 9 2" xfId="10889"/>
    <cellStyle name="Comma 4 2 90" xfId="3550"/>
    <cellStyle name="Comma 4 2 90 2" xfId="10890"/>
    <cellStyle name="Comma 4 2 91" xfId="3551"/>
    <cellStyle name="Comma 4 2 91 2" xfId="10891"/>
    <cellStyle name="Comma 4 2 92" xfId="3552"/>
    <cellStyle name="Comma 4 2 92 2" xfId="10892"/>
    <cellStyle name="Comma 4 2 93" xfId="3553"/>
    <cellStyle name="Comma 4 2 93 2" xfId="10893"/>
    <cellStyle name="Comma 4 2 94" xfId="3554"/>
    <cellStyle name="Comma 4 2 94 2" xfId="10894"/>
    <cellStyle name="Comma 4 2 95" xfId="3555"/>
    <cellStyle name="Comma 4 2 95 2" xfId="10895"/>
    <cellStyle name="Comma 4 2 96" xfId="3556"/>
    <cellStyle name="Comma 4 2 96 2" xfId="10896"/>
    <cellStyle name="Comma 4 2 97" xfId="3557"/>
    <cellStyle name="Comma 4 2 97 2" xfId="10897"/>
    <cellStyle name="Comma 4 2 98" xfId="3558"/>
    <cellStyle name="Comma 4 2 98 2" xfId="10898"/>
    <cellStyle name="Comma 4 2 99" xfId="3559"/>
    <cellStyle name="Comma 4 2 99 2" xfId="10899"/>
    <cellStyle name="Comma 4 20" xfId="3560"/>
    <cellStyle name="Comma 4 20 2" xfId="10900"/>
    <cellStyle name="Comma 4 21" xfId="3561"/>
    <cellStyle name="Comma 4 21 2" xfId="10901"/>
    <cellStyle name="Comma 4 22" xfId="3562"/>
    <cellStyle name="Comma 4 22 2" xfId="10902"/>
    <cellStyle name="Comma 4 23" xfId="3563"/>
    <cellStyle name="Comma 4 23 2" xfId="10903"/>
    <cellStyle name="Comma 4 24" xfId="3564"/>
    <cellStyle name="Comma 4 24 2" xfId="10904"/>
    <cellStyle name="Comma 4 25" xfId="3565"/>
    <cellStyle name="Comma 4 25 2" xfId="10905"/>
    <cellStyle name="Comma 4 26" xfId="3566"/>
    <cellStyle name="Comma 4 26 2" xfId="10906"/>
    <cellStyle name="Comma 4 27" xfId="3567"/>
    <cellStyle name="Comma 4 27 2" xfId="10907"/>
    <cellStyle name="Comma 4 28" xfId="3568"/>
    <cellStyle name="Comma 4 28 2" xfId="10908"/>
    <cellStyle name="Comma 4 29" xfId="3569"/>
    <cellStyle name="Comma 4 29 2" xfId="10909"/>
    <cellStyle name="Comma 4 3" xfId="3570"/>
    <cellStyle name="Comma 4 3 10" xfId="3571"/>
    <cellStyle name="Comma 4 3 10 2" xfId="10911"/>
    <cellStyle name="Comma 4 3 11" xfId="3572"/>
    <cellStyle name="Comma 4 3 11 2" xfId="10912"/>
    <cellStyle name="Comma 4 3 12" xfId="3573"/>
    <cellStyle name="Comma 4 3 12 2" xfId="10913"/>
    <cellStyle name="Comma 4 3 13" xfId="3574"/>
    <cellStyle name="Comma 4 3 13 2" xfId="10914"/>
    <cellStyle name="Comma 4 3 14" xfId="3575"/>
    <cellStyle name="Comma 4 3 14 2" xfId="10915"/>
    <cellStyle name="Comma 4 3 15" xfId="3576"/>
    <cellStyle name="Comma 4 3 15 2" xfId="10916"/>
    <cellStyle name="Comma 4 3 16" xfId="3577"/>
    <cellStyle name="Comma 4 3 16 2" xfId="10917"/>
    <cellStyle name="Comma 4 3 17" xfId="3578"/>
    <cellStyle name="Comma 4 3 17 2" xfId="10918"/>
    <cellStyle name="Comma 4 3 18" xfId="10910"/>
    <cellStyle name="Comma 4 3 2" xfId="3579"/>
    <cellStyle name="Comma 4 3 2 2" xfId="10919"/>
    <cellStyle name="Comma 4 3 3" xfId="3580"/>
    <cellStyle name="Comma 4 3 3 2" xfId="10920"/>
    <cellStyle name="Comma 4 3 4" xfId="3581"/>
    <cellStyle name="Comma 4 3 4 2" xfId="10921"/>
    <cellStyle name="Comma 4 3 5" xfId="3582"/>
    <cellStyle name="Comma 4 3 5 2" xfId="10922"/>
    <cellStyle name="Comma 4 3 6" xfId="3583"/>
    <cellStyle name="Comma 4 3 6 2" xfId="10923"/>
    <cellStyle name="Comma 4 3 7" xfId="3584"/>
    <cellStyle name="Comma 4 3 7 2" xfId="10924"/>
    <cellStyle name="Comma 4 3 8" xfId="3585"/>
    <cellStyle name="Comma 4 3 8 2" xfId="10925"/>
    <cellStyle name="Comma 4 3 9" xfId="3586"/>
    <cellStyle name="Comma 4 3 9 2" xfId="10926"/>
    <cellStyle name="Comma 4 30" xfId="3587"/>
    <cellStyle name="Comma 4 30 2" xfId="10927"/>
    <cellStyle name="Comma 4 31" xfId="3588"/>
    <cellStyle name="Comma 4 31 2" xfId="10928"/>
    <cellStyle name="Comma 4 32" xfId="3589"/>
    <cellStyle name="Comma 4 32 2" xfId="10929"/>
    <cellStyle name="Comma 4 33" xfId="3590"/>
    <cellStyle name="Comma 4 33 2" xfId="10930"/>
    <cellStyle name="Comma 4 34" xfId="3591"/>
    <cellStyle name="Comma 4 34 2" xfId="10931"/>
    <cellStyle name="Comma 4 35" xfId="3592"/>
    <cellStyle name="Comma 4 35 2" xfId="10932"/>
    <cellStyle name="Comma 4 36" xfId="3593"/>
    <cellStyle name="Comma 4 36 2" xfId="10933"/>
    <cellStyle name="Comma 4 37" xfId="3594"/>
    <cellStyle name="Comma 4 37 2" xfId="10934"/>
    <cellStyle name="Comma 4 38" xfId="3595"/>
    <cellStyle name="Comma 4 38 2" xfId="10935"/>
    <cellStyle name="Comma 4 39" xfId="3596"/>
    <cellStyle name="Comma 4 39 2" xfId="10936"/>
    <cellStyle name="Comma 4 4" xfId="3597"/>
    <cellStyle name="Comma 4 4 10" xfId="3598"/>
    <cellStyle name="Comma 4 4 10 2" xfId="10938"/>
    <cellStyle name="Comma 4 4 11" xfId="3599"/>
    <cellStyle name="Comma 4 4 11 2" xfId="10939"/>
    <cellStyle name="Comma 4 4 12" xfId="3600"/>
    <cellStyle name="Comma 4 4 12 2" xfId="10940"/>
    <cellStyle name="Comma 4 4 13" xfId="3601"/>
    <cellStyle name="Comma 4 4 13 2" xfId="10941"/>
    <cellStyle name="Comma 4 4 14" xfId="3602"/>
    <cellStyle name="Comma 4 4 14 2" xfId="10942"/>
    <cellStyle name="Comma 4 4 15" xfId="3603"/>
    <cellStyle name="Comma 4 4 15 2" xfId="10943"/>
    <cellStyle name="Comma 4 4 16" xfId="3604"/>
    <cellStyle name="Comma 4 4 16 2" xfId="10944"/>
    <cellStyle name="Comma 4 4 17" xfId="3605"/>
    <cellStyle name="Comma 4 4 17 2" xfId="10945"/>
    <cellStyle name="Comma 4 4 18" xfId="10937"/>
    <cellStyle name="Comma 4 4 2" xfId="3606"/>
    <cellStyle name="Comma 4 4 2 2" xfId="10946"/>
    <cellStyle name="Comma 4 4 3" xfId="3607"/>
    <cellStyle name="Comma 4 4 3 2" xfId="10947"/>
    <cellStyle name="Comma 4 4 4" xfId="3608"/>
    <cellStyle name="Comma 4 4 4 2" xfId="10948"/>
    <cellStyle name="Comma 4 4 5" xfId="3609"/>
    <cellStyle name="Comma 4 4 5 2" xfId="10949"/>
    <cellStyle name="Comma 4 4 6" xfId="3610"/>
    <cellStyle name="Comma 4 4 6 2" xfId="10950"/>
    <cellStyle name="Comma 4 4 7" xfId="3611"/>
    <cellStyle name="Comma 4 4 7 2" xfId="10951"/>
    <cellStyle name="Comma 4 4 8" xfId="3612"/>
    <cellStyle name="Comma 4 4 8 2" xfId="10952"/>
    <cellStyle name="Comma 4 4 9" xfId="3613"/>
    <cellStyle name="Comma 4 4 9 2" xfId="10953"/>
    <cellStyle name="Comma 4 40" xfId="3614"/>
    <cellStyle name="Comma 4 40 2" xfId="10954"/>
    <cellStyle name="Comma 4 41" xfId="3615"/>
    <cellStyle name="Comma 4 41 2" xfId="10955"/>
    <cellStyle name="Comma 4 42" xfId="3616"/>
    <cellStyle name="Comma 4 42 2" xfId="10956"/>
    <cellStyle name="Comma 4 43" xfId="3617"/>
    <cellStyle name="Comma 4 43 2" xfId="10957"/>
    <cellStyle name="Comma 4 44" xfId="3618"/>
    <cellStyle name="Comma 4 44 2" xfId="10958"/>
    <cellStyle name="Comma 4 45" xfId="3619"/>
    <cellStyle name="Comma 4 45 2" xfId="10959"/>
    <cellStyle name="Comma 4 46" xfId="3620"/>
    <cellStyle name="Comma 4 46 2" xfId="10960"/>
    <cellStyle name="Comma 4 47" xfId="3621"/>
    <cellStyle name="Comma 4 47 2" xfId="10961"/>
    <cellStyle name="Comma 4 48" xfId="3622"/>
    <cellStyle name="Comma 4 48 2" xfId="10962"/>
    <cellStyle name="Comma 4 49" xfId="3623"/>
    <cellStyle name="Comma 4 49 2" xfId="10963"/>
    <cellStyle name="Comma 4 5" xfId="3624"/>
    <cellStyle name="Comma 4 5 2" xfId="10964"/>
    <cellStyle name="Comma 4 50" xfId="3625"/>
    <cellStyle name="Comma 4 50 2" xfId="10965"/>
    <cellStyle name="Comma 4 51" xfId="3626"/>
    <cellStyle name="Comma 4 51 2" xfId="10966"/>
    <cellStyle name="Comma 4 52" xfId="3627"/>
    <cellStyle name="Comma 4 52 2" xfId="10967"/>
    <cellStyle name="Comma 4 53" xfId="3628"/>
    <cellStyle name="Comma 4 53 2" xfId="10968"/>
    <cellStyle name="Comma 4 54" xfId="3629"/>
    <cellStyle name="Comma 4 54 2" xfId="10969"/>
    <cellStyle name="Comma 4 55" xfId="3630"/>
    <cellStyle name="Comma 4 55 2" xfId="10970"/>
    <cellStyle name="Comma 4 56" xfId="3631"/>
    <cellStyle name="Comma 4 56 2" xfId="10971"/>
    <cellStyle name="Comma 4 57" xfId="3632"/>
    <cellStyle name="Comma 4 57 2" xfId="10972"/>
    <cellStyle name="Comma 4 58" xfId="3633"/>
    <cellStyle name="Comma 4 58 2" xfId="10973"/>
    <cellStyle name="Comma 4 59" xfId="3634"/>
    <cellStyle name="Comma 4 59 2" xfId="10974"/>
    <cellStyle name="Comma 4 6" xfId="3635"/>
    <cellStyle name="Comma 4 6 2" xfId="10975"/>
    <cellStyle name="Comma 4 60" xfId="3636"/>
    <cellStyle name="Comma 4 60 2" xfId="10976"/>
    <cellStyle name="Comma 4 61" xfId="3637"/>
    <cellStyle name="Comma 4 61 2" xfId="10977"/>
    <cellStyle name="Comma 4 62" xfId="3638"/>
    <cellStyle name="Comma 4 62 2" xfId="10978"/>
    <cellStyle name="Comma 4 63" xfId="3639"/>
    <cellStyle name="Comma 4 63 2" xfId="10979"/>
    <cellStyle name="Comma 4 64" xfId="3640"/>
    <cellStyle name="Comma 4 64 2" xfId="10980"/>
    <cellStyle name="Comma 4 65" xfId="3641"/>
    <cellStyle name="Comma 4 65 2" xfId="10981"/>
    <cellStyle name="Comma 4 66" xfId="3642"/>
    <cellStyle name="Comma 4 66 2" xfId="10982"/>
    <cellStyle name="Comma 4 67" xfId="3643"/>
    <cellStyle name="Comma 4 67 2" xfId="10983"/>
    <cellStyle name="Comma 4 68" xfId="3644"/>
    <cellStyle name="Comma 4 68 2" xfId="10984"/>
    <cellStyle name="Comma 4 69" xfId="3645"/>
    <cellStyle name="Comma 4 69 2" xfId="10985"/>
    <cellStyle name="Comma 4 7" xfId="3646"/>
    <cellStyle name="Comma 4 7 2" xfId="10986"/>
    <cellStyle name="Comma 4 70" xfId="3647"/>
    <cellStyle name="Comma 4 70 2" xfId="10987"/>
    <cellStyle name="Comma 4 71" xfId="3648"/>
    <cellStyle name="Comma 4 71 2" xfId="10988"/>
    <cellStyle name="Comma 4 72" xfId="3649"/>
    <cellStyle name="Comma 4 72 2" xfId="10989"/>
    <cellStyle name="Comma 4 73" xfId="3650"/>
    <cellStyle name="Comma 4 73 2" xfId="10990"/>
    <cellStyle name="Comma 4 74" xfId="3651"/>
    <cellStyle name="Comma 4 74 2" xfId="10991"/>
    <cellStyle name="Comma 4 75" xfId="3652"/>
    <cellStyle name="Comma 4 75 2" xfId="10992"/>
    <cellStyle name="Comma 4 76" xfId="3653"/>
    <cellStyle name="Comma 4 76 2" xfId="10993"/>
    <cellStyle name="Comma 4 77" xfId="3654"/>
    <cellStyle name="Comma 4 77 2" xfId="10994"/>
    <cellStyle name="Comma 4 78" xfId="3655"/>
    <cellStyle name="Comma 4 78 2" xfId="10995"/>
    <cellStyle name="Comma 4 79" xfId="4412"/>
    <cellStyle name="Comma 4 79 2" xfId="4623"/>
    <cellStyle name="Comma 4 79 2 2" xfId="4859"/>
    <cellStyle name="Comma 4 79 2 2 2" xfId="8602"/>
    <cellStyle name="Comma 4 79 2 2 2 2" xfId="15150"/>
    <cellStyle name="Comma 4 79 2 2 3" xfId="6883"/>
    <cellStyle name="Comma 4 79 2 2 3 2" xfId="13569"/>
    <cellStyle name="Comma 4 79 2 2 4" xfId="11784"/>
    <cellStyle name="Comma 4 79 2 3" xfId="5450"/>
    <cellStyle name="Comma 4 79 2 3 2" xfId="9193"/>
    <cellStyle name="Comma 4 79 2 3 2 2" xfId="15737"/>
    <cellStyle name="Comma 4 79 2 3 3" xfId="7474"/>
    <cellStyle name="Comma 4 79 2 3 3 2" xfId="14156"/>
    <cellStyle name="Comma 4 79 2 3 4" xfId="12371"/>
    <cellStyle name="Comma 4 79 2 4" xfId="5888"/>
    <cellStyle name="Comma 4 79 2 4 2" xfId="9629"/>
    <cellStyle name="Comma 4 79 2 4 2 2" xfId="16131"/>
    <cellStyle name="Comma 4 79 2 4 3" xfId="7910"/>
    <cellStyle name="Comma 4 79 2 4 3 2" xfId="14550"/>
    <cellStyle name="Comma 4 79 2 4 4" xfId="12781"/>
    <cellStyle name="Comma 4 79 2 5" xfId="9855"/>
    <cellStyle name="Comma 4 79 2 5 2" xfId="16336"/>
    <cellStyle name="Comma 4 79 2 6" xfId="8387"/>
    <cellStyle name="Comma 4 79 2 6 2" xfId="14944"/>
    <cellStyle name="Comma 4 79 2 7" xfId="6668"/>
    <cellStyle name="Comma 4 79 2 7 2" xfId="13358"/>
    <cellStyle name="Comma 4 79 2 8" xfId="11568"/>
    <cellStyle name="Comma 4 79 3" xfId="4858"/>
    <cellStyle name="Comma 4 79 3 2" xfId="8601"/>
    <cellStyle name="Comma 4 79 3 2 2" xfId="15149"/>
    <cellStyle name="Comma 4 79 3 3" xfId="6882"/>
    <cellStyle name="Comma 4 79 3 3 2" xfId="13568"/>
    <cellStyle name="Comma 4 79 3 4" xfId="11783"/>
    <cellStyle name="Comma 4 79 4" xfId="5253"/>
    <cellStyle name="Comma 4 79 4 2" xfId="8996"/>
    <cellStyle name="Comma 4 79 4 2 2" xfId="15540"/>
    <cellStyle name="Comma 4 79 4 3" xfId="7277"/>
    <cellStyle name="Comma 4 79 4 3 2" xfId="13959"/>
    <cellStyle name="Comma 4 79 4 4" xfId="12174"/>
    <cellStyle name="Comma 4 79 5" xfId="5691"/>
    <cellStyle name="Comma 4 79 5 2" xfId="9432"/>
    <cellStyle name="Comma 4 79 5 2 2" xfId="15934"/>
    <cellStyle name="Comma 4 79 5 3" xfId="7713"/>
    <cellStyle name="Comma 4 79 5 3 2" xfId="14353"/>
    <cellStyle name="Comma 4 79 5 4" xfId="12584"/>
    <cellStyle name="Comma 4 79 6" xfId="9854"/>
    <cellStyle name="Comma 4 79 6 2" xfId="16335"/>
    <cellStyle name="Comma 4 79 7" xfId="8190"/>
    <cellStyle name="Comma 4 79 7 2" xfId="14747"/>
    <cellStyle name="Comma 4 79 8" xfId="6471"/>
    <cellStyle name="Comma 4 79 8 2" xfId="13161"/>
    <cellStyle name="Comma 4 79 9" xfId="11368"/>
    <cellStyle name="Comma 4 8" xfId="3656"/>
    <cellStyle name="Comma 4 8 2" xfId="10996"/>
    <cellStyle name="Comma 4 80" xfId="4426"/>
    <cellStyle name="Comma 4 80 2" xfId="4635"/>
    <cellStyle name="Comma 4 80 2 2" xfId="4861"/>
    <cellStyle name="Comma 4 80 2 2 2" xfId="8604"/>
    <cellStyle name="Comma 4 80 2 2 2 2" xfId="15152"/>
    <cellStyle name="Comma 4 80 2 2 3" xfId="6885"/>
    <cellStyle name="Comma 4 80 2 2 3 2" xfId="13571"/>
    <cellStyle name="Comma 4 80 2 2 4" xfId="11786"/>
    <cellStyle name="Comma 4 80 2 3" xfId="5462"/>
    <cellStyle name="Comma 4 80 2 3 2" xfId="9205"/>
    <cellStyle name="Comma 4 80 2 3 2 2" xfId="15749"/>
    <cellStyle name="Comma 4 80 2 3 3" xfId="7486"/>
    <cellStyle name="Comma 4 80 2 3 3 2" xfId="14168"/>
    <cellStyle name="Comma 4 80 2 3 4" xfId="12383"/>
    <cellStyle name="Comma 4 80 2 4" xfId="5900"/>
    <cellStyle name="Comma 4 80 2 4 2" xfId="9641"/>
    <cellStyle name="Comma 4 80 2 4 2 2" xfId="16143"/>
    <cellStyle name="Comma 4 80 2 4 3" xfId="7922"/>
    <cellStyle name="Comma 4 80 2 4 3 2" xfId="14562"/>
    <cellStyle name="Comma 4 80 2 4 4" xfId="12793"/>
    <cellStyle name="Comma 4 80 2 5" xfId="9857"/>
    <cellStyle name="Comma 4 80 2 5 2" xfId="16338"/>
    <cellStyle name="Comma 4 80 2 6" xfId="8399"/>
    <cellStyle name="Comma 4 80 2 6 2" xfId="14956"/>
    <cellStyle name="Comma 4 80 2 7" xfId="6680"/>
    <cellStyle name="Comma 4 80 2 7 2" xfId="13370"/>
    <cellStyle name="Comma 4 80 2 8" xfId="11580"/>
    <cellStyle name="Comma 4 80 3" xfId="4860"/>
    <cellStyle name="Comma 4 80 3 2" xfId="8603"/>
    <cellStyle name="Comma 4 80 3 2 2" xfId="15151"/>
    <cellStyle name="Comma 4 80 3 3" xfId="6884"/>
    <cellStyle name="Comma 4 80 3 3 2" xfId="13570"/>
    <cellStyle name="Comma 4 80 3 4" xfId="11785"/>
    <cellStyle name="Comma 4 80 4" xfId="5265"/>
    <cellStyle name="Comma 4 80 4 2" xfId="9008"/>
    <cellStyle name="Comma 4 80 4 2 2" xfId="15552"/>
    <cellStyle name="Comma 4 80 4 3" xfId="7289"/>
    <cellStyle name="Comma 4 80 4 3 2" xfId="13971"/>
    <cellStyle name="Comma 4 80 4 4" xfId="12186"/>
    <cellStyle name="Comma 4 80 5" xfId="5703"/>
    <cellStyle name="Comma 4 80 5 2" xfId="9444"/>
    <cellStyle name="Comma 4 80 5 2 2" xfId="15946"/>
    <cellStyle name="Comma 4 80 5 3" xfId="7725"/>
    <cellStyle name="Comma 4 80 5 3 2" xfId="14365"/>
    <cellStyle name="Comma 4 80 5 4" xfId="12596"/>
    <cellStyle name="Comma 4 80 6" xfId="9856"/>
    <cellStyle name="Comma 4 80 6 2" xfId="16337"/>
    <cellStyle name="Comma 4 80 7" xfId="8202"/>
    <cellStyle name="Comma 4 80 7 2" xfId="14759"/>
    <cellStyle name="Comma 4 80 8" xfId="6483"/>
    <cellStyle name="Comma 4 80 8 2" xfId="13173"/>
    <cellStyle name="Comma 4 80 9" xfId="11381"/>
    <cellStyle name="Comma 4 81" xfId="4476"/>
    <cellStyle name="Comma 4 81 2" xfId="11421"/>
    <cellStyle name="Comma 4 82" xfId="10275"/>
    <cellStyle name="Comma 4 9" xfId="3657"/>
    <cellStyle name="Comma 4 9 2" xfId="10997"/>
    <cellStyle name="Comma 40" xfId="10243"/>
    <cellStyle name="Comma 5" xfId="3658"/>
    <cellStyle name="Comma 5 10" xfId="3659"/>
    <cellStyle name="Comma 5 10 2" xfId="10999"/>
    <cellStyle name="Comma 5 11" xfId="3660"/>
    <cellStyle name="Comma 5 11 2" xfId="11000"/>
    <cellStyle name="Comma 5 12" xfId="3661"/>
    <cellStyle name="Comma 5 12 2" xfId="11001"/>
    <cellStyle name="Comma 5 13" xfId="3662"/>
    <cellStyle name="Comma 5 13 2" xfId="11002"/>
    <cellStyle name="Comma 5 14" xfId="3663"/>
    <cellStyle name="Comma 5 14 2" xfId="11003"/>
    <cellStyle name="Comma 5 15" xfId="3664"/>
    <cellStyle name="Comma 5 15 2" xfId="11004"/>
    <cellStyle name="Comma 5 16" xfId="3665"/>
    <cellStyle name="Comma 5 16 2" xfId="11005"/>
    <cellStyle name="Comma 5 17" xfId="3666"/>
    <cellStyle name="Comma 5 17 2" xfId="11006"/>
    <cellStyle name="Comma 5 18" xfId="3667"/>
    <cellStyle name="Comma 5 18 2" xfId="11007"/>
    <cellStyle name="Comma 5 19" xfId="3668"/>
    <cellStyle name="Comma 5 19 2" xfId="11008"/>
    <cellStyle name="Comma 5 2" xfId="3669"/>
    <cellStyle name="Comma 5 2 10" xfId="3670"/>
    <cellStyle name="Comma 5 2 10 2" xfId="11010"/>
    <cellStyle name="Comma 5 2 11" xfId="3671"/>
    <cellStyle name="Comma 5 2 11 2" xfId="11011"/>
    <cellStyle name="Comma 5 2 12" xfId="3672"/>
    <cellStyle name="Comma 5 2 12 2" xfId="11012"/>
    <cellStyle name="Comma 5 2 13" xfId="3673"/>
    <cellStyle name="Comma 5 2 13 2" xfId="11013"/>
    <cellStyle name="Comma 5 2 14" xfId="3674"/>
    <cellStyle name="Comma 5 2 14 2" xfId="11014"/>
    <cellStyle name="Comma 5 2 15" xfId="3675"/>
    <cellStyle name="Comma 5 2 15 2" xfId="11015"/>
    <cellStyle name="Comma 5 2 16" xfId="3676"/>
    <cellStyle name="Comma 5 2 16 2" xfId="11016"/>
    <cellStyle name="Comma 5 2 17" xfId="3677"/>
    <cellStyle name="Comma 5 2 17 2" xfId="11017"/>
    <cellStyle name="Comma 5 2 18" xfId="11009"/>
    <cellStyle name="Comma 5 2 2" xfId="3678"/>
    <cellStyle name="Comma 5 2 2 10" xfId="3679"/>
    <cellStyle name="Comma 5 2 2 10 2" xfId="11019"/>
    <cellStyle name="Comma 5 2 2 11" xfId="3680"/>
    <cellStyle name="Comma 5 2 2 11 2" xfId="11020"/>
    <cellStyle name="Comma 5 2 2 12" xfId="3681"/>
    <cellStyle name="Comma 5 2 2 12 2" xfId="11021"/>
    <cellStyle name="Comma 5 2 2 13" xfId="3682"/>
    <cellStyle name="Comma 5 2 2 13 2" xfId="11022"/>
    <cellStyle name="Comma 5 2 2 14" xfId="3683"/>
    <cellStyle name="Comma 5 2 2 14 2" xfId="11023"/>
    <cellStyle name="Comma 5 2 2 15" xfId="3684"/>
    <cellStyle name="Comma 5 2 2 15 2" xfId="11024"/>
    <cellStyle name="Comma 5 2 2 16" xfId="3685"/>
    <cellStyle name="Comma 5 2 2 16 2" xfId="11025"/>
    <cellStyle name="Comma 5 2 2 17" xfId="11018"/>
    <cellStyle name="Comma 5 2 2 2" xfId="3686"/>
    <cellStyle name="Comma 5 2 2 2 10" xfId="3687"/>
    <cellStyle name="Comma 5 2 2 2 10 2" xfId="11027"/>
    <cellStyle name="Comma 5 2 2 2 11" xfId="3688"/>
    <cellStyle name="Comma 5 2 2 2 11 2" xfId="11028"/>
    <cellStyle name="Comma 5 2 2 2 12" xfId="3689"/>
    <cellStyle name="Comma 5 2 2 2 12 2" xfId="11029"/>
    <cellStyle name="Comma 5 2 2 2 13" xfId="3690"/>
    <cellStyle name="Comma 5 2 2 2 13 2" xfId="11030"/>
    <cellStyle name="Comma 5 2 2 2 14" xfId="11026"/>
    <cellStyle name="Comma 5 2 2 2 2" xfId="3691"/>
    <cellStyle name="Comma 5 2 2 2 2 2" xfId="11031"/>
    <cellStyle name="Comma 5 2 2 2 3" xfId="3692"/>
    <cellStyle name="Comma 5 2 2 2 3 2" xfId="11032"/>
    <cellStyle name="Comma 5 2 2 2 4" xfId="3693"/>
    <cellStyle name="Comma 5 2 2 2 4 2" xfId="11033"/>
    <cellStyle name="Comma 5 2 2 2 5" xfId="3694"/>
    <cellStyle name="Comma 5 2 2 2 5 2" xfId="11034"/>
    <cellStyle name="Comma 5 2 2 2 6" xfId="3695"/>
    <cellStyle name="Comma 5 2 2 2 6 2" xfId="11035"/>
    <cellStyle name="Comma 5 2 2 2 7" xfId="3696"/>
    <cellStyle name="Comma 5 2 2 2 7 2" xfId="11036"/>
    <cellStyle name="Comma 5 2 2 2 8" xfId="3697"/>
    <cellStyle name="Comma 5 2 2 2 8 2" xfId="11037"/>
    <cellStyle name="Comma 5 2 2 2 9" xfId="3698"/>
    <cellStyle name="Comma 5 2 2 2 9 2" xfId="11038"/>
    <cellStyle name="Comma 5 2 2 3" xfId="3699"/>
    <cellStyle name="Comma 5 2 2 3 10" xfId="3700"/>
    <cellStyle name="Comma 5 2 2 3 10 2" xfId="11040"/>
    <cellStyle name="Comma 5 2 2 3 11" xfId="3701"/>
    <cellStyle name="Comma 5 2 2 3 11 2" xfId="11041"/>
    <cellStyle name="Comma 5 2 2 3 12" xfId="3702"/>
    <cellStyle name="Comma 5 2 2 3 12 2" xfId="11042"/>
    <cellStyle name="Comma 5 2 2 3 13" xfId="3703"/>
    <cellStyle name="Comma 5 2 2 3 13 2" xfId="11043"/>
    <cellStyle name="Comma 5 2 2 3 14" xfId="11039"/>
    <cellStyle name="Comma 5 2 2 3 2" xfId="3704"/>
    <cellStyle name="Comma 5 2 2 3 2 2" xfId="11044"/>
    <cellStyle name="Comma 5 2 2 3 3" xfId="3705"/>
    <cellStyle name="Comma 5 2 2 3 3 2" xfId="11045"/>
    <cellStyle name="Comma 5 2 2 3 4" xfId="3706"/>
    <cellStyle name="Comma 5 2 2 3 4 2" xfId="11046"/>
    <cellStyle name="Comma 5 2 2 3 5" xfId="3707"/>
    <cellStyle name="Comma 5 2 2 3 5 2" xfId="11047"/>
    <cellStyle name="Comma 5 2 2 3 6" xfId="3708"/>
    <cellStyle name="Comma 5 2 2 3 6 2" xfId="11048"/>
    <cellStyle name="Comma 5 2 2 3 7" xfId="3709"/>
    <cellStyle name="Comma 5 2 2 3 7 2" xfId="11049"/>
    <cellStyle name="Comma 5 2 2 3 8" xfId="3710"/>
    <cellStyle name="Comma 5 2 2 3 8 2" xfId="11050"/>
    <cellStyle name="Comma 5 2 2 3 9" xfId="3711"/>
    <cellStyle name="Comma 5 2 2 3 9 2" xfId="11051"/>
    <cellStyle name="Comma 5 2 2 4" xfId="3712"/>
    <cellStyle name="Comma 5 2 2 4 10" xfId="3713"/>
    <cellStyle name="Comma 5 2 2 4 10 2" xfId="11053"/>
    <cellStyle name="Comma 5 2 2 4 11" xfId="3714"/>
    <cellStyle name="Comma 5 2 2 4 11 2" xfId="11054"/>
    <cellStyle name="Comma 5 2 2 4 12" xfId="3715"/>
    <cellStyle name="Comma 5 2 2 4 12 2" xfId="11055"/>
    <cellStyle name="Comma 5 2 2 4 13" xfId="3716"/>
    <cellStyle name="Comma 5 2 2 4 13 2" xfId="11056"/>
    <cellStyle name="Comma 5 2 2 4 14" xfId="3717"/>
    <cellStyle name="Comma 5 2 2 4 14 2" xfId="3718"/>
    <cellStyle name="Comma 5 2 2 4 14 2 2" xfId="11058"/>
    <cellStyle name="Comma 5 2 2 4 14 3" xfId="3719"/>
    <cellStyle name="Comma 5 2 2 4 14 3 2" xfId="3720"/>
    <cellStyle name="Comma 5 2 2 4 14 3 2 2" xfId="11060"/>
    <cellStyle name="Comma 5 2 2 4 14 3 3" xfId="11059"/>
    <cellStyle name="Comma 5 2 2 4 14 4" xfId="11057"/>
    <cellStyle name="Comma 5 2 2 4 15" xfId="11052"/>
    <cellStyle name="Comma 5 2 2 4 2" xfId="3721"/>
    <cellStyle name="Comma 5 2 2 4 2 2" xfId="11061"/>
    <cellStyle name="Comma 5 2 2 4 3" xfId="3722"/>
    <cellStyle name="Comma 5 2 2 4 3 2" xfId="11062"/>
    <cellStyle name="Comma 5 2 2 4 4" xfId="3723"/>
    <cellStyle name="Comma 5 2 2 4 4 2" xfId="11063"/>
    <cellStyle name="Comma 5 2 2 4 5" xfId="3724"/>
    <cellStyle name="Comma 5 2 2 4 5 2" xfId="11064"/>
    <cellStyle name="Comma 5 2 2 4 6" xfId="3725"/>
    <cellStyle name="Comma 5 2 2 4 6 2" xfId="11065"/>
    <cellStyle name="Comma 5 2 2 4 7" xfId="3726"/>
    <cellStyle name="Comma 5 2 2 4 7 2" xfId="11066"/>
    <cellStyle name="Comma 5 2 2 4 8" xfId="3727"/>
    <cellStyle name="Comma 5 2 2 4 8 2" xfId="11067"/>
    <cellStyle name="Comma 5 2 2 4 9" xfId="3728"/>
    <cellStyle name="Comma 5 2 2 4 9 2" xfId="11068"/>
    <cellStyle name="Comma 5 2 2 5" xfId="3729"/>
    <cellStyle name="Comma 5 2 2 5 2" xfId="11069"/>
    <cellStyle name="Comma 5 2 2 6" xfId="3730"/>
    <cellStyle name="Comma 5 2 2 6 2" xfId="11070"/>
    <cellStyle name="Comma 5 2 2 7" xfId="3731"/>
    <cellStyle name="Comma 5 2 2 7 2" xfId="11071"/>
    <cellStyle name="Comma 5 2 2 8" xfId="3732"/>
    <cellStyle name="Comma 5 2 2 8 2" xfId="11072"/>
    <cellStyle name="Comma 5 2 2 9" xfId="3733"/>
    <cellStyle name="Comma 5 2 2 9 2" xfId="11073"/>
    <cellStyle name="Comma 5 2 3" xfId="3734"/>
    <cellStyle name="Comma 5 2 3 10" xfId="3735"/>
    <cellStyle name="Comma 5 2 3 10 2" xfId="11075"/>
    <cellStyle name="Comma 5 2 3 11" xfId="3736"/>
    <cellStyle name="Comma 5 2 3 11 2" xfId="11076"/>
    <cellStyle name="Comma 5 2 3 12" xfId="3737"/>
    <cellStyle name="Comma 5 2 3 12 2" xfId="11077"/>
    <cellStyle name="Comma 5 2 3 13" xfId="3738"/>
    <cellStyle name="Comma 5 2 3 13 2" xfId="11078"/>
    <cellStyle name="Comma 5 2 3 14" xfId="11074"/>
    <cellStyle name="Comma 5 2 3 2" xfId="3739"/>
    <cellStyle name="Comma 5 2 3 2 2" xfId="11079"/>
    <cellStyle name="Comma 5 2 3 3" xfId="3740"/>
    <cellStyle name="Comma 5 2 3 3 2" xfId="11080"/>
    <cellStyle name="Comma 5 2 3 4" xfId="3741"/>
    <cellStyle name="Comma 5 2 3 4 2" xfId="11081"/>
    <cellStyle name="Comma 5 2 3 5" xfId="3742"/>
    <cellStyle name="Comma 5 2 3 5 2" xfId="11082"/>
    <cellStyle name="Comma 5 2 3 6" xfId="3743"/>
    <cellStyle name="Comma 5 2 3 6 2" xfId="11083"/>
    <cellStyle name="Comma 5 2 3 7" xfId="3744"/>
    <cellStyle name="Comma 5 2 3 7 2" xfId="11084"/>
    <cellStyle name="Comma 5 2 3 8" xfId="3745"/>
    <cellStyle name="Comma 5 2 3 8 2" xfId="11085"/>
    <cellStyle name="Comma 5 2 3 9" xfId="3746"/>
    <cellStyle name="Comma 5 2 3 9 2" xfId="11086"/>
    <cellStyle name="Comma 5 2 4" xfId="3747"/>
    <cellStyle name="Comma 5 2 4 2" xfId="11087"/>
    <cellStyle name="Comma 5 2 5" xfId="3748"/>
    <cellStyle name="Comma 5 2 5 2" xfId="11088"/>
    <cellStyle name="Comma 5 2 6" xfId="3749"/>
    <cellStyle name="Comma 5 2 6 2" xfId="11089"/>
    <cellStyle name="Comma 5 2 7" xfId="3750"/>
    <cellStyle name="Comma 5 2 7 2" xfId="11090"/>
    <cellStyle name="Comma 5 2 8" xfId="3751"/>
    <cellStyle name="Comma 5 2 8 2" xfId="11091"/>
    <cellStyle name="Comma 5 2 9" xfId="3752"/>
    <cellStyle name="Comma 5 2 9 2" xfId="11092"/>
    <cellStyle name="Comma 5 20" xfId="3753"/>
    <cellStyle name="Comma 5 20 2" xfId="11093"/>
    <cellStyle name="Comma 5 21" xfId="3754"/>
    <cellStyle name="Comma 5 21 2" xfId="11094"/>
    <cellStyle name="Comma 5 22" xfId="3755"/>
    <cellStyle name="Comma 5 22 2" xfId="11095"/>
    <cellStyle name="Comma 5 23" xfId="3756"/>
    <cellStyle name="Comma 5 23 2" xfId="11096"/>
    <cellStyle name="Comma 5 24" xfId="3757"/>
    <cellStyle name="Comma 5 24 2" xfId="11097"/>
    <cellStyle name="Comma 5 25" xfId="3758"/>
    <cellStyle name="Comma 5 25 2" xfId="11098"/>
    <cellStyle name="Comma 5 26" xfId="3759"/>
    <cellStyle name="Comma 5 26 2" xfId="11099"/>
    <cellStyle name="Comma 5 27" xfId="3760"/>
    <cellStyle name="Comma 5 27 2" xfId="11100"/>
    <cellStyle name="Comma 5 28" xfId="3761"/>
    <cellStyle name="Comma 5 28 2" xfId="11101"/>
    <cellStyle name="Comma 5 29" xfId="3762"/>
    <cellStyle name="Comma 5 29 2" xfId="11102"/>
    <cellStyle name="Comma 5 3" xfId="3763"/>
    <cellStyle name="Comma 5 3 10" xfId="3764"/>
    <cellStyle name="Comma 5 3 10 2" xfId="11104"/>
    <cellStyle name="Comma 5 3 11" xfId="3765"/>
    <cellStyle name="Comma 5 3 11 2" xfId="11105"/>
    <cellStyle name="Comma 5 3 12" xfId="3766"/>
    <cellStyle name="Comma 5 3 12 2" xfId="11106"/>
    <cellStyle name="Comma 5 3 13" xfId="3767"/>
    <cellStyle name="Comma 5 3 13 2" xfId="11107"/>
    <cellStyle name="Comma 5 3 14" xfId="3768"/>
    <cellStyle name="Comma 5 3 14 2" xfId="11108"/>
    <cellStyle name="Comma 5 3 15" xfId="3769"/>
    <cellStyle name="Comma 5 3 15 2" xfId="11109"/>
    <cellStyle name="Comma 5 3 16" xfId="3770"/>
    <cellStyle name="Comma 5 3 16 2" xfId="11110"/>
    <cellStyle name="Comma 5 3 17" xfId="3771"/>
    <cellStyle name="Comma 5 3 17 2" xfId="11111"/>
    <cellStyle name="Comma 5 3 18" xfId="11103"/>
    <cellStyle name="Comma 5 3 2" xfId="3772"/>
    <cellStyle name="Comma 5 3 2 2" xfId="11112"/>
    <cellStyle name="Comma 5 3 3" xfId="3773"/>
    <cellStyle name="Comma 5 3 3 2" xfId="11113"/>
    <cellStyle name="Comma 5 3 4" xfId="3774"/>
    <cellStyle name="Comma 5 3 4 2" xfId="11114"/>
    <cellStyle name="Comma 5 3 5" xfId="3775"/>
    <cellStyle name="Comma 5 3 5 2" xfId="11115"/>
    <cellStyle name="Comma 5 3 6" xfId="3776"/>
    <cellStyle name="Comma 5 3 6 2" xfId="11116"/>
    <cellStyle name="Comma 5 3 7" xfId="3777"/>
    <cellStyle name="Comma 5 3 7 2" xfId="11117"/>
    <cellStyle name="Comma 5 3 8" xfId="3778"/>
    <cellStyle name="Comma 5 3 8 2" xfId="11118"/>
    <cellStyle name="Comma 5 3 9" xfId="3779"/>
    <cellStyle name="Comma 5 3 9 2" xfId="11119"/>
    <cellStyle name="Comma 5 30" xfId="3780"/>
    <cellStyle name="Comma 5 30 2" xfId="11120"/>
    <cellStyle name="Comma 5 31" xfId="3781"/>
    <cellStyle name="Comma 5 31 2" xfId="11121"/>
    <cellStyle name="Comma 5 32" xfId="3782"/>
    <cellStyle name="Comma 5 32 2" xfId="11122"/>
    <cellStyle name="Comma 5 33" xfId="3783"/>
    <cellStyle name="Comma 5 33 2" xfId="11123"/>
    <cellStyle name="Comma 5 34" xfId="3784"/>
    <cellStyle name="Comma 5 34 2" xfId="11124"/>
    <cellStyle name="Comma 5 35" xfId="3785"/>
    <cellStyle name="Comma 5 35 2" xfId="11125"/>
    <cellStyle name="Comma 5 36" xfId="3786"/>
    <cellStyle name="Comma 5 36 2" xfId="11126"/>
    <cellStyle name="Comma 5 37" xfId="3787"/>
    <cellStyle name="Comma 5 37 2" xfId="11127"/>
    <cellStyle name="Comma 5 38" xfId="3788"/>
    <cellStyle name="Comma 5 38 2" xfId="11128"/>
    <cellStyle name="Comma 5 39" xfId="3789"/>
    <cellStyle name="Comma 5 39 2" xfId="11129"/>
    <cellStyle name="Comma 5 4" xfId="3790"/>
    <cellStyle name="Comma 5 4 2" xfId="11130"/>
    <cellStyle name="Comma 5 40" xfId="3791"/>
    <cellStyle name="Comma 5 40 2" xfId="11131"/>
    <cellStyle name="Comma 5 41" xfId="3792"/>
    <cellStyle name="Comma 5 41 2" xfId="11132"/>
    <cellStyle name="Comma 5 42" xfId="3793"/>
    <cellStyle name="Comma 5 42 2" xfId="11133"/>
    <cellStyle name="Comma 5 43" xfId="3794"/>
    <cellStyle name="Comma 5 43 2" xfId="11134"/>
    <cellStyle name="Comma 5 44" xfId="3795"/>
    <cellStyle name="Comma 5 44 2" xfId="11135"/>
    <cellStyle name="Comma 5 45" xfId="3796"/>
    <cellStyle name="Comma 5 45 2" xfId="11136"/>
    <cellStyle name="Comma 5 46" xfId="3797"/>
    <cellStyle name="Comma 5 46 2" xfId="11137"/>
    <cellStyle name="Comma 5 47" xfId="3798"/>
    <cellStyle name="Comma 5 47 2" xfId="11138"/>
    <cellStyle name="Comma 5 48" xfId="3799"/>
    <cellStyle name="Comma 5 48 2" xfId="11139"/>
    <cellStyle name="Comma 5 49" xfId="3800"/>
    <cellStyle name="Comma 5 49 2" xfId="11140"/>
    <cellStyle name="Comma 5 5" xfId="3801"/>
    <cellStyle name="Comma 5 5 2" xfId="11141"/>
    <cellStyle name="Comma 5 50" xfId="3802"/>
    <cellStyle name="Comma 5 50 2" xfId="11142"/>
    <cellStyle name="Comma 5 51" xfId="3803"/>
    <cellStyle name="Comma 5 51 2" xfId="11143"/>
    <cellStyle name="Comma 5 52" xfId="3804"/>
    <cellStyle name="Comma 5 52 2" xfId="11144"/>
    <cellStyle name="Comma 5 53" xfId="3805"/>
    <cellStyle name="Comma 5 53 2" xfId="11145"/>
    <cellStyle name="Comma 5 54" xfId="3806"/>
    <cellStyle name="Comma 5 54 2" xfId="11146"/>
    <cellStyle name="Comma 5 55" xfId="3807"/>
    <cellStyle name="Comma 5 55 2" xfId="11147"/>
    <cellStyle name="Comma 5 56" xfId="3808"/>
    <cellStyle name="Comma 5 56 2" xfId="11148"/>
    <cellStyle name="Comma 5 57" xfId="3809"/>
    <cellStyle name="Comma 5 57 2" xfId="11149"/>
    <cellStyle name="Comma 5 58" xfId="3810"/>
    <cellStyle name="Comma 5 58 2" xfId="11150"/>
    <cellStyle name="Comma 5 59" xfId="3811"/>
    <cellStyle name="Comma 5 59 2" xfId="11151"/>
    <cellStyle name="Comma 5 6" xfId="3812"/>
    <cellStyle name="Comma 5 6 2" xfId="11152"/>
    <cellStyle name="Comma 5 60" xfId="3813"/>
    <cellStyle name="Comma 5 60 2" xfId="11153"/>
    <cellStyle name="Comma 5 61" xfId="3814"/>
    <cellStyle name="Comma 5 61 2" xfId="11154"/>
    <cellStyle name="Comma 5 62" xfId="3815"/>
    <cellStyle name="Comma 5 62 2" xfId="11155"/>
    <cellStyle name="Comma 5 63" xfId="3816"/>
    <cellStyle name="Comma 5 63 2" xfId="11156"/>
    <cellStyle name="Comma 5 64" xfId="3817"/>
    <cellStyle name="Comma 5 64 2" xfId="11157"/>
    <cellStyle name="Comma 5 65" xfId="3818"/>
    <cellStyle name="Comma 5 65 2" xfId="11158"/>
    <cellStyle name="Comma 5 66" xfId="3819"/>
    <cellStyle name="Comma 5 66 2" xfId="11159"/>
    <cellStyle name="Comma 5 67" xfId="3820"/>
    <cellStyle name="Comma 5 67 2" xfId="11160"/>
    <cellStyle name="Comma 5 68" xfId="3821"/>
    <cellStyle name="Comma 5 68 2" xfId="11161"/>
    <cellStyle name="Comma 5 69" xfId="3822"/>
    <cellStyle name="Comma 5 69 2" xfId="11162"/>
    <cellStyle name="Comma 5 7" xfId="3823"/>
    <cellStyle name="Comma 5 7 2" xfId="11163"/>
    <cellStyle name="Comma 5 70" xfId="3824"/>
    <cellStyle name="Comma 5 70 2" xfId="11164"/>
    <cellStyle name="Comma 5 71" xfId="3825"/>
    <cellStyle name="Comma 5 71 2" xfId="11165"/>
    <cellStyle name="Comma 5 72" xfId="3826"/>
    <cellStyle name="Comma 5 72 2" xfId="11166"/>
    <cellStyle name="Comma 5 73" xfId="3827"/>
    <cellStyle name="Comma 5 73 2" xfId="11167"/>
    <cellStyle name="Comma 5 74" xfId="3828"/>
    <cellStyle name="Comma 5 74 2" xfId="11168"/>
    <cellStyle name="Comma 5 75" xfId="3829"/>
    <cellStyle name="Comma 5 75 2" xfId="11169"/>
    <cellStyle name="Comma 5 76" xfId="3830"/>
    <cellStyle name="Comma 5 76 2" xfId="11170"/>
    <cellStyle name="Comma 5 77" xfId="3831"/>
    <cellStyle name="Comma 5 77 2" xfId="11171"/>
    <cellStyle name="Comma 5 78" xfId="3832"/>
    <cellStyle name="Comma 5 78 2" xfId="11172"/>
    <cellStyle name="Comma 5 79" xfId="3833"/>
    <cellStyle name="Comma 5 79 2" xfId="11173"/>
    <cellStyle name="Comma 5 8" xfId="3834"/>
    <cellStyle name="Comma 5 8 2" xfId="11174"/>
    <cellStyle name="Comma 5 80" xfId="4413"/>
    <cellStyle name="Comma 5 80 2" xfId="4624"/>
    <cellStyle name="Comma 5 80 2 2" xfId="4863"/>
    <cellStyle name="Comma 5 80 2 2 2" xfId="8606"/>
    <cellStyle name="Comma 5 80 2 2 2 2" xfId="15154"/>
    <cellStyle name="Comma 5 80 2 2 3" xfId="6887"/>
    <cellStyle name="Comma 5 80 2 2 3 2" xfId="13573"/>
    <cellStyle name="Comma 5 80 2 2 4" xfId="11788"/>
    <cellStyle name="Comma 5 80 2 3" xfId="5451"/>
    <cellStyle name="Comma 5 80 2 3 2" xfId="9194"/>
    <cellStyle name="Comma 5 80 2 3 2 2" xfId="15738"/>
    <cellStyle name="Comma 5 80 2 3 3" xfId="7475"/>
    <cellStyle name="Comma 5 80 2 3 3 2" xfId="14157"/>
    <cellStyle name="Comma 5 80 2 3 4" xfId="12372"/>
    <cellStyle name="Comma 5 80 2 4" xfId="5889"/>
    <cellStyle name="Comma 5 80 2 4 2" xfId="9630"/>
    <cellStyle name="Comma 5 80 2 4 2 2" xfId="16132"/>
    <cellStyle name="Comma 5 80 2 4 3" xfId="7911"/>
    <cellStyle name="Comma 5 80 2 4 3 2" xfId="14551"/>
    <cellStyle name="Comma 5 80 2 4 4" xfId="12782"/>
    <cellStyle name="Comma 5 80 2 5" xfId="9859"/>
    <cellStyle name="Comma 5 80 2 5 2" xfId="16340"/>
    <cellStyle name="Comma 5 80 2 6" xfId="8388"/>
    <cellStyle name="Comma 5 80 2 6 2" xfId="14945"/>
    <cellStyle name="Comma 5 80 2 7" xfId="6669"/>
    <cellStyle name="Comma 5 80 2 7 2" xfId="13359"/>
    <cellStyle name="Comma 5 80 2 8" xfId="11569"/>
    <cellStyle name="Comma 5 80 3" xfId="4862"/>
    <cellStyle name="Comma 5 80 3 2" xfId="8605"/>
    <cellStyle name="Comma 5 80 3 2 2" xfId="15153"/>
    <cellStyle name="Comma 5 80 3 3" xfId="6886"/>
    <cellStyle name="Comma 5 80 3 3 2" xfId="13572"/>
    <cellStyle name="Comma 5 80 3 4" xfId="11787"/>
    <cellStyle name="Comma 5 80 4" xfId="5254"/>
    <cellStyle name="Comma 5 80 4 2" xfId="8997"/>
    <cellStyle name="Comma 5 80 4 2 2" xfId="15541"/>
    <cellStyle name="Comma 5 80 4 3" xfId="7278"/>
    <cellStyle name="Comma 5 80 4 3 2" xfId="13960"/>
    <cellStyle name="Comma 5 80 4 4" xfId="12175"/>
    <cellStyle name="Comma 5 80 5" xfId="5692"/>
    <cellStyle name="Comma 5 80 5 2" xfId="9433"/>
    <cellStyle name="Comma 5 80 5 2 2" xfId="15935"/>
    <cellStyle name="Comma 5 80 5 3" xfId="7714"/>
    <cellStyle name="Comma 5 80 5 3 2" xfId="14354"/>
    <cellStyle name="Comma 5 80 5 4" xfId="12585"/>
    <cellStyle name="Comma 5 80 6" xfId="9858"/>
    <cellStyle name="Comma 5 80 6 2" xfId="16339"/>
    <cellStyle name="Comma 5 80 7" xfId="8191"/>
    <cellStyle name="Comma 5 80 7 2" xfId="14748"/>
    <cellStyle name="Comma 5 80 8" xfId="6472"/>
    <cellStyle name="Comma 5 80 8 2" xfId="13162"/>
    <cellStyle name="Comma 5 80 9" xfId="11369"/>
    <cellStyle name="Comma 5 81" xfId="4427"/>
    <cellStyle name="Comma 5 81 2" xfId="4636"/>
    <cellStyle name="Comma 5 81 2 2" xfId="4865"/>
    <cellStyle name="Comma 5 81 2 2 2" xfId="8608"/>
    <cellStyle name="Comma 5 81 2 2 2 2" xfId="15156"/>
    <cellStyle name="Comma 5 81 2 2 3" xfId="6889"/>
    <cellStyle name="Comma 5 81 2 2 3 2" xfId="13575"/>
    <cellStyle name="Comma 5 81 2 2 4" xfId="11790"/>
    <cellStyle name="Comma 5 81 2 3" xfId="5463"/>
    <cellStyle name="Comma 5 81 2 3 2" xfId="9206"/>
    <cellStyle name="Comma 5 81 2 3 2 2" xfId="15750"/>
    <cellStyle name="Comma 5 81 2 3 3" xfId="7487"/>
    <cellStyle name="Comma 5 81 2 3 3 2" xfId="14169"/>
    <cellStyle name="Comma 5 81 2 3 4" xfId="12384"/>
    <cellStyle name="Comma 5 81 2 4" xfId="5901"/>
    <cellStyle name="Comma 5 81 2 4 2" xfId="9642"/>
    <cellStyle name="Comma 5 81 2 4 2 2" xfId="16144"/>
    <cellStyle name="Comma 5 81 2 4 3" xfId="7923"/>
    <cellStyle name="Comma 5 81 2 4 3 2" xfId="14563"/>
    <cellStyle name="Comma 5 81 2 4 4" xfId="12794"/>
    <cellStyle name="Comma 5 81 2 5" xfId="9861"/>
    <cellStyle name="Comma 5 81 2 5 2" xfId="16342"/>
    <cellStyle name="Comma 5 81 2 6" xfId="8400"/>
    <cellStyle name="Comma 5 81 2 6 2" xfId="14957"/>
    <cellStyle name="Comma 5 81 2 7" xfId="6681"/>
    <cellStyle name="Comma 5 81 2 7 2" xfId="13371"/>
    <cellStyle name="Comma 5 81 2 8" xfId="11581"/>
    <cellStyle name="Comma 5 81 3" xfId="4864"/>
    <cellStyle name="Comma 5 81 3 2" xfId="8607"/>
    <cellStyle name="Comma 5 81 3 2 2" xfId="15155"/>
    <cellStyle name="Comma 5 81 3 3" xfId="6888"/>
    <cellStyle name="Comma 5 81 3 3 2" xfId="13574"/>
    <cellStyle name="Comma 5 81 3 4" xfId="11789"/>
    <cellStyle name="Comma 5 81 4" xfId="5266"/>
    <cellStyle name="Comma 5 81 4 2" xfId="9009"/>
    <cellStyle name="Comma 5 81 4 2 2" xfId="15553"/>
    <cellStyle name="Comma 5 81 4 3" xfId="7290"/>
    <cellStyle name="Comma 5 81 4 3 2" xfId="13972"/>
    <cellStyle name="Comma 5 81 4 4" xfId="12187"/>
    <cellStyle name="Comma 5 81 5" xfId="5704"/>
    <cellStyle name="Comma 5 81 5 2" xfId="9445"/>
    <cellStyle name="Comma 5 81 5 2 2" xfId="15947"/>
    <cellStyle name="Comma 5 81 5 3" xfId="7726"/>
    <cellStyle name="Comma 5 81 5 3 2" xfId="14366"/>
    <cellStyle name="Comma 5 81 5 4" xfId="12597"/>
    <cellStyle name="Comma 5 81 6" xfId="9860"/>
    <cellStyle name="Comma 5 81 6 2" xfId="16341"/>
    <cellStyle name="Comma 5 81 7" xfId="8203"/>
    <cellStyle name="Comma 5 81 7 2" xfId="14760"/>
    <cellStyle name="Comma 5 81 8" xfId="6484"/>
    <cellStyle name="Comma 5 81 8 2" xfId="13174"/>
    <cellStyle name="Comma 5 81 9" xfId="11382"/>
    <cellStyle name="Comma 5 82" xfId="10998"/>
    <cellStyle name="Comma 5 9" xfId="3835"/>
    <cellStyle name="Comma 5 9 2" xfId="11175"/>
    <cellStyle name="Comma 6" xfId="3836"/>
    <cellStyle name="Comma 6 10" xfId="3837"/>
    <cellStyle name="Comma 6 10 2" xfId="11177"/>
    <cellStyle name="Comma 6 11" xfId="3838"/>
    <cellStyle name="Comma 6 11 2" xfId="11178"/>
    <cellStyle name="Comma 6 12" xfId="3839"/>
    <cellStyle name="Comma 6 12 2" xfId="11179"/>
    <cellStyle name="Comma 6 13" xfId="3840"/>
    <cellStyle name="Comma 6 13 2" xfId="11180"/>
    <cellStyle name="Comma 6 14" xfId="3841"/>
    <cellStyle name="Comma 6 14 2" xfId="11181"/>
    <cellStyle name="Comma 6 15" xfId="3842"/>
    <cellStyle name="Comma 6 15 2" xfId="11182"/>
    <cellStyle name="Comma 6 16" xfId="3843"/>
    <cellStyle name="Comma 6 16 2" xfId="11183"/>
    <cellStyle name="Comma 6 17" xfId="3844"/>
    <cellStyle name="Comma 6 17 2" xfId="11184"/>
    <cellStyle name="Comma 6 18" xfId="3845"/>
    <cellStyle name="Comma 6 18 2" xfId="11185"/>
    <cellStyle name="Comma 6 19" xfId="3846"/>
    <cellStyle name="Comma 6 19 2" xfId="11186"/>
    <cellStyle name="Comma 6 2" xfId="3847"/>
    <cellStyle name="Comma 6 2 10" xfId="3848"/>
    <cellStyle name="Comma 6 2 10 2" xfId="11188"/>
    <cellStyle name="Comma 6 2 11" xfId="3849"/>
    <cellStyle name="Comma 6 2 11 2" xfId="11189"/>
    <cellStyle name="Comma 6 2 12" xfId="3850"/>
    <cellStyle name="Comma 6 2 12 2" xfId="11190"/>
    <cellStyle name="Comma 6 2 13" xfId="3851"/>
    <cellStyle name="Comma 6 2 13 2" xfId="11191"/>
    <cellStyle name="Comma 6 2 14" xfId="11187"/>
    <cellStyle name="Comma 6 2 2" xfId="3852"/>
    <cellStyle name="Comma 6 2 2 2" xfId="11192"/>
    <cellStyle name="Comma 6 2 3" xfId="3853"/>
    <cellStyle name="Comma 6 2 3 2" xfId="11193"/>
    <cellStyle name="Comma 6 2 4" xfId="3854"/>
    <cellStyle name="Comma 6 2 4 2" xfId="11194"/>
    <cellStyle name="Comma 6 2 5" xfId="3855"/>
    <cellStyle name="Comma 6 2 5 2" xfId="11195"/>
    <cellStyle name="Comma 6 2 6" xfId="3856"/>
    <cellStyle name="Comma 6 2 6 2" xfId="11196"/>
    <cellStyle name="Comma 6 2 7" xfId="3857"/>
    <cellStyle name="Comma 6 2 7 2" xfId="11197"/>
    <cellStyle name="Comma 6 2 8" xfId="3858"/>
    <cellStyle name="Comma 6 2 8 2" xfId="11198"/>
    <cellStyle name="Comma 6 2 9" xfId="3859"/>
    <cellStyle name="Comma 6 2 9 2" xfId="11199"/>
    <cellStyle name="Comma 6 20" xfId="11176"/>
    <cellStyle name="Comma 6 3" xfId="3860"/>
    <cellStyle name="Comma 6 3 2" xfId="11200"/>
    <cellStyle name="Comma 6 4" xfId="3861"/>
    <cellStyle name="Comma 6 4 2" xfId="11201"/>
    <cellStyle name="Comma 6 5" xfId="3862"/>
    <cellStyle name="Comma 6 5 2" xfId="11202"/>
    <cellStyle name="Comma 6 6" xfId="3863"/>
    <cellStyle name="Comma 6 6 2" xfId="11203"/>
    <cellStyle name="Comma 6 7" xfId="3864"/>
    <cellStyle name="Comma 6 7 2" xfId="11204"/>
    <cellStyle name="Comma 6 8" xfId="3865"/>
    <cellStyle name="Comma 6 8 2" xfId="11205"/>
    <cellStyle name="Comma 6 9" xfId="3866"/>
    <cellStyle name="Comma 6 9 2" xfId="11206"/>
    <cellStyle name="Comma 7" xfId="3867"/>
    <cellStyle name="Comma 7 10" xfId="3868"/>
    <cellStyle name="Comma 7 10 2" xfId="11208"/>
    <cellStyle name="Comma 7 11" xfId="3869"/>
    <cellStyle name="Comma 7 11 2" xfId="11209"/>
    <cellStyle name="Comma 7 12" xfId="3870"/>
    <cellStyle name="Comma 7 12 2" xfId="11210"/>
    <cellStyle name="Comma 7 13" xfId="3871"/>
    <cellStyle name="Comma 7 13 2" xfId="11211"/>
    <cellStyle name="Comma 7 14" xfId="11207"/>
    <cellStyle name="Comma 7 2" xfId="3872"/>
    <cellStyle name="Comma 7 2 2" xfId="11212"/>
    <cellStyle name="Comma 7 3" xfId="3873"/>
    <cellStyle name="Comma 7 3 2" xfId="11213"/>
    <cellStyle name="Comma 7 4" xfId="3874"/>
    <cellStyle name="Comma 7 4 2" xfId="11214"/>
    <cellStyle name="Comma 7 5" xfId="3875"/>
    <cellStyle name="Comma 7 5 2" xfId="11215"/>
    <cellStyle name="Comma 7 6" xfId="3876"/>
    <cellStyle name="Comma 7 6 2" xfId="11216"/>
    <cellStyle name="Comma 7 7" xfId="3877"/>
    <cellStyle name="Comma 7 7 2" xfId="11217"/>
    <cellStyle name="Comma 7 8" xfId="3878"/>
    <cellStyle name="Comma 7 8 2" xfId="11218"/>
    <cellStyle name="Comma 7 9" xfId="3879"/>
    <cellStyle name="Comma 7 9 2" xfId="11219"/>
    <cellStyle name="Comma 8" xfId="3880"/>
    <cellStyle name="Comma 8 2" xfId="11220"/>
    <cellStyle name="Comma 9" xfId="3881"/>
    <cellStyle name="Comma 9 2" xfId="11221"/>
    <cellStyle name="Comma Dashed" xfId="3882"/>
    <cellStyle name="Comma Nil" xfId="3883"/>
    <cellStyle name="Comma*" xfId="3884"/>
    <cellStyle name="comma[0]" xfId="3885"/>
    <cellStyle name="Comma_Book1" xfId="2"/>
    <cellStyle name="Comma0" xfId="3886"/>
    <cellStyle name="Comma1" xfId="3887"/>
    <cellStyle name="Comma2" xfId="3888"/>
    <cellStyle name="Comment" xfId="3889"/>
    <cellStyle name="CompanyName" xfId="3890"/>
    <cellStyle name="Copied" xfId="3891"/>
    <cellStyle name="Copy0_" xfId="3892"/>
    <cellStyle name="Copy1_" xfId="3893"/>
    <cellStyle name="Copy2_" xfId="3894"/>
    <cellStyle name="CountryTitle" xfId="3895"/>
    <cellStyle name="CoverRatio" xfId="3896"/>
    <cellStyle name="Currency - two places" xfId="3897"/>
    <cellStyle name="Currency (0)" xfId="3898"/>
    <cellStyle name="Currency (2)" xfId="3899"/>
    <cellStyle name="Currency (2dp)" xfId="3900"/>
    <cellStyle name="Currency (2dp) Dashed" xfId="3901"/>
    <cellStyle name="Currency (2dp) Nil" xfId="3902"/>
    <cellStyle name="Currency (2dp+nz)" xfId="3903"/>
    <cellStyle name="Currency (nz)" xfId="3904"/>
    <cellStyle name="Currency [0.00]" xfId="3905"/>
    <cellStyle name="Currency [0] U" xfId="3906"/>
    <cellStyle name="Currency [2]" xfId="3907"/>
    <cellStyle name="Currency [2] U" xfId="3908"/>
    <cellStyle name="Currency 0" xfId="3909"/>
    <cellStyle name="Currency 2" xfId="9"/>
    <cellStyle name="Currency 2 10" xfId="4452"/>
    <cellStyle name="Currency 2 10 2" xfId="4866"/>
    <cellStyle name="Currency 2 10 2 2" xfId="8609"/>
    <cellStyle name="Currency 2 10 2 2 2" xfId="15157"/>
    <cellStyle name="Currency 2 10 2 3" xfId="6890"/>
    <cellStyle name="Currency 2 10 2 3 2" xfId="13576"/>
    <cellStyle name="Currency 2 10 2 4" xfId="11791"/>
    <cellStyle name="Currency 2 10 3" xfId="5280"/>
    <cellStyle name="Currency 2 10 3 2" xfId="9023"/>
    <cellStyle name="Currency 2 10 3 2 2" xfId="15567"/>
    <cellStyle name="Currency 2 10 3 3" xfId="7304"/>
    <cellStyle name="Currency 2 10 3 3 2" xfId="13986"/>
    <cellStyle name="Currency 2 10 3 4" xfId="12201"/>
    <cellStyle name="Currency 2 10 4" xfId="5718"/>
    <cellStyle name="Currency 2 10 4 2" xfId="9459"/>
    <cellStyle name="Currency 2 10 4 2 2" xfId="15961"/>
    <cellStyle name="Currency 2 10 4 3" xfId="7740"/>
    <cellStyle name="Currency 2 10 4 3 2" xfId="14380"/>
    <cellStyle name="Currency 2 10 4 4" xfId="12611"/>
    <cellStyle name="Currency 2 10 5" xfId="9862"/>
    <cellStyle name="Currency 2 10 5 2" xfId="16343"/>
    <cellStyle name="Currency 2 10 6" xfId="8217"/>
    <cellStyle name="Currency 2 10 6 2" xfId="14774"/>
    <cellStyle name="Currency 2 10 7" xfId="6498"/>
    <cellStyle name="Currency 2 10 7 2" xfId="13188"/>
    <cellStyle name="Currency 2 10 8" xfId="11397"/>
    <cellStyle name="Currency 2 11" xfId="4673"/>
    <cellStyle name="Currency 2 11 2" xfId="8419"/>
    <cellStyle name="Currency 2 11 2 2" xfId="14971"/>
    <cellStyle name="Currency 2 11 3" xfId="6700"/>
    <cellStyle name="Currency 2 11 3 2" xfId="13390"/>
    <cellStyle name="Currency 2 11 4" xfId="11604"/>
    <cellStyle name="Currency 2 12" xfId="5079"/>
    <cellStyle name="Currency 2 12 2" xfId="8822"/>
    <cellStyle name="Currency 2 12 2 2" xfId="15370"/>
    <cellStyle name="Currency 2 12 3" xfId="7103"/>
    <cellStyle name="Currency 2 12 3 2" xfId="13789"/>
    <cellStyle name="Currency 2 12 4" xfId="12004"/>
    <cellStyle name="Currency 2 13" xfId="5516"/>
    <cellStyle name="Currency 2 13 2" xfId="9257"/>
    <cellStyle name="Currency 2 13 2 2" xfId="15764"/>
    <cellStyle name="Currency 2 13 3" xfId="7538"/>
    <cellStyle name="Currency 2 13 3 2" xfId="14183"/>
    <cellStyle name="Currency 2 13 4" xfId="12409"/>
    <cellStyle name="Currency 2 14" xfId="9653"/>
    <cellStyle name="Currency 2 14 2" xfId="16155"/>
    <cellStyle name="Currency 2 15" xfId="7937"/>
    <cellStyle name="Currency 2 15 2" xfId="14577"/>
    <cellStyle name="Currency 2 16" xfId="5916"/>
    <cellStyle name="Currency 2 16 2" xfId="12809"/>
    <cellStyle name="Currency 2 17" xfId="10248"/>
    <cellStyle name="Currency 2 2" xfId="13"/>
    <cellStyle name="Currency 2 2 2" xfId="4414"/>
    <cellStyle name="Currency 2 2 2 2" xfId="11370"/>
    <cellStyle name="Currency 2 2 3" xfId="10251"/>
    <cellStyle name="Currency 2 3" xfId="16"/>
    <cellStyle name="Currency 2 3 10" xfId="9654"/>
    <cellStyle name="Currency 2 3 10 2" xfId="16156"/>
    <cellStyle name="Currency 2 3 11" xfId="7938"/>
    <cellStyle name="Currency 2 3 11 2" xfId="14578"/>
    <cellStyle name="Currency 2 3 12" xfId="5917"/>
    <cellStyle name="Currency 2 3 12 2" xfId="12810"/>
    <cellStyle name="Currency 2 3 13" xfId="10252"/>
    <cellStyle name="Currency 2 3 2" xfId="38"/>
    <cellStyle name="Currency 2 3 2 10" xfId="5936"/>
    <cellStyle name="Currency 2 3 2 10 2" xfId="12829"/>
    <cellStyle name="Currency 2 3 2 11" xfId="10271"/>
    <cellStyle name="Currency 2 3 2 2" xfId="3910"/>
    <cellStyle name="Currency 2 3 2 2 2" xfId="4485"/>
    <cellStyle name="Currency 2 3 2 2 2 2" xfId="4867"/>
    <cellStyle name="Currency 2 3 2 2 2 2 2" xfId="8610"/>
    <cellStyle name="Currency 2 3 2 2 2 2 2 2" xfId="15158"/>
    <cellStyle name="Currency 2 3 2 2 2 2 3" xfId="6891"/>
    <cellStyle name="Currency 2 3 2 2 2 2 3 2" xfId="13577"/>
    <cellStyle name="Currency 2 3 2 2 2 2 4" xfId="11792"/>
    <cellStyle name="Currency 2 3 2 2 2 3" xfId="5312"/>
    <cellStyle name="Currency 2 3 2 2 2 3 2" xfId="9055"/>
    <cellStyle name="Currency 2 3 2 2 2 3 2 2" xfId="15599"/>
    <cellStyle name="Currency 2 3 2 2 2 3 3" xfId="7336"/>
    <cellStyle name="Currency 2 3 2 2 2 3 3 2" xfId="14018"/>
    <cellStyle name="Currency 2 3 2 2 2 3 4" xfId="12233"/>
    <cellStyle name="Currency 2 3 2 2 2 4" xfId="5750"/>
    <cellStyle name="Currency 2 3 2 2 2 4 2" xfId="9491"/>
    <cellStyle name="Currency 2 3 2 2 2 4 2 2" xfId="15993"/>
    <cellStyle name="Currency 2 3 2 2 2 4 3" xfId="7772"/>
    <cellStyle name="Currency 2 3 2 2 2 4 3 2" xfId="14412"/>
    <cellStyle name="Currency 2 3 2 2 2 4 4" xfId="12643"/>
    <cellStyle name="Currency 2 3 2 2 2 5" xfId="9863"/>
    <cellStyle name="Currency 2 3 2 2 2 5 2" xfId="16344"/>
    <cellStyle name="Currency 2 3 2 2 2 6" xfId="8249"/>
    <cellStyle name="Currency 2 3 2 2 2 6 2" xfId="14806"/>
    <cellStyle name="Currency 2 3 2 2 2 7" xfId="6530"/>
    <cellStyle name="Currency 2 3 2 2 2 7 2" xfId="13220"/>
    <cellStyle name="Currency 2 3 2 2 2 8" xfId="11430"/>
    <cellStyle name="Currency 2 3 2 2 3" xfId="4766"/>
    <cellStyle name="Currency 2 3 2 2 3 2" xfId="8509"/>
    <cellStyle name="Currency 2 3 2 2 3 2 2" xfId="15061"/>
    <cellStyle name="Currency 2 3 2 2 3 3" xfId="6790"/>
    <cellStyle name="Currency 2 3 2 2 3 3 2" xfId="13480"/>
    <cellStyle name="Currency 2 3 2 2 3 4" xfId="11695"/>
    <cellStyle name="Currency 2 3 2 2 4" xfId="5115"/>
    <cellStyle name="Currency 2 3 2 2 4 2" xfId="8858"/>
    <cellStyle name="Currency 2 3 2 2 4 2 2" xfId="15402"/>
    <cellStyle name="Currency 2 3 2 2 4 3" xfId="7139"/>
    <cellStyle name="Currency 2 3 2 2 4 3 2" xfId="13821"/>
    <cellStyle name="Currency 2 3 2 2 4 4" xfId="12036"/>
    <cellStyle name="Currency 2 3 2 2 5" xfId="5548"/>
    <cellStyle name="Currency 2 3 2 2 5 2" xfId="9289"/>
    <cellStyle name="Currency 2 3 2 2 5 2 2" xfId="15796"/>
    <cellStyle name="Currency 2 3 2 2 5 3" xfId="7570"/>
    <cellStyle name="Currency 2 3 2 2 5 3 2" xfId="14215"/>
    <cellStyle name="Currency 2 3 2 2 5 4" xfId="12441"/>
    <cellStyle name="Currency 2 3 2 2 6" xfId="9756"/>
    <cellStyle name="Currency 2 3 2 2 6 2" xfId="16247"/>
    <cellStyle name="Currency 2 3 2 2 7" xfId="8006"/>
    <cellStyle name="Currency 2 3 2 2 7 2" xfId="14609"/>
    <cellStyle name="Currency 2 3 2 2 8" xfId="6269"/>
    <cellStyle name="Currency 2 3 2 2 8 2" xfId="12994"/>
    <cellStyle name="Currency 2 3 2 2 9" xfId="11222"/>
    <cellStyle name="Currency 2 3 2 3" xfId="3911"/>
    <cellStyle name="Currency 2 3 2 3 2" xfId="4486"/>
    <cellStyle name="Currency 2 3 2 3 2 2" xfId="4868"/>
    <cellStyle name="Currency 2 3 2 3 2 2 2" xfId="8611"/>
    <cellStyle name="Currency 2 3 2 3 2 2 2 2" xfId="15159"/>
    <cellStyle name="Currency 2 3 2 3 2 2 3" xfId="6892"/>
    <cellStyle name="Currency 2 3 2 3 2 2 3 2" xfId="13578"/>
    <cellStyle name="Currency 2 3 2 3 2 2 4" xfId="11793"/>
    <cellStyle name="Currency 2 3 2 3 2 3" xfId="5313"/>
    <cellStyle name="Currency 2 3 2 3 2 3 2" xfId="9056"/>
    <cellStyle name="Currency 2 3 2 3 2 3 2 2" xfId="15600"/>
    <cellStyle name="Currency 2 3 2 3 2 3 3" xfId="7337"/>
    <cellStyle name="Currency 2 3 2 3 2 3 3 2" xfId="14019"/>
    <cellStyle name="Currency 2 3 2 3 2 3 4" xfId="12234"/>
    <cellStyle name="Currency 2 3 2 3 2 4" xfId="5751"/>
    <cellStyle name="Currency 2 3 2 3 2 4 2" xfId="9492"/>
    <cellStyle name="Currency 2 3 2 3 2 4 2 2" xfId="15994"/>
    <cellStyle name="Currency 2 3 2 3 2 4 3" xfId="7773"/>
    <cellStyle name="Currency 2 3 2 3 2 4 3 2" xfId="14413"/>
    <cellStyle name="Currency 2 3 2 3 2 4 4" xfId="12644"/>
    <cellStyle name="Currency 2 3 2 3 2 5" xfId="9864"/>
    <cellStyle name="Currency 2 3 2 3 2 5 2" xfId="16345"/>
    <cellStyle name="Currency 2 3 2 3 2 6" xfId="8250"/>
    <cellStyle name="Currency 2 3 2 3 2 6 2" xfId="14807"/>
    <cellStyle name="Currency 2 3 2 3 2 7" xfId="6531"/>
    <cellStyle name="Currency 2 3 2 3 2 7 2" xfId="13221"/>
    <cellStyle name="Currency 2 3 2 3 2 8" xfId="11431"/>
    <cellStyle name="Currency 2 3 2 3 3" xfId="4837"/>
    <cellStyle name="Currency 2 3 2 3 3 2" xfId="8580"/>
    <cellStyle name="Currency 2 3 2 3 3 2 2" xfId="15128"/>
    <cellStyle name="Currency 2 3 2 3 3 3" xfId="6861"/>
    <cellStyle name="Currency 2 3 2 3 3 3 2" xfId="13547"/>
    <cellStyle name="Currency 2 3 2 3 3 4" xfId="11762"/>
    <cellStyle name="Currency 2 3 2 3 4" xfId="5116"/>
    <cellStyle name="Currency 2 3 2 3 4 2" xfId="8859"/>
    <cellStyle name="Currency 2 3 2 3 4 2 2" xfId="15403"/>
    <cellStyle name="Currency 2 3 2 3 4 3" xfId="7140"/>
    <cellStyle name="Currency 2 3 2 3 4 3 2" xfId="13822"/>
    <cellStyle name="Currency 2 3 2 3 4 4" xfId="12037"/>
    <cellStyle name="Currency 2 3 2 3 5" xfId="5549"/>
    <cellStyle name="Currency 2 3 2 3 5 2" xfId="9290"/>
    <cellStyle name="Currency 2 3 2 3 5 2 2" xfId="15797"/>
    <cellStyle name="Currency 2 3 2 3 5 3" xfId="7571"/>
    <cellStyle name="Currency 2 3 2 3 5 3 2" xfId="14216"/>
    <cellStyle name="Currency 2 3 2 3 5 4" xfId="12442"/>
    <cellStyle name="Currency 2 3 2 3 6" xfId="9828"/>
    <cellStyle name="Currency 2 3 2 3 6 2" xfId="16314"/>
    <cellStyle name="Currency 2 3 2 3 7" xfId="8007"/>
    <cellStyle name="Currency 2 3 2 3 7 2" xfId="14610"/>
    <cellStyle name="Currency 2 3 2 3 8" xfId="6270"/>
    <cellStyle name="Currency 2 3 2 3 8 2" xfId="12995"/>
    <cellStyle name="Currency 2 3 2 3 9" xfId="11223"/>
    <cellStyle name="Currency 2 3 2 4" xfId="4472"/>
    <cellStyle name="Currency 2 3 2 4 2" xfId="4869"/>
    <cellStyle name="Currency 2 3 2 4 2 2" xfId="8612"/>
    <cellStyle name="Currency 2 3 2 4 2 2 2" xfId="15160"/>
    <cellStyle name="Currency 2 3 2 4 2 3" xfId="6893"/>
    <cellStyle name="Currency 2 3 2 4 2 3 2" xfId="13579"/>
    <cellStyle name="Currency 2 3 2 4 2 4" xfId="11794"/>
    <cellStyle name="Currency 2 3 2 4 3" xfId="5300"/>
    <cellStyle name="Currency 2 3 2 4 3 2" xfId="9043"/>
    <cellStyle name="Currency 2 3 2 4 3 2 2" xfId="15587"/>
    <cellStyle name="Currency 2 3 2 4 3 3" xfId="7324"/>
    <cellStyle name="Currency 2 3 2 4 3 3 2" xfId="14006"/>
    <cellStyle name="Currency 2 3 2 4 3 4" xfId="12221"/>
    <cellStyle name="Currency 2 3 2 4 4" xfId="5738"/>
    <cellStyle name="Currency 2 3 2 4 4 2" xfId="9479"/>
    <cellStyle name="Currency 2 3 2 4 4 2 2" xfId="15981"/>
    <cellStyle name="Currency 2 3 2 4 4 3" xfId="7760"/>
    <cellStyle name="Currency 2 3 2 4 4 3 2" xfId="14400"/>
    <cellStyle name="Currency 2 3 2 4 4 4" xfId="12631"/>
    <cellStyle name="Currency 2 3 2 4 5" xfId="9865"/>
    <cellStyle name="Currency 2 3 2 4 5 2" xfId="16346"/>
    <cellStyle name="Currency 2 3 2 4 6" xfId="8237"/>
    <cellStyle name="Currency 2 3 2 4 6 2" xfId="14794"/>
    <cellStyle name="Currency 2 3 2 4 7" xfId="6518"/>
    <cellStyle name="Currency 2 3 2 4 7 2" xfId="13208"/>
    <cellStyle name="Currency 2 3 2 4 8" xfId="11417"/>
    <cellStyle name="Currency 2 3 2 5" xfId="4675"/>
    <cellStyle name="Currency 2 3 2 5 2" xfId="8421"/>
    <cellStyle name="Currency 2 3 2 5 2 2" xfId="14973"/>
    <cellStyle name="Currency 2 3 2 5 3" xfId="6702"/>
    <cellStyle name="Currency 2 3 2 5 3 2" xfId="13392"/>
    <cellStyle name="Currency 2 3 2 5 4" xfId="11606"/>
    <cellStyle name="Currency 2 3 2 6" xfId="5099"/>
    <cellStyle name="Currency 2 3 2 6 2" xfId="8842"/>
    <cellStyle name="Currency 2 3 2 6 2 2" xfId="15390"/>
    <cellStyle name="Currency 2 3 2 6 3" xfId="7123"/>
    <cellStyle name="Currency 2 3 2 6 3 2" xfId="13809"/>
    <cellStyle name="Currency 2 3 2 6 4" xfId="12024"/>
    <cellStyle name="Currency 2 3 2 7" xfId="5536"/>
    <cellStyle name="Currency 2 3 2 7 2" xfId="9277"/>
    <cellStyle name="Currency 2 3 2 7 2 2" xfId="15784"/>
    <cellStyle name="Currency 2 3 2 7 3" xfId="7558"/>
    <cellStyle name="Currency 2 3 2 7 3 2" xfId="14203"/>
    <cellStyle name="Currency 2 3 2 7 4" xfId="12429"/>
    <cellStyle name="Currency 2 3 2 8" xfId="9655"/>
    <cellStyle name="Currency 2 3 2 8 2" xfId="16157"/>
    <cellStyle name="Currency 2 3 2 9" xfId="7957"/>
    <cellStyle name="Currency 2 3 2 9 2" xfId="14597"/>
    <cellStyle name="Currency 2 3 3" xfId="30"/>
    <cellStyle name="Currency 2 3 3 2" xfId="4465"/>
    <cellStyle name="Currency 2 3 3 2 2" xfId="4870"/>
    <cellStyle name="Currency 2 3 3 2 2 2" xfId="8613"/>
    <cellStyle name="Currency 2 3 3 2 2 2 2" xfId="15161"/>
    <cellStyle name="Currency 2 3 3 2 2 3" xfId="6894"/>
    <cellStyle name="Currency 2 3 3 2 2 3 2" xfId="13580"/>
    <cellStyle name="Currency 2 3 3 2 2 4" xfId="11795"/>
    <cellStyle name="Currency 2 3 3 2 3" xfId="5293"/>
    <cellStyle name="Currency 2 3 3 2 3 2" xfId="9036"/>
    <cellStyle name="Currency 2 3 3 2 3 2 2" xfId="15580"/>
    <cellStyle name="Currency 2 3 3 2 3 3" xfId="7317"/>
    <cellStyle name="Currency 2 3 3 2 3 3 2" xfId="13999"/>
    <cellStyle name="Currency 2 3 3 2 3 4" xfId="12214"/>
    <cellStyle name="Currency 2 3 3 2 4" xfId="5731"/>
    <cellStyle name="Currency 2 3 3 2 4 2" xfId="9472"/>
    <cellStyle name="Currency 2 3 3 2 4 2 2" xfId="15974"/>
    <cellStyle name="Currency 2 3 3 2 4 3" xfId="7753"/>
    <cellStyle name="Currency 2 3 3 2 4 3 2" xfId="14393"/>
    <cellStyle name="Currency 2 3 3 2 4 4" xfId="12624"/>
    <cellStyle name="Currency 2 3 3 2 5" xfId="9866"/>
    <cellStyle name="Currency 2 3 3 2 5 2" xfId="16347"/>
    <cellStyle name="Currency 2 3 3 2 6" xfId="8230"/>
    <cellStyle name="Currency 2 3 3 2 6 2" xfId="14787"/>
    <cellStyle name="Currency 2 3 3 2 7" xfId="6511"/>
    <cellStyle name="Currency 2 3 3 2 7 2" xfId="13201"/>
    <cellStyle name="Currency 2 3 3 2 8" xfId="11410"/>
    <cellStyle name="Currency 2 3 3 3" xfId="4765"/>
    <cellStyle name="Currency 2 3 3 3 2" xfId="8508"/>
    <cellStyle name="Currency 2 3 3 3 2 2" xfId="15060"/>
    <cellStyle name="Currency 2 3 3 3 3" xfId="6789"/>
    <cellStyle name="Currency 2 3 3 3 3 2" xfId="13479"/>
    <cellStyle name="Currency 2 3 3 3 4" xfId="11694"/>
    <cellStyle name="Currency 2 3 3 4" xfId="5092"/>
    <cellStyle name="Currency 2 3 3 4 2" xfId="8835"/>
    <cellStyle name="Currency 2 3 3 4 2 2" xfId="15383"/>
    <cellStyle name="Currency 2 3 3 4 3" xfId="7116"/>
    <cellStyle name="Currency 2 3 3 4 3 2" xfId="13802"/>
    <cellStyle name="Currency 2 3 3 4 4" xfId="12017"/>
    <cellStyle name="Currency 2 3 3 5" xfId="5529"/>
    <cellStyle name="Currency 2 3 3 5 2" xfId="9270"/>
    <cellStyle name="Currency 2 3 3 5 2 2" xfId="15777"/>
    <cellStyle name="Currency 2 3 3 5 3" xfId="7551"/>
    <cellStyle name="Currency 2 3 3 5 3 2" xfId="14196"/>
    <cellStyle name="Currency 2 3 3 5 4" xfId="12422"/>
    <cellStyle name="Currency 2 3 3 6" xfId="9755"/>
    <cellStyle name="Currency 2 3 3 6 2" xfId="16246"/>
    <cellStyle name="Currency 2 3 3 7" xfId="7950"/>
    <cellStyle name="Currency 2 3 3 7 2" xfId="14590"/>
    <cellStyle name="Currency 2 3 3 8" xfId="5929"/>
    <cellStyle name="Currency 2 3 3 8 2" xfId="12822"/>
    <cellStyle name="Currency 2 3 3 9" xfId="10264"/>
    <cellStyle name="Currency 2 3 4" xfId="3912"/>
    <cellStyle name="Currency 2 3 4 2" xfId="4487"/>
    <cellStyle name="Currency 2 3 4 2 2" xfId="4871"/>
    <cellStyle name="Currency 2 3 4 2 2 2" xfId="8614"/>
    <cellStyle name="Currency 2 3 4 2 2 2 2" xfId="15162"/>
    <cellStyle name="Currency 2 3 4 2 2 3" xfId="6895"/>
    <cellStyle name="Currency 2 3 4 2 2 3 2" xfId="13581"/>
    <cellStyle name="Currency 2 3 4 2 2 4" xfId="11796"/>
    <cellStyle name="Currency 2 3 4 2 3" xfId="5314"/>
    <cellStyle name="Currency 2 3 4 2 3 2" xfId="9057"/>
    <cellStyle name="Currency 2 3 4 2 3 2 2" xfId="15601"/>
    <cellStyle name="Currency 2 3 4 2 3 3" xfId="7338"/>
    <cellStyle name="Currency 2 3 4 2 3 3 2" xfId="14020"/>
    <cellStyle name="Currency 2 3 4 2 3 4" xfId="12235"/>
    <cellStyle name="Currency 2 3 4 2 4" xfId="5752"/>
    <cellStyle name="Currency 2 3 4 2 4 2" xfId="9493"/>
    <cellStyle name="Currency 2 3 4 2 4 2 2" xfId="15995"/>
    <cellStyle name="Currency 2 3 4 2 4 3" xfId="7774"/>
    <cellStyle name="Currency 2 3 4 2 4 3 2" xfId="14414"/>
    <cellStyle name="Currency 2 3 4 2 4 4" xfId="12645"/>
    <cellStyle name="Currency 2 3 4 2 5" xfId="9867"/>
    <cellStyle name="Currency 2 3 4 2 5 2" xfId="16348"/>
    <cellStyle name="Currency 2 3 4 2 6" xfId="8251"/>
    <cellStyle name="Currency 2 3 4 2 6 2" xfId="14808"/>
    <cellStyle name="Currency 2 3 4 2 7" xfId="6532"/>
    <cellStyle name="Currency 2 3 4 2 7 2" xfId="13222"/>
    <cellStyle name="Currency 2 3 4 2 8" xfId="11432"/>
    <cellStyle name="Currency 2 3 4 3" xfId="4830"/>
    <cellStyle name="Currency 2 3 4 3 2" xfId="8573"/>
    <cellStyle name="Currency 2 3 4 3 2 2" xfId="15121"/>
    <cellStyle name="Currency 2 3 4 3 3" xfId="6854"/>
    <cellStyle name="Currency 2 3 4 3 3 2" xfId="13540"/>
    <cellStyle name="Currency 2 3 4 3 4" xfId="11755"/>
    <cellStyle name="Currency 2 3 4 4" xfId="5117"/>
    <cellStyle name="Currency 2 3 4 4 2" xfId="8860"/>
    <cellStyle name="Currency 2 3 4 4 2 2" xfId="15404"/>
    <cellStyle name="Currency 2 3 4 4 3" xfId="7141"/>
    <cellStyle name="Currency 2 3 4 4 3 2" xfId="13823"/>
    <cellStyle name="Currency 2 3 4 4 4" xfId="12038"/>
    <cellStyle name="Currency 2 3 4 5" xfId="5550"/>
    <cellStyle name="Currency 2 3 4 5 2" xfId="9291"/>
    <cellStyle name="Currency 2 3 4 5 2 2" xfId="15798"/>
    <cellStyle name="Currency 2 3 4 5 3" xfId="7572"/>
    <cellStyle name="Currency 2 3 4 5 3 2" xfId="14217"/>
    <cellStyle name="Currency 2 3 4 5 4" xfId="12443"/>
    <cellStyle name="Currency 2 3 4 6" xfId="9821"/>
    <cellStyle name="Currency 2 3 4 6 2" xfId="16307"/>
    <cellStyle name="Currency 2 3 4 7" xfId="8008"/>
    <cellStyle name="Currency 2 3 4 7 2" xfId="14611"/>
    <cellStyle name="Currency 2 3 4 8" xfId="6271"/>
    <cellStyle name="Currency 2 3 4 8 2" xfId="12996"/>
    <cellStyle name="Currency 2 3 4 9" xfId="11224"/>
    <cellStyle name="Currency 2 3 5" xfId="4434"/>
    <cellStyle name="Currency 2 3 5 2" xfId="4643"/>
    <cellStyle name="Currency 2 3 5 2 2" xfId="4873"/>
    <cellStyle name="Currency 2 3 5 2 2 2" xfId="8616"/>
    <cellStyle name="Currency 2 3 5 2 2 2 2" xfId="15164"/>
    <cellStyle name="Currency 2 3 5 2 2 3" xfId="6897"/>
    <cellStyle name="Currency 2 3 5 2 2 3 2" xfId="13583"/>
    <cellStyle name="Currency 2 3 5 2 2 4" xfId="11798"/>
    <cellStyle name="Currency 2 3 5 2 3" xfId="5470"/>
    <cellStyle name="Currency 2 3 5 2 3 2" xfId="9213"/>
    <cellStyle name="Currency 2 3 5 2 3 2 2" xfId="15757"/>
    <cellStyle name="Currency 2 3 5 2 3 3" xfId="7494"/>
    <cellStyle name="Currency 2 3 5 2 3 3 2" xfId="14176"/>
    <cellStyle name="Currency 2 3 5 2 3 4" xfId="12391"/>
    <cellStyle name="Currency 2 3 5 2 4" xfId="5908"/>
    <cellStyle name="Currency 2 3 5 2 4 2" xfId="9649"/>
    <cellStyle name="Currency 2 3 5 2 4 2 2" xfId="16151"/>
    <cellStyle name="Currency 2 3 5 2 4 3" xfId="7930"/>
    <cellStyle name="Currency 2 3 5 2 4 3 2" xfId="14570"/>
    <cellStyle name="Currency 2 3 5 2 4 4" xfId="12801"/>
    <cellStyle name="Currency 2 3 5 2 5" xfId="9869"/>
    <cellStyle name="Currency 2 3 5 2 5 2" xfId="16350"/>
    <cellStyle name="Currency 2 3 5 2 6" xfId="8407"/>
    <cellStyle name="Currency 2 3 5 2 6 2" xfId="14964"/>
    <cellStyle name="Currency 2 3 5 2 7" xfId="6688"/>
    <cellStyle name="Currency 2 3 5 2 7 2" xfId="13378"/>
    <cellStyle name="Currency 2 3 5 2 8" xfId="11588"/>
    <cellStyle name="Currency 2 3 5 3" xfId="4872"/>
    <cellStyle name="Currency 2 3 5 3 2" xfId="8615"/>
    <cellStyle name="Currency 2 3 5 3 2 2" xfId="15163"/>
    <cellStyle name="Currency 2 3 5 3 3" xfId="6896"/>
    <cellStyle name="Currency 2 3 5 3 3 2" xfId="13582"/>
    <cellStyle name="Currency 2 3 5 3 4" xfId="11797"/>
    <cellStyle name="Currency 2 3 5 4" xfId="5273"/>
    <cellStyle name="Currency 2 3 5 4 2" xfId="9016"/>
    <cellStyle name="Currency 2 3 5 4 2 2" xfId="15560"/>
    <cellStyle name="Currency 2 3 5 4 3" xfId="7297"/>
    <cellStyle name="Currency 2 3 5 4 3 2" xfId="13979"/>
    <cellStyle name="Currency 2 3 5 4 4" xfId="12194"/>
    <cellStyle name="Currency 2 3 5 5" xfId="5711"/>
    <cellStyle name="Currency 2 3 5 5 2" xfId="9452"/>
    <cellStyle name="Currency 2 3 5 5 2 2" xfId="15954"/>
    <cellStyle name="Currency 2 3 5 5 3" xfId="7733"/>
    <cellStyle name="Currency 2 3 5 5 3 2" xfId="14373"/>
    <cellStyle name="Currency 2 3 5 5 4" xfId="12604"/>
    <cellStyle name="Currency 2 3 5 6" xfId="9868"/>
    <cellStyle name="Currency 2 3 5 6 2" xfId="16349"/>
    <cellStyle name="Currency 2 3 5 7" xfId="8210"/>
    <cellStyle name="Currency 2 3 5 7 2" xfId="14767"/>
    <cellStyle name="Currency 2 3 5 8" xfId="6491"/>
    <cellStyle name="Currency 2 3 5 8 2" xfId="13181"/>
    <cellStyle name="Currency 2 3 5 9" xfId="11389"/>
    <cellStyle name="Currency 2 3 6" xfId="4453"/>
    <cellStyle name="Currency 2 3 6 2" xfId="4874"/>
    <cellStyle name="Currency 2 3 6 2 2" xfId="8617"/>
    <cellStyle name="Currency 2 3 6 2 2 2" xfId="15165"/>
    <cellStyle name="Currency 2 3 6 2 3" xfId="6898"/>
    <cellStyle name="Currency 2 3 6 2 3 2" xfId="13584"/>
    <cellStyle name="Currency 2 3 6 2 4" xfId="11799"/>
    <cellStyle name="Currency 2 3 6 3" xfId="5281"/>
    <cellStyle name="Currency 2 3 6 3 2" xfId="9024"/>
    <cellStyle name="Currency 2 3 6 3 2 2" xfId="15568"/>
    <cellStyle name="Currency 2 3 6 3 3" xfId="7305"/>
    <cellStyle name="Currency 2 3 6 3 3 2" xfId="13987"/>
    <cellStyle name="Currency 2 3 6 3 4" xfId="12202"/>
    <cellStyle name="Currency 2 3 6 4" xfId="5719"/>
    <cellStyle name="Currency 2 3 6 4 2" xfId="9460"/>
    <cellStyle name="Currency 2 3 6 4 2 2" xfId="15962"/>
    <cellStyle name="Currency 2 3 6 4 3" xfId="7741"/>
    <cellStyle name="Currency 2 3 6 4 3 2" xfId="14381"/>
    <cellStyle name="Currency 2 3 6 4 4" xfId="12612"/>
    <cellStyle name="Currency 2 3 6 5" xfId="9870"/>
    <cellStyle name="Currency 2 3 6 5 2" xfId="16351"/>
    <cellStyle name="Currency 2 3 6 6" xfId="8218"/>
    <cellStyle name="Currency 2 3 6 6 2" xfId="14775"/>
    <cellStyle name="Currency 2 3 6 7" xfId="6499"/>
    <cellStyle name="Currency 2 3 6 7 2" xfId="13189"/>
    <cellStyle name="Currency 2 3 6 8" xfId="11398"/>
    <cellStyle name="Currency 2 3 7" xfId="4674"/>
    <cellStyle name="Currency 2 3 7 2" xfId="8420"/>
    <cellStyle name="Currency 2 3 7 2 2" xfId="14972"/>
    <cellStyle name="Currency 2 3 7 3" xfId="6701"/>
    <cellStyle name="Currency 2 3 7 3 2" xfId="13391"/>
    <cellStyle name="Currency 2 3 7 4" xfId="11605"/>
    <cellStyle name="Currency 2 3 8" xfId="5080"/>
    <cellStyle name="Currency 2 3 8 2" xfId="8823"/>
    <cellStyle name="Currency 2 3 8 2 2" xfId="15371"/>
    <cellStyle name="Currency 2 3 8 3" xfId="7104"/>
    <cellStyle name="Currency 2 3 8 3 2" xfId="13790"/>
    <cellStyle name="Currency 2 3 8 4" xfId="12005"/>
    <cellStyle name="Currency 2 3 9" xfId="5517"/>
    <cellStyle name="Currency 2 3 9 2" xfId="9258"/>
    <cellStyle name="Currency 2 3 9 2 2" xfId="15765"/>
    <cellStyle name="Currency 2 3 9 3" xfId="7539"/>
    <cellStyle name="Currency 2 3 9 3 2" xfId="14184"/>
    <cellStyle name="Currency 2 3 9 4" xfId="12410"/>
    <cellStyle name="Currency 2 4" xfId="36"/>
    <cellStyle name="Currency 2 4 10" xfId="5935"/>
    <cellStyle name="Currency 2 4 10 2" xfId="12828"/>
    <cellStyle name="Currency 2 4 11" xfId="10270"/>
    <cellStyle name="Currency 2 4 2" xfId="3913"/>
    <cellStyle name="Currency 2 4 2 2" xfId="4488"/>
    <cellStyle name="Currency 2 4 2 2 2" xfId="4875"/>
    <cellStyle name="Currency 2 4 2 2 2 2" xfId="8618"/>
    <cellStyle name="Currency 2 4 2 2 2 2 2" xfId="15166"/>
    <cellStyle name="Currency 2 4 2 2 2 3" xfId="6899"/>
    <cellStyle name="Currency 2 4 2 2 2 3 2" xfId="13585"/>
    <cellStyle name="Currency 2 4 2 2 2 4" xfId="11800"/>
    <cellStyle name="Currency 2 4 2 2 3" xfId="5315"/>
    <cellStyle name="Currency 2 4 2 2 3 2" xfId="9058"/>
    <cellStyle name="Currency 2 4 2 2 3 2 2" xfId="15602"/>
    <cellStyle name="Currency 2 4 2 2 3 3" xfId="7339"/>
    <cellStyle name="Currency 2 4 2 2 3 3 2" xfId="14021"/>
    <cellStyle name="Currency 2 4 2 2 3 4" xfId="12236"/>
    <cellStyle name="Currency 2 4 2 2 4" xfId="5753"/>
    <cellStyle name="Currency 2 4 2 2 4 2" xfId="9494"/>
    <cellStyle name="Currency 2 4 2 2 4 2 2" xfId="15996"/>
    <cellStyle name="Currency 2 4 2 2 4 3" xfId="7775"/>
    <cellStyle name="Currency 2 4 2 2 4 3 2" xfId="14415"/>
    <cellStyle name="Currency 2 4 2 2 4 4" xfId="12646"/>
    <cellStyle name="Currency 2 4 2 2 5" xfId="9871"/>
    <cellStyle name="Currency 2 4 2 2 5 2" xfId="16352"/>
    <cellStyle name="Currency 2 4 2 2 6" xfId="8252"/>
    <cellStyle name="Currency 2 4 2 2 6 2" xfId="14809"/>
    <cellStyle name="Currency 2 4 2 2 7" xfId="6533"/>
    <cellStyle name="Currency 2 4 2 2 7 2" xfId="13223"/>
    <cellStyle name="Currency 2 4 2 2 8" xfId="11433"/>
    <cellStyle name="Currency 2 4 2 3" xfId="4767"/>
    <cellStyle name="Currency 2 4 2 3 2" xfId="8510"/>
    <cellStyle name="Currency 2 4 2 3 2 2" xfId="15062"/>
    <cellStyle name="Currency 2 4 2 3 3" xfId="6791"/>
    <cellStyle name="Currency 2 4 2 3 3 2" xfId="13481"/>
    <cellStyle name="Currency 2 4 2 3 4" xfId="11696"/>
    <cellStyle name="Currency 2 4 2 4" xfId="5118"/>
    <cellStyle name="Currency 2 4 2 4 2" xfId="8861"/>
    <cellStyle name="Currency 2 4 2 4 2 2" xfId="15405"/>
    <cellStyle name="Currency 2 4 2 4 3" xfId="7142"/>
    <cellStyle name="Currency 2 4 2 4 3 2" xfId="13824"/>
    <cellStyle name="Currency 2 4 2 4 4" xfId="12039"/>
    <cellStyle name="Currency 2 4 2 5" xfId="5551"/>
    <cellStyle name="Currency 2 4 2 5 2" xfId="9292"/>
    <cellStyle name="Currency 2 4 2 5 2 2" xfId="15799"/>
    <cellStyle name="Currency 2 4 2 5 3" xfId="7573"/>
    <cellStyle name="Currency 2 4 2 5 3 2" xfId="14218"/>
    <cellStyle name="Currency 2 4 2 5 4" xfId="12444"/>
    <cellStyle name="Currency 2 4 2 6" xfId="9757"/>
    <cellStyle name="Currency 2 4 2 6 2" xfId="16248"/>
    <cellStyle name="Currency 2 4 2 7" xfId="8009"/>
    <cellStyle name="Currency 2 4 2 7 2" xfId="14612"/>
    <cellStyle name="Currency 2 4 2 8" xfId="6272"/>
    <cellStyle name="Currency 2 4 2 8 2" xfId="12997"/>
    <cellStyle name="Currency 2 4 2 9" xfId="11225"/>
    <cellStyle name="Currency 2 4 3" xfId="3914"/>
    <cellStyle name="Currency 2 4 3 2" xfId="4489"/>
    <cellStyle name="Currency 2 4 3 2 2" xfId="4876"/>
    <cellStyle name="Currency 2 4 3 2 2 2" xfId="8619"/>
    <cellStyle name="Currency 2 4 3 2 2 2 2" xfId="15167"/>
    <cellStyle name="Currency 2 4 3 2 2 3" xfId="6900"/>
    <cellStyle name="Currency 2 4 3 2 2 3 2" xfId="13586"/>
    <cellStyle name="Currency 2 4 3 2 2 4" xfId="11801"/>
    <cellStyle name="Currency 2 4 3 2 3" xfId="5316"/>
    <cellStyle name="Currency 2 4 3 2 3 2" xfId="9059"/>
    <cellStyle name="Currency 2 4 3 2 3 2 2" xfId="15603"/>
    <cellStyle name="Currency 2 4 3 2 3 3" xfId="7340"/>
    <cellStyle name="Currency 2 4 3 2 3 3 2" xfId="14022"/>
    <cellStyle name="Currency 2 4 3 2 3 4" xfId="12237"/>
    <cellStyle name="Currency 2 4 3 2 4" xfId="5754"/>
    <cellStyle name="Currency 2 4 3 2 4 2" xfId="9495"/>
    <cellStyle name="Currency 2 4 3 2 4 2 2" xfId="15997"/>
    <cellStyle name="Currency 2 4 3 2 4 3" xfId="7776"/>
    <cellStyle name="Currency 2 4 3 2 4 3 2" xfId="14416"/>
    <cellStyle name="Currency 2 4 3 2 4 4" xfId="12647"/>
    <cellStyle name="Currency 2 4 3 2 5" xfId="9872"/>
    <cellStyle name="Currency 2 4 3 2 5 2" xfId="16353"/>
    <cellStyle name="Currency 2 4 3 2 6" xfId="8253"/>
    <cellStyle name="Currency 2 4 3 2 6 2" xfId="14810"/>
    <cellStyle name="Currency 2 4 3 2 7" xfId="6534"/>
    <cellStyle name="Currency 2 4 3 2 7 2" xfId="13224"/>
    <cellStyle name="Currency 2 4 3 2 8" xfId="11434"/>
    <cellStyle name="Currency 2 4 3 3" xfId="4836"/>
    <cellStyle name="Currency 2 4 3 3 2" xfId="8579"/>
    <cellStyle name="Currency 2 4 3 3 2 2" xfId="15127"/>
    <cellStyle name="Currency 2 4 3 3 3" xfId="6860"/>
    <cellStyle name="Currency 2 4 3 3 3 2" xfId="13546"/>
    <cellStyle name="Currency 2 4 3 3 4" xfId="11761"/>
    <cellStyle name="Currency 2 4 3 4" xfId="5119"/>
    <cellStyle name="Currency 2 4 3 4 2" xfId="8862"/>
    <cellStyle name="Currency 2 4 3 4 2 2" xfId="15406"/>
    <cellStyle name="Currency 2 4 3 4 3" xfId="7143"/>
    <cellStyle name="Currency 2 4 3 4 3 2" xfId="13825"/>
    <cellStyle name="Currency 2 4 3 4 4" xfId="12040"/>
    <cellStyle name="Currency 2 4 3 5" xfId="5552"/>
    <cellStyle name="Currency 2 4 3 5 2" xfId="9293"/>
    <cellStyle name="Currency 2 4 3 5 2 2" xfId="15800"/>
    <cellStyle name="Currency 2 4 3 5 3" xfId="7574"/>
    <cellStyle name="Currency 2 4 3 5 3 2" xfId="14219"/>
    <cellStyle name="Currency 2 4 3 5 4" xfId="12445"/>
    <cellStyle name="Currency 2 4 3 6" xfId="9827"/>
    <cellStyle name="Currency 2 4 3 6 2" xfId="16313"/>
    <cellStyle name="Currency 2 4 3 7" xfId="8010"/>
    <cellStyle name="Currency 2 4 3 7 2" xfId="14613"/>
    <cellStyle name="Currency 2 4 3 8" xfId="6273"/>
    <cellStyle name="Currency 2 4 3 8 2" xfId="12998"/>
    <cellStyle name="Currency 2 4 3 9" xfId="11226"/>
    <cellStyle name="Currency 2 4 4" xfId="4471"/>
    <cellStyle name="Currency 2 4 4 2" xfId="4877"/>
    <cellStyle name="Currency 2 4 4 2 2" xfId="8620"/>
    <cellStyle name="Currency 2 4 4 2 2 2" xfId="15168"/>
    <cellStyle name="Currency 2 4 4 2 3" xfId="6901"/>
    <cellStyle name="Currency 2 4 4 2 3 2" xfId="13587"/>
    <cellStyle name="Currency 2 4 4 2 4" xfId="11802"/>
    <cellStyle name="Currency 2 4 4 3" xfId="5299"/>
    <cellStyle name="Currency 2 4 4 3 2" xfId="9042"/>
    <cellStyle name="Currency 2 4 4 3 2 2" xfId="15586"/>
    <cellStyle name="Currency 2 4 4 3 3" xfId="7323"/>
    <cellStyle name="Currency 2 4 4 3 3 2" xfId="14005"/>
    <cellStyle name="Currency 2 4 4 3 4" xfId="12220"/>
    <cellStyle name="Currency 2 4 4 4" xfId="5737"/>
    <cellStyle name="Currency 2 4 4 4 2" xfId="9478"/>
    <cellStyle name="Currency 2 4 4 4 2 2" xfId="15980"/>
    <cellStyle name="Currency 2 4 4 4 3" xfId="7759"/>
    <cellStyle name="Currency 2 4 4 4 3 2" xfId="14399"/>
    <cellStyle name="Currency 2 4 4 4 4" xfId="12630"/>
    <cellStyle name="Currency 2 4 4 5" xfId="9873"/>
    <cellStyle name="Currency 2 4 4 5 2" xfId="16354"/>
    <cellStyle name="Currency 2 4 4 6" xfId="8236"/>
    <cellStyle name="Currency 2 4 4 6 2" xfId="14793"/>
    <cellStyle name="Currency 2 4 4 7" xfId="6517"/>
    <cellStyle name="Currency 2 4 4 7 2" xfId="13207"/>
    <cellStyle name="Currency 2 4 4 8" xfId="11416"/>
    <cellStyle name="Currency 2 4 5" xfId="4676"/>
    <cellStyle name="Currency 2 4 5 2" xfId="8422"/>
    <cellStyle name="Currency 2 4 5 2 2" xfId="14974"/>
    <cellStyle name="Currency 2 4 5 3" xfId="6703"/>
    <cellStyle name="Currency 2 4 5 3 2" xfId="13393"/>
    <cellStyle name="Currency 2 4 5 4" xfId="11607"/>
    <cellStyle name="Currency 2 4 6" xfId="5098"/>
    <cellStyle name="Currency 2 4 6 2" xfId="8841"/>
    <cellStyle name="Currency 2 4 6 2 2" xfId="15389"/>
    <cellStyle name="Currency 2 4 6 3" xfId="7122"/>
    <cellStyle name="Currency 2 4 6 3 2" xfId="13808"/>
    <cellStyle name="Currency 2 4 6 4" xfId="12023"/>
    <cellStyle name="Currency 2 4 7" xfId="5535"/>
    <cellStyle name="Currency 2 4 7 2" xfId="9276"/>
    <cellStyle name="Currency 2 4 7 2 2" xfId="15783"/>
    <cellStyle name="Currency 2 4 7 3" xfId="7557"/>
    <cellStyle name="Currency 2 4 7 3 2" xfId="14202"/>
    <cellStyle name="Currency 2 4 7 4" xfId="12428"/>
    <cellStyle name="Currency 2 4 8" xfId="9656"/>
    <cellStyle name="Currency 2 4 8 2" xfId="16158"/>
    <cellStyle name="Currency 2 4 9" xfId="7956"/>
    <cellStyle name="Currency 2 4 9 2" xfId="14596"/>
    <cellStyle name="Currency 2 5" xfId="21"/>
    <cellStyle name="Currency 2 5 2" xfId="4457"/>
    <cellStyle name="Currency 2 5 2 2" xfId="4878"/>
    <cellStyle name="Currency 2 5 2 2 2" xfId="8621"/>
    <cellStyle name="Currency 2 5 2 2 2 2" xfId="15169"/>
    <cellStyle name="Currency 2 5 2 2 3" xfId="6902"/>
    <cellStyle name="Currency 2 5 2 2 3 2" xfId="13588"/>
    <cellStyle name="Currency 2 5 2 2 4" xfId="11803"/>
    <cellStyle name="Currency 2 5 2 3" xfId="5285"/>
    <cellStyle name="Currency 2 5 2 3 2" xfId="9028"/>
    <cellStyle name="Currency 2 5 2 3 2 2" xfId="15572"/>
    <cellStyle name="Currency 2 5 2 3 3" xfId="7309"/>
    <cellStyle name="Currency 2 5 2 3 3 2" xfId="13991"/>
    <cellStyle name="Currency 2 5 2 3 4" xfId="12206"/>
    <cellStyle name="Currency 2 5 2 4" xfId="5723"/>
    <cellStyle name="Currency 2 5 2 4 2" xfId="9464"/>
    <cellStyle name="Currency 2 5 2 4 2 2" xfId="15966"/>
    <cellStyle name="Currency 2 5 2 4 3" xfId="7745"/>
    <cellStyle name="Currency 2 5 2 4 3 2" xfId="14385"/>
    <cellStyle name="Currency 2 5 2 4 4" xfId="12616"/>
    <cellStyle name="Currency 2 5 2 5" xfId="9874"/>
    <cellStyle name="Currency 2 5 2 5 2" xfId="16355"/>
    <cellStyle name="Currency 2 5 2 6" xfId="8222"/>
    <cellStyle name="Currency 2 5 2 6 2" xfId="14779"/>
    <cellStyle name="Currency 2 5 2 7" xfId="6503"/>
    <cellStyle name="Currency 2 5 2 7 2" xfId="13193"/>
    <cellStyle name="Currency 2 5 2 8" xfId="11402"/>
    <cellStyle name="Currency 2 5 3" xfId="4694"/>
    <cellStyle name="Currency 2 5 4" xfId="5084"/>
    <cellStyle name="Currency 2 5 4 2" xfId="8827"/>
    <cellStyle name="Currency 2 5 4 2 2" xfId="15375"/>
    <cellStyle name="Currency 2 5 4 3" xfId="7108"/>
    <cellStyle name="Currency 2 5 4 3 2" xfId="13794"/>
    <cellStyle name="Currency 2 5 4 4" xfId="12009"/>
    <cellStyle name="Currency 2 5 5" xfId="5521"/>
    <cellStyle name="Currency 2 5 5 2" xfId="9262"/>
    <cellStyle name="Currency 2 5 5 2 2" xfId="15769"/>
    <cellStyle name="Currency 2 5 5 3" xfId="7543"/>
    <cellStyle name="Currency 2 5 5 3 2" xfId="14188"/>
    <cellStyle name="Currency 2 5 5 4" xfId="12414"/>
    <cellStyle name="Currency 2 5 6" xfId="7942"/>
    <cellStyle name="Currency 2 5 6 2" xfId="14582"/>
    <cellStyle name="Currency 2 5 7" xfId="5921"/>
    <cellStyle name="Currency 2 5 7 2" xfId="12814"/>
    <cellStyle name="Currency 2 5 8" xfId="10256"/>
    <cellStyle name="Currency 2 6" xfId="3915"/>
    <cellStyle name="Currency 2 6 2" xfId="4490"/>
    <cellStyle name="Currency 2 6 2 2" xfId="4879"/>
    <cellStyle name="Currency 2 6 2 2 2" xfId="8622"/>
    <cellStyle name="Currency 2 6 2 2 2 2" xfId="15170"/>
    <cellStyle name="Currency 2 6 2 2 3" xfId="6903"/>
    <cellStyle name="Currency 2 6 2 2 3 2" xfId="13589"/>
    <cellStyle name="Currency 2 6 2 2 4" xfId="11804"/>
    <cellStyle name="Currency 2 6 2 3" xfId="5317"/>
    <cellStyle name="Currency 2 6 2 3 2" xfId="9060"/>
    <cellStyle name="Currency 2 6 2 3 2 2" xfId="15604"/>
    <cellStyle name="Currency 2 6 2 3 3" xfId="7341"/>
    <cellStyle name="Currency 2 6 2 3 3 2" xfId="14023"/>
    <cellStyle name="Currency 2 6 2 3 4" xfId="12238"/>
    <cellStyle name="Currency 2 6 2 4" xfId="5755"/>
    <cellStyle name="Currency 2 6 2 4 2" xfId="9496"/>
    <cellStyle name="Currency 2 6 2 4 2 2" xfId="15998"/>
    <cellStyle name="Currency 2 6 2 4 3" xfId="7777"/>
    <cellStyle name="Currency 2 6 2 4 3 2" xfId="14417"/>
    <cellStyle name="Currency 2 6 2 4 4" xfId="12648"/>
    <cellStyle name="Currency 2 6 2 5" xfId="9875"/>
    <cellStyle name="Currency 2 6 2 5 2" xfId="16356"/>
    <cellStyle name="Currency 2 6 2 6" xfId="8254"/>
    <cellStyle name="Currency 2 6 2 6 2" xfId="14811"/>
    <cellStyle name="Currency 2 6 2 7" xfId="6535"/>
    <cellStyle name="Currency 2 6 2 7 2" xfId="13225"/>
    <cellStyle name="Currency 2 6 2 8" xfId="11435"/>
    <cellStyle name="Currency 2 6 3" xfId="4764"/>
    <cellStyle name="Currency 2 6 3 2" xfId="8507"/>
    <cellStyle name="Currency 2 6 3 2 2" xfId="15059"/>
    <cellStyle name="Currency 2 6 3 3" xfId="6788"/>
    <cellStyle name="Currency 2 6 3 3 2" xfId="13478"/>
    <cellStyle name="Currency 2 6 3 4" xfId="11693"/>
    <cellStyle name="Currency 2 6 4" xfId="5120"/>
    <cellStyle name="Currency 2 6 4 2" xfId="8863"/>
    <cellStyle name="Currency 2 6 4 2 2" xfId="15407"/>
    <cellStyle name="Currency 2 6 4 3" xfId="7144"/>
    <cellStyle name="Currency 2 6 4 3 2" xfId="13826"/>
    <cellStyle name="Currency 2 6 4 4" xfId="12041"/>
    <cellStyle name="Currency 2 6 5" xfId="5553"/>
    <cellStyle name="Currency 2 6 5 2" xfId="9294"/>
    <cellStyle name="Currency 2 6 5 2 2" xfId="15801"/>
    <cellStyle name="Currency 2 6 5 3" xfId="7575"/>
    <cellStyle name="Currency 2 6 5 3 2" xfId="14220"/>
    <cellStyle name="Currency 2 6 5 4" xfId="12446"/>
    <cellStyle name="Currency 2 6 6" xfId="9754"/>
    <cellStyle name="Currency 2 6 6 2" xfId="16245"/>
    <cellStyle name="Currency 2 6 7" xfId="8011"/>
    <cellStyle name="Currency 2 6 7 2" xfId="14614"/>
    <cellStyle name="Currency 2 6 8" xfId="6274"/>
    <cellStyle name="Currency 2 6 8 2" xfId="12999"/>
    <cellStyle name="Currency 2 6 9" xfId="11227"/>
    <cellStyle name="Currency 2 7" xfId="3916"/>
    <cellStyle name="Currency 2 7 2" xfId="4491"/>
    <cellStyle name="Currency 2 7 2 2" xfId="4880"/>
    <cellStyle name="Currency 2 7 2 2 2" xfId="8623"/>
    <cellStyle name="Currency 2 7 2 2 2 2" xfId="15171"/>
    <cellStyle name="Currency 2 7 2 2 3" xfId="6904"/>
    <cellStyle name="Currency 2 7 2 2 3 2" xfId="13590"/>
    <cellStyle name="Currency 2 7 2 2 4" xfId="11805"/>
    <cellStyle name="Currency 2 7 2 3" xfId="5318"/>
    <cellStyle name="Currency 2 7 2 3 2" xfId="9061"/>
    <cellStyle name="Currency 2 7 2 3 2 2" xfId="15605"/>
    <cellStyle name="Currency 2 7 2 3 3" xfId="7342"/>
    <cellStyle name="Currency 2 7 2 3 3 2" xfId="14024"/>
    <cellStyle name="Currency 2 7 2 3 4" xfId="12239"/>
    <cellStyle name="Currency 2 7 2 4" xfId="5756"/>
    <cellStyle name="Currency 2 7 2 4 2" xfId="9497"/>
    <cellStyle name="Currency 2 7 2 4 2 2" xfId="15999"/>
    <cellStyle name="Currency 2 7 2 4 3" xfId="7778"/>
    <cellStyle name="Currency 2 7 2 4 3 2" xfId="14418"/>
    <cellStyle name="Currency 2 7 2 4 4" xfId="12649"/>
    <cellStyle name="Currency 2 7 2 5" xfId="9876"/>
    <cellStyle name="Currency 2 7 2 5 2" xfId="16357"/>
    <cellStyle name="Currency 2 7 2 6" xfId="8255"/>
    <cellStyle name="Currency 2 7 2 6 2" xfId="14812"/>
    <cellStyle name="Currency 2 7 2 7" xfId="6536"/>
    <cellStyle name="Currency 2 7 2 7 2" xfId="13226"/>
    <cellStyle name="Currency 2 7 2 8" xfId="11436"/>
    <cellStyle name="Currency 2 7 3" xfId="4822"/>
    <cellStyle name="Currency 2 7 3 2" xfId="8565"/>
    <cellStyle name="Currency 2 7 3 2 2" xfId="15113"/>
    <cellStyle name="Currency 2 7 3 3" xfId="6846"/>
    <cellStyle name="Currency 2 7 3 3 2" xfId="13532"/>
    <cellStyle name="Currency 2 7 3 4" xfId="11747"/>
    <cellStyle name="Currency 2 7 4" xfId="5121"/>
    <cellStyle name="Currency 2 7 4 2" xfId="8864"/>
    <cellStyle name="Currency 2 7 4 2 2" xfId="15408"/>
    <cellStyle name="Currency 2 7 4 3" xfId="7145"/>
    <cellStyle name="Currency 2 7 4 3 2" xfId="13827"/>
    <cellStyle name="Currency 2 7 4 4" xfId="12042"/>
    <cellStyle name="Currency 2 7 5" xfId="5554"/>
    <cellStyle name="Currency 2 7 5 2" xfId="9295"/>
    <cellStyle name="Currency 2 7 5 2 2" xfId="15802"/>
    <cellStyle name="Currency 2 7 5 3" xfId="7576"/>
    <cellStyle name="Currency 2 7 5 3 2" xfId="14221"/>
    <cellStyle name="Currency 2 7 5 4" xfId="12447"/>
    <cellStyle name="Currency 2 7 6" xfId="9813"/>
    <cellStyle name="Currency 2 7 6 2" xfId="16299"/>
    <cellStyle name="Currency 2 7 7" xfId="8012"/>
    <cellStyle name="Currency 2 7 7 2" xfId="14615"/>
    <cellStyle name="Currency 2 7 8" xfId="6275"/>
    <cellStyle name="Currency 2 7 8 2" xfId="13000"/>
    <cellStyle name="Currency 2 7 9" xfId="11228"/>
    <cellStyle name="Currency 2 8" xfId="4408"/>
    <cellStyle name="Currency 2 8 2" xfId="4622"/>
    <cellStyle name="Currency 2 8 2 2" xfId="4882"/>
    <cellStyle name="Currency 2 8 2 2 2" xfId="8625"/>
    <cellStyle name="Currency 2 8 2 2 2 2" xfId="15173"/>
    <cellStyle name="Currency 2 8 2 2 3" xfId="6906"/>
    <cellStyle name="Currency 2 8 2 2 3 2" xfId="13592"/>
    <cellStyle name="Currency 2 8 2 2 4" xfId="11807"/>
    <cellStyle name="Currency 2 8 2 3" xfId="5449"/>
    <cellStyle name="Currency 2 8 2 3 2" xfId="9192"/>
    <cellStyle name="Currency 2 8 2 3 2 2" xfId="15736"/>
    <cellStyle name="Currency 2 8 2 3 3" xfId="7473"/>
    <cellStyle name="Currency 2 8 2 3 3 2" xfId="14155"/>
    <cellStyle name="Currency 2 8 2 3 4" xfId="12370"/>
    <cellStyle name="Currency 2 8 2 4" xfId="5887"/>
    <cellStyle name="Currency 2 8 2 4 2" xfId="9628"/>
    <cellStyle name="Currency 2 8 2 4 2 2" xfId="16130"/>
    <cellStyle name="Currency 2 8 2 4 3" xfId="7909"/>
    <cellStyle name="Currency 2 8 2 4 3 2" xfId="14549"/>
    <cellStyle name="Currency 2 8 2 4 4" xfId="12780"/>
    <cellStyle name="Currency 2 8 2 5" xfId="9878"/>
    <cellStyle name="Currency 2 8 2 5 2" xfId="16359"/>
    <cellStyle name="Currency 2 8 2 6" xfId="8386"/>
    <cellStyle name="Currency 2 8 2 6 2" xfId="14943"/>
    <cellStyle name="Currency 2 8 2 7" xfId="6667"/>
    <cellStyle name="Currency 2 8 2 7 2" xfId="13357"/>
    <cellStyle name="Currency 2 8 2 8" xfId="11567"/>
    <cellStyle name="Currency 2 8 3" xfId="4881"/>
    <cellStyle name="Currency 2 8 3 2" xfId="8624"/>
    <cellStyle name="Currency 2 8 3 2 2" xfId="15172"/>
    <cellStyle name="Currency 2 8 3 3" xfId="6905"/>
    <cellStyle name="Currency 2 8 3 3 2" xfId="13591"/>
    <cellStyle name="Currency 2 8 3 4" xfId="11806"/>
    <cellStyle name="Currency 2 8 4" xfId="5252"/>
    <cellStyle name="Currency 2 8 4 2" xfId="8995"/>
    <cellStyle name="Currency 2 8 4 2 2" xfId="15539"/>
    <cellStyle name="Currency 2 8 4 3" xfId="7276"/>
    <cellStyle name="Currency 2 8 4 3 2" xfId="13958"/>
    <cellStyle name="Currency 2 8 4 4" xfId="12173"/>
    <cellStyle name="Currency 2 8 5" xfId="5690"/>
    <cellStyle name="Currency 2 8 5 2" xfId="9431"/>
    <cellStyle name="Currency 2 8 5 2 2" xfId="15933"/>
    <cellStyle name="Currency 2 8 5 3" xfId="7712"/>
    <cellStyle name="Currency 2 8 5 3 2" xfId="14352"/>
    <cellStyle name="Currency 2 8 5 4" xfId="12583"/>
    <cellStyle name="Currency 2 8 6" xfId="9877"/>
    <cellStyle name="Currency 2 8 6 2" xfId="16358"/>
    <cellStyle name="Currency 2 8 7" xfId="8189"/>
    <cellStyle name="Currency 2 8 7 2" xfId="14746"/>
    <cellStyle name="Currency 2 8 8" xfId="6470"/>
    <cellStyle name="Currency 2 8 8 2" xfId="13160"/>
    <cellStyle name="Currency 2 8 9" xfId="11366"/>
    <cellStyle name="Currency 2 9" xfId="4425"/>
    <cellStyle name="Currency 2 9 2" xfId="4634"/>
    <cellStyle name="Currency 2 9 2 2" xfId="4884"/>
    <cellStyle name="Currency 2 9 2 2 2" xfId="8627"/>
    <cellStyle name="Currency 2 9 2 2 2 2" xfId="15175"/>
    <cellStyle name="Currency 2 9 2 2 3" xfId="6908"/>
    <cellStyle name="Currency 2 9 2 2 3 2" xfId="13594"/>
    <cellStyle name="Currency 2 9 2 2 4" xfId="11809"/>
    <cellStyle name="Currency 2 9 2 3" xfId="5461"/>
    <cellStyle name="Currency 2 9 2 3 2" xfId="9204"/>
    <cellStyle name="Currency 2 9 2 3 2 2" xfId="15748"/>
    <cellStyle name="Currency 2 9 2 3 3" xfId="7485"/>
    <cellStyle name="Currency 2 9 2 3 3 2" xfId="14167"/>
    <cellStyle name="Currency 2 9 2 3 4" xfId="12382"/>
    <cellStyle name="Currency 2 9 2 4" xfId="5899"/>
    <cellStyle name="Currency 2 9 2 4 2" xfId="9640"/>
    <cellStyle name="Currency 2 9 2 4 2 2" xfId="16142"/>
    <cellStyle name="Currency 2 9 2 4 3" xfId="7921"/>
    <cellStyle name="Currency 2 9 2 4 3 2" xfId="14561"/>
    <cellStyle name="Currency 2 9 2 4 4" xfId="12792"/>
    <cellStyle name="Currency 2 9 2 5" xfId="9880"/>
    <cellStyle name="Currency 2 9 2 5 2" xfId="16361"/>
    <cellStyle name="Currency 2 9 2 6" xfId="8398"/>
    <cellStyle name="Currency 2 9 2 6 2" xfId="14955"/>
    <cellStyle name="Currency 2 9 2 7" xfId="6679"/>
    <cellStyle name="Currency 2 9 2 7 2" xfId="13369"/>
    <cellStyle name="Currency 2 9 2 8" xfId="11579"/>
    <cellStyle name="Currency 2 9 3" xfId="4883"/>
    <cellStyle name="Currency 2 9 3 2" xfId="8626"/>
    <cellStyle name="Currency 2 9 3 2 2" xfId="15174"/>
    <cellStyle name="Currency 2 9 3 3" xfId="6907"/>
    <cellStyle name="Currency 2 9 3 3 2" xfId="13593"/>
    <cellStyle name="Currency 2 9 3 4" xfId="11808"/>
    <cellStyle name="Currency 2 9 4" xfId="5264"/>
    <cellStyle name="Currency 2 9 4 2" xfId="9007"/>
    <cellStyle name="Currency 2 9 4 2 2" xfId="15551"/>
    <cellStyle name="Currency 2 9 4 3" xfId="7288"/>
    <cellStyle name="Currency 2 9 4 3 2" xfId="13970"/>
    <cellStyle name="Currency 2 9 4 4" xfId="12185"/>
    <cellStyle name="Currency 2 9 5" xfId="5702"/>
    <cellStyle name="Currency 2 9 5 2" xfId="9443"/>
    <cellStyle name="Currency 2 9 5 2 2" xfId="15945"/>
    <cellStyle name="Currency 2 9 5 3" xfId="7724"/>
    <cellStyle name="Currency 2 9 5 3 2" xfId="14364"/>
    <cellStyle name="Currency 2 9 5 4" xfId="12595"/>
    <cellStyle name="Currency 2 9 6" xfId="9879"/>
    <cellStyle name="Currency 2 9 6 2" xfId="16360"/>
    <cellStyle name="Currency 2 9 7" xfId="8201"/>
    <cellStyle name="Currency 2 9 7 2" xfId="14758"/>
    <cellStyle name="Currency 2 9 8" xfId="6482"/>
    <cellStyle name="Currency 2 9 8 2" xfId="13172"/>
    <cellStyle name="Currency 2 9 9" xfId="11380"/>
    <cellStyle name="Currency 2*" xfId="3917"/>
    <cellStyle name="Currency 2_Model_Sep_2_02" xfId="3918"/>
    <cellStyle name="Currency 3" xfId="3919"/>
    <cellStyle name="Currency 3 10" xfId="8013"/>
    <cellStyle name="Currency 3 10 2" xfId="14616"/>
    <cellStyle name="Currency 3 11" xfId="6276"/>
    <cellStyle name="Currency 3 11 2" xfId="13001"/>
    <cellStyle name="Currency 3 12" xfId="11229"/>
    <cellStyle name="Currency 3 2" xfId="3920"/>
    <cellStyle name="Currency 3 2 2" xfId="4493"/>
    <cellStyle name="Currency 3 2 2 2" xfId="4885"/>
    <cellStyle name="Currency 3 2 2 2 2" xfId="8628"/>
    <cellStyle name="Currency 3 2 2 2 2 2" xfId="15176"/>
    <cellStyle name="Currency 3 2 2 2 3" xfId="6909"/>
    <cellStyle name="Currency 3 2 2 2 3 2" xfId="13595"/>
    <cellStyle name="Currency 3 2 2 2 4" xfId="11810"/>
    <cellStyle name="Currency 3 2 2 3" xfId="5320"/>
    <cellStyle name="Currency 3 2 2 3 2" xfId="9063"/>
    <cellStyle name="Currency 3 2 2 3 2 2" xfId="15607"/>
    <cellStyle name="Currency 3 2 2 3 3" xfId="7344"/>
    <cellStyle name="Currency 3 2 2 3 3 2" xfId="14026"/>
    <cellStyle name="Currency 3 2 2 3 4" xfId="12241"/>
    <cellStyle name="Currency 3 2 2 4" xfId="5758"/>
    <cellStyle name="Currency 3 2 2 4 2" xfId="9499"/>
    <cellStyle name="Currency 3 2 2 4 2 2" xfId="16001"/>
    <cellStyle name="Currency 3 2 2 4 3" xfId="7780"/>
    <cellStyle name="Currency 3 2 2 4 3 2" xfId="14420"/>
    <cellStyle name="Currency 3 2 2 4 4" xfId="12651"/>
    <cellStyle name="Currency 3 2 2 5" xfId="9881"/>
    <cellStyle name="Currency 3 2 2 5 2" xfId="16362"/>
    <cellStyle name="Currency 3 2 2 6" xfId="8257"/>
    <cellStyle name="Currency 3 2 2 6 2" xfId="14814"/>
    <cellStyle name="Currency 3 2 2 7" xfId="6538"/>
    <cellStyle name="Currency 3 2 2 7 2" xfId="13228"/>
    <cellStyle name="Currency 3 2 2 8" xfId="11438"/>
    <cellStyle name="Currency 3 2 3" xfId="4758"/>
    <cellStyle name="Currency 3 2 3 2" xfId="8501"/>
    <cellStyle name="Currency 3 2 3 2 2" xfId="15053"/>
    <cellStyle name="Currency 3 2 3 3" xfId="6782"/>
    <cellStyle name="Currency 3 2 3 3 2" xfId="13472"/>
    <cellStyle name="Currency 3 2 3 4" xfId="11687"/>
    <cellStyle name="Currency 3 2 4" xfId="5123"/>
    <cellStyle name="Currency 3 2 4 2" xfId="8866"/>
    <cellStyle name="Currency 3 2 4 2 2" xfId="15410"/>
    <cellStyle name="Currency 3 2 4 3" xfId="7147"/>
    <cellStyle name="Currency 3 2 4 3 2" xfId="13829"/>
    <cellStyle name="Currency 3 2 4 4" xfId="12044"/>
    <cellStyle name="Currency 3 2 5" xfId="5556"/>
    <cellStyle name="Currency 3 2 5 2" xfId="9297"/>
    <cellStyle name="Currency 3 2 5 2 2" xfId="15804"/>
    <cellStyle name="Currency 3 2 5 3" xfId="7578"/>
    <cellStyle name="Currency 3 2 5 3 2" xfId="14223"/>
    <cellStyle name="Currency 3 2 5 4" xfId="12449"/>
    <cellStyle name="Currency 3 2 6" xfId="9748"/>
    <cellStyle name="Currency 3 2 6 2" xfId="16239"/>
    <cellStyle name="Currency 3 2 7" xfId="8014"/>
    <cellStyle name="Currency 3 2 7 2" xfId="14617"/>
    <cellStyle name="Currency 3 2 8" xfId="6277"/>
    <cellStyle name="Currency 3 2 8 2" xfId="13002"/>
    <cellStyle name="Currency 3 2 9" xfId="11230"/>
    <cellStyle name="Currency 3 3" xfId="4415"/>
    <cellStyle name="Currency 3 3 2" xfId="4625"/>
    <cellStyle name="Currency 3 3 2 2" xfId="4887"/>
    <cellStyle name="Currency 3 3 2 2 2" xfId="8630"/>
    <cellStyle name="Currency 3 3 2 2 2 2" xfId="15178"/>
    <cellStyle name="Currency 3 3 2 2 3" xfId="6911"/>
    <cellStyle name="Currency 3 3 2 2 3 2" xfId="13597"/>
    <cellStyle name="Currency 3 3 2 2 4" xfId="11812"/>
    <cellStyle name="Currency 3 3 2 3" xfId="5452"/>
    <cellStyle name="Currency 3 3 2 3 2" xfId="9195"/>
    <cellStyle name="Currency 3 3 2 3 2 2" xfId="15739"/>
    <cellStyle name="Currency 3 3 2 3 3" xfId="7476"/>
    <cellStyle name="Currency 3 3 2 3 3 2" xfId="14158"/>
    <cellStyle name="Currency 3 3 2 3 4" xfId="12373"/>
    <cellStyle name="Currency 3 3 2 4" xfId="5890"/>
    <cellStyle name="Currency 3 3 2 4 2" xfId="9631"/>
    <cellStyle name="Currency 3 3 2 4 2 2" xfId="16133"/>
    <cellStyle name="Currency 3 3 2 4 3" xfId="7912"/>
    <cellStyle name="Currency 3 3 2 4 3 2" xfId="14552"/>
    <cellStyle name="Currency 3 3 2 4 4" xfId="12783"/>
    <cellStyle name="Currency 3 3 2 5" xfId="9883"/>
    <cellStyle name="Currency 3 3 2 5 2" xfId="16364"/>
    <cellStyle name="Currency 3 3 2 6" xfId="8389"/>
    <cellStyle name="Currency 3 3 2 6 2" xfId="14946"/>
    <cellStyle name="Currency 3 3 2 7" xfId="6670"/>
    <cellStyle name="Currency 3 3 2 7 2" xfId="13360"/>
    <cellStyle name="Currency 3 3 2 8" xfId="11570"/>
    <cellStyle name="Currency 3 3 3" xfId="4886"/>
    <cellStyle name="Currency 3 3 3 2" xfId="8629"/>
    <cellStyle name="Currency 3 3 3 2 2" xfId="15177"/>
    <cellStyle name="Currency 3 3 3 3" xfId="6910"/>
    <cellStyle name="Currency 3 3 3 3 2" xfId="13596"/>
    <cellStyle name="Currency 3 3 3 4" xfId="11811"/>
    <cellStyle name="Currency 3 3 4" xfId="5255"/>
    <cellStyle name="Currency 3 3 4 2" xfId="8998"/>
    <cellStyle name="Currency 3 3 4 2 2" xfId="15542"/>
    <cellStyle name="Currency 3 3 4 3" xfId="7279"/>
    <cellStyle name="Currency 3 3 4 3 2" xfId="13961"/>
    <cellStyle name="Currency 3 3 4 4" xfId="12176"/>
    <cellStyle name="Currency 3 3 5" xfId="5693"/>
    <cellStyle name="Currency 3 3 5 2" xfId="9434"/>
    <cellStyle name="Currency 3 3 5 2 2" xfId="15936"/>
    <cellStyle name="Currency 3 3 5 3" xfId="7715"/>
    <cellStyle name="Currency 3 3 5 3 2" xfId="14355"/>
    <cellStyle name="Currency 3 3 5 4" xfId="12586"/>
    <cellStyle name="Currency 3 3 6" xfId="9882"/>
    <cellStyle name="Currency 3 3 6 2" xfId="16363"/>
    <cellStyle name="Currency 3 3 7" xfId="8192"/>
    <cellStyle name="Currency 3 3 7 2" xfId="14749"/>
    <cellStyle name="Currency 3 3 8" xfId="6473"/>
    <cellStyle name="Currency 3 3 8 2" xfId="13163"/>
    <cellStyle name="Currency 3 3 9" xfId="11371"/>
    <cellStyle name="Currency 3 4" xfId="4428"/>
    <cellStyle name="Currency 3 4 2" xfId="4637"/>
    <cellStyle name="Currency 3 4 2 2" xfId="4889"/>
    <cellStyle name="Currency 3 4 2 2 2" xfId="8632"/>
    <cellStyle name="Currency 3 4 2 2 2 2" xfId="15180"/>
    <cellStyle name="Currency 3 4 2 2 3" xfId="6913"/>
    <cellStyle name="Currency 3 4 2 2 3 2" xfId="13599"/>
    <cellStyle name="Currency 3 4 2 2 4" xfId="11814"/>
    <cellStyle name="Currency 3 4 2 3" xfId="5464"/>
    <cellStyle name="Currency 3 4 2 3 2" xfId="9207"/>
    <cellStyle name="Currency 3 4 2 3 2 2" xfId="15751"/>
    <cellStyle name="Currency 3 4 2 3 3" xfId="7488"/>
    <cellStyle name="Currency 3 4 2 3 3 2" xfId="14170"/>
    <cellStyle name="Currency 3 4 2 3 4" xfId="12385"/>
    <cellStyle name="Currency 3 4 2 4" xfId="5902"/>
    <cellStyle name="Currency 3 4 2 4 2" xfId="9643"/>
    <cellStyle name="Currency 3 4 2 4 2 2" xfId="16145"/>
    <cellStyle name="Currency 3 4 2 4 3" xfId="7924"/>
    <cellStyle name="Currency 3 4 2 4 3 2" xfId="14564"/>
    <cellStyle name="Currency 3 4 2 4 4" xfId="12795"/>
    <cellStyle name="Currency 3 4 2 5" xfId="9885"/>
    <cellStyle name="Currency 3 4 2 5 2" xfId="16366"/>
    <cellStyle name="Currency 3 4 2 6" xfId="8401"/>
    <cellStyle name="Currency 3 4 2 6 2" xfId="14958"/>
    <cellStyle name="Currency 3 4 2 7" xfId="6682"/>
    <cellStyle name="Currency 3 4 2 7 2" xfId="13372"/>
    <cellStyle name="Currency 3 4 2 8" xfId="11582"/>
    <cellStyle name="Currency 3 4 3" xfId="4888"/>
    <cellStyle name="Currency 3 4 3 2" xfId="8631"/>
    <cellStyle name="Currency 3 4 3 2 2" xfId="15179"/>
    <cellStyle name="Currency 3 4 3 3" xfId="6912"/>
    <cellStyle name="Currency 3 4 3 3 2" xfId="13598"/>
    <cellStyle name="Currency 3 4 3 4" xfId="11813"/>
    <cellStyle name="Currency 3 4 4" xfId="5267"/>
    <cellStyle name="Currency 3 4 4 2" xfId="9010"/>
    <cellStyle name="Currency 3 4 4 2 2" xfId="15554"/>
    <cellStyle name="Currency 3 4 4 3" xfId="7291"/>
    <cellStyle name="Currency 3 4 4 3 2" xfId="13973"/>
    <cellStyle name="Currency 3 4 4 4" xfId="12188"/>
    <cellStyle name="Currency 3 4 5" xfId="5705"/>
    <cellStyle name="Currency 3 4 5 2" xfId="9446"/>
    <cellStyle name="Currency 3 4 5 2 2" xfId="15948"/>
    <cellStyle name="Currency 3 4 5 3" xfId="7727"/>
    <cellStyle name="Currency 3 4 5 3 2" xfId="14367"/>
    <cellStyle name="Currency 3 4 5 4" xfId="12598"/>
    <cellStyle name="Currency 3 4 6" xfId="9884"/>
    <cellStyle name="Currency 3 4 6 2" xfId="16365"/>
    <cellStyle name="Currency 3 4 7" xfId="8204"/>
    <cellStyle name="Currency 3 4 7 2" xfId="14761"/>
    <cellStyle name="Currency 3 4 8" xfId="6485"/>
    <cellStyle name="Currency 3 4 8 2" xfId="13175"/>
    <cellStyle name="Currency 3 4 9" xfId="11383"/>
    <cellStyle name="Currency 3 5" xfId="4492"/>
    <cellStyle name="Currency 3 5 2" xfId="4890"/>
    <cellStyle name="Currency 3 5 2 2" xfId="8633"/>
    <cellStyle name="Currency 3 5 2 2 2" xfId="15181"/>
    <cellStyle name="Currency 3 5 2 3" xfId="6914"/>
    <cellStyle name="Currency 3 5 2 3 2" xfId="13600"/>
    <cellStyle name="Currency 3 5 2 4" xfId="11815"/>
    <cellStyle name="Currency 3 5 3" xfId="5319"/>
    <cellStyle name="Currency 3 5 3 2" xfId="9062"/>
    <cellStyle name="Currency 3 5 3 2 2" xfId="15606"/>
    <cellStyle name="Currency 3 5 3 3" xfId="7343"/>
    <cellStyle name="Currency 3 5 3 3 2" xfId="14025"/>
    <cellStyle name="Currency 3 5 3 4" xfId="12240"/>
    <cellStyle name="Currency 3 5 4" xfId="5757"/>
    <cellStyle name="Currency 3 5 4 2" xfId="9498"/>
    <cellStyle name="Currency 3 5 4 2 2" xfId="16000"/>
    <cellStyle name="Currency 3 5 4 3" xfId="7779"/>
    <cellStyle name="Currency 3 5 4 3 2" xfId="14419"/>
    <cellStyle name="Currency 3 5 4 4" xfId="12650"/>
    <cellStyle name="Currency 3 5 5" xfId="9886"/>
    <cellStyle name="Currency 3 5 5 2" xfId="16367"/>
    <cellStyle name="Currency 3 5 6" xfId="8256"/>
    <cellStyle name="Currency 3 5 6 2" xfId="14813"/>
    <cellStyle name="Currency 3 5 7" xfId="6537"/>
    <cellStyle name="Currency 3 5 7 2" xfId="13227"/>
    <cellStyle name="Currency 3 5 8" xfId="11437"/>
    <cellStyle name="Currency 3 6" xfId="4695"/>
    <cellStyle name="Currency 3 6 2" xfId="8440"/>
    <cellStyle name="Currency 3 6 2 2" xfId="14992"/>
    <cellStyle name="Currency 3 6 3" xfId="6721"/>
    <cellStyle name="Currency 3 6 3 2" xfId="13411"/>
    <cellStyle name="Currency 3 6 4" xfId="11625"/>
    <cellStyle name="Currency 3 7" xfId="5122"/>
    <cellStyle name="Currency 3 7 2" xfId="8865"/>
    <cellStyle name="Currency 3 7 2 2" xfId="15409"/>
    <cellStyle name="Currency 3 7 3" xfId="7146"/>
    <cellStyle name="Currency 3 7 3 2" xfId="13828"/>
    <cellStyle name="Currency 3 7 4" xfId="12043"/>
    <cellStyle name="Currency 3 8" xfId="5555"/>
    <cellStyle name="Currency 3 8 2" xfId="9296"/>
    <cellStyle name="Currency 3 8 2 2" xfId="15803"/>
    <cellStyle name="Currency 3 8 3" xfId="7577"/>
    <cellStyle name="Currency 3 8 3 2" xfId="14222"/>
    <cellStyle name="Currency 3 8 4" xfId="12448"/>
    <cellStyle name="Currency 3 9" xfId="9677"/>
    <cellStyle name="Currency 3 9 2" xfId="16177"/>
    <cellStyle name="Currency 3*" xfId="3921"/>
    <cellStyle name="Currency 4" xfId="3922"/>
    <cellStyle name="Currency 4 2" xfId="4416"/>
    <cellStyle name="Currency 4 2 2" xfId="4626"/>
    <cellStyle name="Currency 4 2 2 2" xfId="4892"/>
    <cellStyle name="Currency 4 2 2 2 2" xfId="8635"/>
    <cellStyle name="Currency 4 2 2 2 2 2" xfId="15183"/>
    <cellStyle name="Currency 4 2 2 2 3" xfId="6916"/>
    <cellStyle name="Currency 4 2 2 2 3 2" xfId="13602"/>
    <cellStyle name="Currency 4 2 2 2 4" xfId="11817"/>
    <cellStyle name="Currency 4 2 2 3" xfId="5453"/>
    <cellStyle name="Currency 4 2 2 3 2" xfId="9196"/>
    <cellStyle name="Currency 4 2 2 3 2 2" xfId="15740"/>
    <cellStyle name="Currency 4 2 2 3 3" xfId="7477"/>
    <cellStyle name="Currency 4 2 2 3 3 2" xfId="14159"/>
    <cellStyle name="Currency 4 2 2 3 4" xfId="12374"/>
    <cellStyle name="Currency 4 2 2 4" xfId="5891"/>
    <cellStyle name="Currency 4 2 2 4 2" xfId="9632"/>
    <cellStyle name="Currency 4 2 2 4 2 2" xfId="16134"/>
    <cellStyle name="Currency 4 2 2 4 3" xfId="7913"/>
    <cellStyle name="Currency 4 2 2 4 3 2" xfId="14553"/>
    <cellStyle name="Currency 4 2 2 4 4" xfId="12784"/>
    <cellStyle name="Currency 4 2 2 5" xfId="9888"/>
    <cellStyle name="Currency 4 2 2 5 2" xfId="16369"/>
    <cellStyle name="Currency 4 2 2 6" xfId="8390"/>
    <cellStyle name="Currency 4 2 2 6 2" xfId="14947"/>
    <cellStyle name="Currency 4 2 2 7" xfId="6671"/>
    <cellStyle name="Currency 4 2 2 7 2" xfId="13361"/>
    <cellStyle name="Currency 4 2 2 8" xfId="11571"/>
    <cellStyle name="Currency 4 2 3" xfId="4891"/>
    <cellStyle name="Currency 4 2 3 2" xfId="8634"/>
    <cellStyle name="Currency 4 2 3 2 2" xfId="15182"/>
    <cellStyle name="Currency 4 2 3 3" xfId="6915"/>
    <cellStyle name="Currency 4 2 3 3 2" xfId="13601"/>
    <cellStyle name="Currency 4 2 3 4" xfId="11816"/>
    <cellStyle name="Currency 4 2 4" xfId="5256"/>
    <cellStyle name="Currency 4 2 4 2" xfId="8999"/>
    <cellStyle name="Currency 4 2 4 2 2" xfId="15543"/>
    <cellStyle name="Currency 4 2 4 3" xfId="7280"/>
    <cellStyle name="Currency 4 2 4 3 2" xfId="13962"/>
    <cellStyle name="Currency 4 2 4 4" xfId="12177"/>
    <cellStyle name="Currency 4 2 5" xfId="5694"/>
    <cellStyle name="Currency 4 2 5 2" xfId="9435"/>
    <cellStyle name="Currency 4 2 5 2 2" xfId="15937"/>
    <cellStyle name="Currency 4 2 5 3" xfId="7716"/>
    <cellStyle name="Currency 4 2 5 3 2" xfId="14356"/>
    <cellStyle name="Currency 4 2 5 4" xfId="12587"/>
    <cellStyle name="Currency 4 2 6" xfId="9887"/>
    <cellStyle name="Currency 4 2 6 2" xfId="16368"/>
    <cellStyle name="Currency 4 2 7" xfId="8193"/>
    <cellStyle name="Currency 4 2 7 2" xfId="14750"/>
    <cellStyle name="Currency 4 2 8" xfId="6474"/>
    <cellStyle name="Currency 4 2 8 2" xfId="13164"/>
    <cellStyle name="Currency 4 2 9" xfId="11372"/>
    <cellStyle name="Currency 4 3" xfId="4429"/>
    <cellStyle name="Currency 4 3 2" xfId="4638"/>
    <cellStyle name="Currency 4 3 2 2" xfId="4894"/>
    <cellStyle name="Currency 4 3 2 2 2" xfId="8637"/>
    <cellStyle name="Currency 4 3 2 2 2 2" xfId="15185"/>
    <cellStyle name="Currency 4 3 2 2 3" xfId="6918"/>
    <cellStyle name="Currency 4 3 2 2 3 2" xfId="13604"/>
    <cellStyle name="Currency 4 3 2 2 4" xfId="11819"/>
    <cellStyle name="Currency 4 3 2 3" xfId="5465"/>
    <cellStyle name="Currency 4 3 2 3 2" xfId="9208"/>
    <cellStyle name="Currency 4 3 2 3 2 2" xfId="15752"/>
    <cellStyle name="Currency 4 3 2 3 3" xfId="7489"/>
    <cellStyle name="Currency 4 3 2 3 3 2" xfId="14171"/>
    <cellStyle name="Currency 4 3 2 3 4" xfId="12386"/>
    <cellStyle name="Currency 4 3 2 4" xfId="5903"/>
    <cellStyle name="Currency 4 3 2 4 2" xfId="9644"/>
    <cellStyle name="Currency 4 3 2 4 2 2" xfId="16146"/>
    <cellStyle name="Currency 4 3 2 4 3" xfId="7925"/>
    <cellStyle name="Currency 4 3 2 4 3 2" xfId="14565"/>
    <cellStyle name="Currency 4 3 2 4 4" xfId="12796"/>
    <cellStyle name="Currency 4 3 2 5" xfId="9890"/>
    <cellStyle name="Currency 4 3 2 5 2" xfId="16371"/>
    <cellStyle name="Currency 4 3 2 6" xfId="8402"/>
    <cellStyle name="Currency 4 3 2 6 2" xfId="14959"/>
    <cellStyle name="Currency 4 3 2 7" xfId="6683"/>
    <cellStyle name="Currency 4 3 2 7 2" xfId="13373"/>
    <cellStyle name="Currency 4 3 2 8" xfId="11583"/>
    <cellStyle name="Currency 4 3 3" xfId="4893"/>
    <cellStyle name="Currency 4 3 3 2" xfId="8636"/>
    <cellStyle name="Currency 4 3 3 2 2" xfId="15184"/>
    <cellStyle name="Currency 4 3 3 3" xfId="6917"/>
    <cellStyle name="Currency 4 3 3 3 2" xfId="13603"/>
    <cellStyle name="Currency 4 3 3 4" xfId="11818"/>
    <cellStyle name="Currency 4 3 4" xfId="5268"/>
    <cellStyle name="Currency 4 3 4 2" xfId="9011"/>
    <cellStyle name="Currency 4 3 4 2 2" xfId="15555"/>
    <cellStyle name="Currency 4 3 4 3" xfId="7292"/>
    <cellStyle name="Currency 4 3 4 3 2" xfId="13974"/>
    <cellStyle name="Currency 4 3 4 4" xfId="12189"/>
    <cellStyle name="Currency 4 3 5" xfId="5706"/>
    <cellStyle name="Currency 4 3 5 2" xfId="9447"/>
    <cellStyle name="Currency 4 3 5 2 2" xfId="15949"/>
    <cellStyle name="Currency 4 3 5 3" xfId="7728"/>
    <cellStyle name="Currency 4 3 5 3 2" xfId="14368"/>
    <cellStyle name="Currency 4 3 5 4" xfId="12599"/>
    <cellStyle name="Currency 4 3 6" xfId="9889"/>
    <cellStyle name="Currency 4 3 6 2" xfId="16370"/>
    <cellStyle name="Currency 4 3 7" xfId="8205"/>
    <cellStyle name="Currency 4 3 7 2" xfId="14762"/>
    <cellStyle name="Currency 4 3 8" xfId="6486"/>
    <cellStyle name="Currency 4 3 8 2" xfId="13176"/>
    <cellStyle name="Currency 4 3 9" xfId="11384"/>
    <cellStyle name="Currency 4 4" xfId="11231"/>
    <cellStyle name="Currency 5" xfId="3923"/>
    <cellStyle name="Currency 5 2" xfId="4445"/>
    <cellStyle name="Currency 5 2 2" xfId="11390"/>
    <cellStyle name="Currency 5 3" xfId="11232"/>
    <cellStyle name="Currency 8" xfId="3924"/>
    <cellStyle name="Currency 8 2" xfId="4494"/>
    <cellStyle name="Currency 8 2 2" xfId="4895"/>
    <cellStyle name="Currency 8 2 2 2" xfId="8638"/>
    <cellStyle name="Currency 8 2 2 2 2" xfId="15186"/>
    <cellStyle name="Currency 8 2 2 3" xfId="6919"/>
    <cellStyle name="Currency 8 2 2 3 2" xfId="13605"/>
    <cellStyle name="Currency 8 2 2 4" xfId="11820"/>
    <cellStyle name="Currency 8 2 3" xfId="5321"/>
    <cellStyle name="Currency 8 2 3 2" xfId="9064"/>
    <cellStyle name="Currency 8 2 3 2 2" xfId="15608"/>
    <cellStyle name="Currency 8 2 3 3" xfId="7345"/>
    <cellStyle name="Currency 8 2 3 3 2" xfId="14027"/>
    <cellStyle name="Currency 8 2 3 4" xfId="12242"/>
    <cellStyle name="Currency 8 2 4" xfId="5759"/>
    <cellStyle name="Currency 8 2 4 2" xfId="9500"/>
    <cellStyle name="Currency 8 2 4 2 2" xfId="16002"/>
    <cellStyle name="Currency 8 2 4 3" xfId="7781"/>
    <cellStyle name="Currency 8 2 4 3 2" xfId="14421"/>
    <cellStyle name="Currency 8 2 4 4" xfId="12652"/>
    <cellStyle name="Currency 8 2 5" xfId="9891"/>
    <cellStyle name="Currency 8 2 5 2" xfId="16372"/>
    <cellStyle name="Currency 8 2 6" xfId="8258"/>
    <cellStyle name="Currency 8 2 6 2" xfId="14815"/>
    <cellStyle name="Currency 8 2 7" xfId="6539"/>
    <cellStyle name="Currency 8 2 7 2" xfId="13229"/>
    <cellStyle name="Currency 8 2 8" xfId="11439"/>
    <cellStyle name="Currency 8 3" xfId="4843"/>
    <cellStyle name="Currency 8 3 2" xfId="8586"/>
    <cellStyle name="Currency 8 3 2 2" xfId="15134"/>
    <cellStyle name="Currency 8 3 3" xfId="6867"/>
    <cellStyle name="Currency 8 3 3 2" xfId="13553"/>
    <cellStyle name="Currency 8 3 4" xfId="11768"/>
    <cellStyle name="Currency 8 4" xfId="5124"/>
    <cellStyle name="Currency 8 4 2" xfId="8867"/>
    <cellStyle name="Currency 8 4 2 2" xfId="15411"/>
    <cellStyle name="Currency 8 4 3" xfId="7148"/>
    <cellStyle name="Currency 8 4 3 2" xfId="13830"/>
    <cellStyle name="Currency 8 4 4" xfId="12045"/>
    <cellStyle name="Currency 8 5" xfId="5557"/>
    <cellStyle name="Currency 8 5 2" xfId="9298"/>
    <cellStyle name="Currency 8 5 2 2" xfId="15805"/>
    <cellStyle name="Currency 8 5 3" xfId="7579"/>
    <cellStyle name="Currency 8 5 3 2" xfId="14224"/>
    <cellStyle name="Currency 8 5 4" xfId="12450"/>
    <cellStyle name="Currency 8 6" xfId="9834"/>
    <cellStyle name="Currency 8 6 2" xfId="16320"/>
    <cellStyle name="Currency 8 7" xfId="8015"/>
    <cellStyle name="Currency 8 7 2" xfId="14618"/>
    <cellStyle name="Currency 8 8" xfId="6278"/>
    <cellStyle name="Currency 8 8 2" xfId="13003"/>
    <cellStyle name="Currency 8 9" xfId="11233"/>
    <cellStyle name="Currency Dashed" xfId="3925"/>
    <cellStyle name="Currency Nil" xfId="3926"/>
    <cellStyle name="Currency*" xfId="3927"/>
    <cellStyle name="Currency0" xfId="3928"/>
    <cellStyle name="d_yield" xfId="3929"/>
    <cellStyle name="Dash" xfId="3930"/>
    <cellStyle name="DATA Amount" xfId="3931"/>
    <cellStyle name="DATA Amount [1]" xfId="3932"/>
    <cellStyle name="DATA Amount [2]" xfId="3933"/>
    <cellStyle name="DATA Currency" xfId="3934"/>
    <cellStyle name="DATA Currency [1]" xfId="3935"/>
    <cellStyle name="DATA Currency [2]" xfId="3936"/>
    <cellStyle name="DATA Date Long" xfId="3937"/>
    <cellStyle name="DATA Date Short" xfId="3938"/>
    <cellStyle name="Data Input" xfId="3939"/>
    <cellStyle name="DATA List" xfId="3940"/>
    <cellStyle name="DATA Memo" xfId="3941"/>
    <cellStyle name="DATA Percent" xfId="3942"/>
    <cellStyle name="DATA Percent [1]" xfId="3943"/>
    <cellStyle name="DATA Percent [2]" xfId="3944"/>
    <cellStyle name="Data Section Heading" xfId="3945"/>
    <cellStyle name="DATA Text" xfId="3946"/>
    <cellStyle name="DATA Version" xfId="3947"/>
    <cellStyle name="DATA_Amount" xfId="3948"/>
    <cellStyle name="Date" xfId="3949"/>
    <cellStyle name="Date 2" xfId="3950"/>
    <cellStyle name="Date Aligned" xfId="3951"/>
    <cellStyle name="Date Aligned*" xfId="3952"/>
    <cellStyle name="Date Aligned_Model_Sep_2_02" xfId="3953"/>
    <cellStyle name="Date input" xfId="3954"/>
    <cellStyle name="date title" xfId="3955"/>
    <cellStyle name="Date U" xfId="3956"/>
    <cellStyle name="Date_0910 GSO Capex RRP - Final (Detail) v2 220710" xfId="3957"/>
    <cellStyle name="dateformat" xfId="3958"/>
    <cellStyle name="Dateline" xfId="3959"/>
    <cellStyle name="DateLong" xfId="3960"/>
    <cellStyle name="DateShort" xfId="3961"/>
    <cellStyle name="Dec places 0" xfId="3962"/>
    <cellStyle name="Dec places 1, millions" xfId="3963"/>
    <cellStyle name="Dec places 2" xfId="3964"/>
    <cellStyle name="Dec places 2, millions" xfId="3965"/>
    <cellStyle name="Dec places 2_Draft RIIO plan presentation template - Customer Opsx Centre V7" xfId="3966"/>
    <cellStyle name="Decimal [0]" xfId="3967"/>
    <cellStyle name="Decimal [2]" xfId="3968"/>
    <cellStyle name="Decimal [2] U" xfId="3969"/>
    <cellStyle name="Decimal [4]" xfId="3970"/>
    <cellStyle name="Decimal [4] U" xfId="3971"/>
    <cellStyle name="Dezimal [0]_Anschreiben" xfId="3972"/>
    <cellStyle name="Dezimal_Anschreiben" xfId="3973"/>
    <cellStyle name="Directors" xfId="3974"/>
    <cellStyle name="dollar" xfId="3975"/>
    <cellStyle name="dollar[0]" xfId="3976"/>
    <cellStyle name="dollar_Draft RIIO plan presentation template - Customer Opsx Centre V7" xfId="3977"/>
    <cellStyle name="done" xfId="3978"/>
    <cellStyle name="Dotted Line" xfId="3979"/>
    <cellStyle name="DOWNFOOT" xfId="3980"/>
    <cellStyle name="DP 0, no commas" xfId="3981"/>
    <cellStyle name="DWF1.5-3.0split" xfId="3982"/>
    <cellStyle name="DWFsplit0-1.5" xfId="3983"/>
    <cellStyle name="DWFsplit0-1.5 2" xfId="3984"/>
    <cellStyle name="DWFsplit0-1.5 2 2" xfId="5105"/>
    <cellStyle name="DWFsplit0-1.5 2 2 2" xfId="8848"/>
    <cellStyle name="DWFsplit0-1.5 2 2 2 2" xfId="6223"/>
    <cellStyle name="DWFsplit0-1.5 2 2 2 2 2" xfId="12948"/>
    <cellStyle name="DWFsplit0-1.5 2 2 3" xfId="7129"/>
    <cellStyle name="DWFsplit0-1.5 2 3" xfId="8018"/>
    <cellStyle name="DWFsplit0-1.5 2 3 2" xfId="6164"/>
    <cellStyle name="DWFsplit0-1.5 2 3 2 2" xfId="12889"/>
    <cellStyle name="DWFsplit0-1.5 2 4" xfId="6280"/>
    <cellStyle name="DWFsplit0-1.5 3" xfId="5106"/>
    <cellStyle name="DWFsplit0-1.5 3 2" xfId="8849"/>
    <cellStyle name="DWFsplit0-1.5 3 2 2" xfId="6224"/>
    <cellStyle name="DWFsplit0-1.5 3 2 2 2" xfId="12949"/>
    <cellStyle name="DWFsplit0-1.5 3 3" xfId="7130"/>
    <cellStyle name="DWFsplit0-1.5 4" xfId="8017"/>
    <cellStyle name="DWFsplit0-1.5 4 2" xfId="6163"/>
    <cellStyle name="DWFsplit0-1.5 4 2 2" xfId="12888"/>
    <cellStyle name="DWFsplit0-1.5 5" xfId="6279"/>
    <cellStyle name="Dziesiêtny [0]_1" xfId="3985"/>
    <cellStyle name="Dziesiêtny_1" xfId="3986"/>
    <cellStyle name="Emphasis 1" xfId="3987"/>
    <cellStyle name="Emphasis 2" xfId="3988"/>
    <cellStyle name="Emphasis 3" xfId="3989"/>
    <cellStyle name="Entered" xfId="3990"/>
    <cellStyle name="eps" xfId="3991"/>
    <cellStyle name="eps$" xfId="3992"/>
    <cellStyle name="eps$A" xfId="3993"/>
    <cellStyle name="eps$E" xfId="3994"/>
    <cellStyle name="epsA" xfId="3995"/>
    <cellStyle name="epsE" xfId="3996"/>
    <cellStyle name="Euro" xfId="14"/>
    <cellStyle name="Euro 2" xfId="3997"/>
    <cellStyle name="Euro 3" xfId="3998"/>
    <cellStyle name="Euro billion" xfId="3999"/>
    <cellStyle name="Euro million" xfId="4000"/>
    <cellStyle name="Euro thousand" xfId="4001"/>
    <cellStyle name="Euro_Allocated Opex " xfId="4002"/>
    <cellStyle name="Explanatory Text 2" xfId="4003"/>
    <cellStyle name="Explanatory Text 3" xfId="4004"/>
    <cellStyle name="EY House" xfId="4005"/>
    <cellStyle name="EYBlocked" xfId="4006"/>
    <cellStyle name="EYCallUp" xfId="4007"/>
    <cellStyle name="EYCheck" xfId="4008"/>
    <cellStyle name="EYDate" xfId="4009"/>
    <cellStyle name="EYDeviant" xfId="4010"/>
    <cellStyle name="Factor" xfId="4011"/>
    <cellStyle name="Flag" xfId="4012"/>
    <cellStyle name="From" xfId="4013"/>
    <cellStyle name="FromDate" xfId="4014"/>
    <cellStyle name="FromDate 2" xfId="5944"/>
    <cellStyle name="General" xfId="4015"/>
    <cellStyle name="H_Major" xfId="4016"/>
    <cellStyle name="Header bar" xfId="4017"/>
    <cellStyle name="Heading" xfId="4018"/>
    <cellStyle name="Heading (12pt)" xfId="4019"/>
    <cellStyle name="Heading (14pt)" xfId="4020"/>
    <cellStyle name="HeadingMain" xfId="4021"/>
    <cellStyle name="HeadingMinor" xfId="4022"/>
    <cellStyle name="HeadingSection" xfId="4023"/>
    <cellStyle name="HeadingSub" xfId="4024"/>
    <cellStyle name="Hidden" xfId="4025"/>
    <cellStyle name="HideZeros" xfId="4026"/>
    <cellStyle name="hours" xfId="4027"/>
    <cellStyle name="HSBC Input Percent" xfId="4028"/>
    <cellStyle name="HSBC Percent" xfId="4029"/>
    <cellStyle name="HSBC Ratio" xfId="4030"/>
    <cellStyle name="HSBC Title Module" xfId="4031"/>
    <cellStyle name="HSBC WK Number 2" xfId="4032"/>
    <cellStyle name="HSBC WK Percent" xfId="4033"/>
    <cellStyle name="HSBC_Date" xfId="4034"/>
    <cellStyle name="IllustrativeTotal" xfId="4035"/>
    <cellStyle name="IllustrativeTotal 2" xfId="5943"/>
    <cellStyle name="ImportFromOtherWorkbook" xfId="4036"/>
    <cellStyle name="ImportFromOtherWorkbook 2" xfId="5942"/>
    <cellStyle name="Index" xfId="4037"/>
    <cellStyle name="InflationIndex" xfId="4038"/>
    <cellStyle name="InputNumber" xfId="4039"/>
    <cellStyle name="InputNumber 2" xfId="5941"/>
    <cellStyle name="InputPercent" xfId="4040"/>
    <cellStyle name="InputPermanent" xfId="4041"/>
    <cellStyle name="InputText" xfId="4042"/>
    <cellStyle name="InputText 2" xfId="5940"/>
    <cellStyle name="Integer" xfId="4043"/>
    <cellStyle name="Invisible" xfId="4044"/>
    <cellStyle name="K (0dp)" xfId="4045"/>
    <cellStyle name="K (2dp)" xfId="4046"/>
    <cellStyle name="KPMG Heading 1" xfId="4047"/>
    <cellStyle name="KPMG Heading 2" xfId="4048"/>
    <cellStyle name="KPMG Heading 3" xfId="4049"/>
    <cellStyle name="KPMG Heading 4" xfId="4050"/>
    <cellStyle name="KPMG Normal" xfId="4051"/>
    <cellStyle name="KPMG Normal Text" xfId="4052"/>
    <cellStyle name="Label" xfId="4053"/>
    <cellStyle name="LABEL Normal" xfId="4054"/>
    <cellStyle name="LABEL Note" xfId="4055"/>
    <cellStyle name="LABEL Units" xfId="4056"/>
    <cellStyle name="Label_8.0 SITA Suffolk BASE CASE FINAL All Scenarios" xfId="4057"/>
    <cellStyle name="lift" xfId="4058"/>
    <cellStyle name="Ligne" xfId="4059"/>
    <cellStyle name="Logical" xfId="4060"/>
    <cellStyle name="M (0dp)" xfId="4061"/>
    <cellStyle name="M (2dp)" xfId="4062"/>
    <cellStyle name="MacroPasted" xfId="4063"/>
    <cellStyle name="MainHeading" xfId="4064"/>
    <cellStyle name="max" xfId="4065"/>
    <cellStyle name="Milliers [0]_Feuil1" xfId="4066"/>
    <cellStyle name="Milliers_Feuil1" xfId="4067"/>
    <cellStyle name="Millions£" xfId="4068"/>
    <cellStyle name="Millions£ (2dp)" xfId="4069"/>
    <cellStyle name="min" xfId="4070"/>
    <cellStyle name="Monétaire [0]_Feuil1" xfId="4071"/>
    <cellStyle name="Monétaire_Feuil1" xfId="4072"/>
    <cellStyle name="Money" xfId="4073"/>
    <cellStyle name="month" xfId="4074"/>
    <cellStyle name="months" xfId="4075"/>
    <cellStyle name="MW" xfId="4076"/>
    <cellStyle name="MWth" xfId="4077"/>
    <cellStyle name="Normal" xfId="0" builtinId="0"/>
    <cellStyle name="Normal - Style1" xfId="4078"/>
    <cellStyle name="Normal - Style1 2" xfId="42"/>
    <cellStyle name="Normal (0dp)" xfId="4079"/>
    <cellStyle name="Normal (0dp+NZ)" xfId="4080"/>
    <cellStyle name="Normal (2dp)" xfId="4081"/>
    <cellStyle name="Normal (2dp+NZ)" xfId="4082"/>
    <cellStyle name="Normal 10" xfId="4083"/>
    <cellStyle name="Normal 10 10" xfId="11234"/>
    <cellStyle name="Normal 10 2" xfId="4084"/>
    <cellStyle name="Normal 10 2 2" xfId="4496"/>
    <cellStyle name="Normal 10 2 2 2" xfId="4896"/>
    <cellStyle name="Normal 10 2 2 2 2" xfId="8639"/>
    <cellStyle name="Normal 10 2 2 2 2 2" xfId="15187"/>
    <cellStyle name="Normal 10 2 2 2 3" xfId="6920"/>
    <cellStyle name="Normal 10 2 2 2 3 2" xfId="13606"/>
    <cellStyle name="Normal 10 2 2 2 4" xfId="11821"/>
    <cellStyle name="Normal 10 2 2 3" xfId="5323"/>
    <cellStyle name="Normal 10 2 2 3 2" xfId="9066"/>
    <cellStyle name="Normal 10 2 2 3 2 2" xfId="15610"/>
    <cellStyle name="Normal 10 2 2 3 3" xfId="7347"/>
    <cellStyle name="Normal 10 2 2 3 3 2" xfId="14029"/>
    <cellStyle name="Normal 10 2 2 3 4" xfId="12244"/>
    <cellStyle name="Normal 10 2 2 4" xfId="5761"/>
    <cellStyle name="Normal 10 2 2 4 2" xfId="9502"/>
    <cellStyle name="Normal 10 2 2 4 2 2" xfId="16004"/>
    <cellStyle name="Normal 10 2 2 4 3" xfId="7783"/>
    <cellStyle name="Normal 10 2 2 4 3 2" xfId="14423"/>
    <cellStyle name="Normal 10 2 2 4 4" xfId="12654"/>
    <cellStyle name="Normal 10 2 2 5" xfId="9892"/>
    <cellStyle name="Normal 10 2 2 5 2" xfId="16373"/>
    <cellStyle name="Normal 10 2 2 6" xfId="8260"/>
    <cellStyle name="Normal 10 2 2 6 2" xfId="14817"/>
    <cellStyle name="Normal 10 2 2 7" xfId="6541"/>
    <cellStyle name="Normal 10 2 2 7 2" xfId="13231"/>
    <cellStyle name="Normal 10 2 2 8" xfId="11441"/>
    <cellStyle name="Normal 10 2 3" xfId="4811"/>
    <cellStyle name="Normal 10 2 3 2" xfId="8554"/>
    <cellStyle name="Normal 10 2 3 2 2" xfId="15106"/>
    <cellStyle name="Normal 10 2 3 3" xfId="6835"/>
    <cellStyle name="Normal 10 2 3 3 2" xfId="13525"/>
    <cellStyle name="Normal 10 2 3 4" xfId="11740"/>
    <cellStyle name="Normal 10 2 4" xfId="5126"/>
    <cellStyle name="Normal 10 2 4 2" xfId="8869"/>
    <cellStyle name="Normal 10 2 4 2 2" xfId="15413"/>
    <cellStyle name="Normal 10 2 4 3" xfId="7150"/>
    <cellStyle name="Normal 10 2 4 3 2" xfId="13832"/>
    <cellStyle name="Normal 10 2 4 4" xfId="12047"/>
    <cellStyle name="Normal 10 2 5" xfId="5559"/>
    <cellStyle name="Normal 10 2 5 2" xfId="9300"/>
    <cellStyle name="Normal 10 2 5 2 2" xfId="15807"/>
    <cellStyle name="Normal 10 2 5 3" xfId="7581"/>
    <cellStyle name="Normal 10 2 5 3 2" xfId="14226"/>
    <cellStyle name="Normal 10 2 5 4" xfId="12452"/>
    <cellStyle name="Normal 10 2 6" xfId="9801"/>
    <cellStyle name="Normal 10 2 6 2" xfId="16292"/>
    <cellStyle name="Normal 10 2 7" xfId="8020"/>
    <cellStyle name="Normal 10 2 7 2" xfId="14620"/>
    <cellStyle name="Normal 10 2 8" xfId="6293"/>
    <cellStyle name="Normal 10 2 8 2" xfId="13016"/>
    <cellStyle name="Normal 10 2 9" xfId="11235"/>
    <cellStyle name="Normal 10 3" xfId="4495"/>
    <cellStyle name="Normal 10 3 2" xfId="4897"/>
    <cellStyle name="Normal 10 3 2 2" xfId="8640"/>
    <cellStyle name="Normal 10 3 2 2 2" xfId="15188"/>
    <cellStyle name="Normal 10 3 2 3" xfId="6921"/>
    <cellStyle name="Normal 10 3 2 3 2" xfId="13607"/>
    <cellStyle name="Normal 10 3 2 4" xfId="11822"/>
    <cellStyle name="Normal 10 3 3" xfId="5322"/>
    <cellStyle name="Normal 10 3 3 2" xfId="9065"/>
    <cellStyle name="Normal 10 3 3 2 2" xfId="15609"/>
    <cellStyle name="Normal 10 3 3 3" xfId="7346"/>
    <cellStyle name="Normal 10 3 3 3 2" xfId="14028"/>
    <cellStyle name="Normal 10 3 3 4" xfId="12243"/>
    <cellStyle name="Normal 10 3 4" xfId="5760"/>
    <cellStyle name="Normal 10 3 4 2" xfId="9501"/>
    <cellStyle name="Normal 10 3 4 2 2" xfId="16003"/>
    <cellStyle name="Normal 10 3 4 3" xfId="7782"/>
    <cellStyle name="Normal 10 3 4 3 2" xfId="14422"/>
    <cellStyle name="Normal 10 3 4 4" xfId="12653"/>
    <cellStyle name="Normal 10 3 5" xfId="9893"/>
    <cellStyle name="Normal 10 3 5 2" xfId="16374"/>
    <cellStyle name="Normal 10 3 6" xfId="8259"/>
    <cellStyle name="Normal 10 3 6 2" xfId="14816"/>
    <cellStyle name="Normal 10 3 7" xfId="6540"/>
    <cellStyle name="Normal 10 3 7 2" xfId="13230"/>
    <cellStyle name="Normal 10 3 8" xfId="11440"/>
    <cellStyle name="Normal 10 4" xfId="4729"/>
    <cellStyle name="Normal 10 4 2" xfId="8473"/>
    <cellStyle name="Normal 10 4 2 2" xfId="15025"/>
    <cellStyle name="Normal 10 4 3" xfId="6754"/>
    <cellStyle name="Normal 10 4 3 2" xfId="13444"/>
    <cellStyle name="Normal 10 4 4" xfId="11658"/>
    <cellStyle name="Normal 10 5" xfId="5125"/>
    <cellStyle name="Normal 10 5 2" xfId="8868"/>
    <cellStyle name="Normal 10 5 2 2" xfId="15412"/>
    <cellStyle name="Normal 10 5 3" xfId="7149"/>
    <cellStyle name="Normal 10 5 3 2" xfId="13831"/>
    <cellStyle name="Normal 10 5 4" xfId="12046"/>
    <cellStyle name="Normal 10 6" xfId="5558"/>
    <cellStyle name="Normal 10 6 2" xfId="9299"/>
    <cellStyle name="Normal 10 6 2 2" xfId="15806"/>
    <cellStyle name="Normal 10 6 3" xfId="7580"/>
    <cellStyle name="Normal 10 6 3 2" xfId="14225"/>
    <cellStyle name="Normal 10 6 4" xfId="12451"/>
    <cellStyle name="Normal 10 7" xfId="9717"/>
    <cellStyle name="Normal 10 7 2" xfId="16210"/>
    <cellStyle name="Normal 10 8" xfId="8019"/>
    <cellStyle name="Normal 10 8 2" xfId="14619"/>
    <cellStyle name="Normal 10 9" xfId="6292"/>
    <cellStyle name="Normal 10 9 2" xfId="13015"/>
    <cellStyle name="Normal 11" xfId="4085"/>
    <cellStyle name="Normal 11 10" xfId="11236"/>
    <cellStyle name="Normal 11 2" xfId="4086"/>
    <cellStyle name="Normal 11 2 2" xfId="4498"/>
    <cellStyle name="Normal 11 2 2 2" xfId="4898"/>
    <cellStyle name="Normal 11 2 2 2 2" xfId="8641"/>
    <cellStyle name="Normal 11 2 2 2 2 2" xfId="15189"/>
    <cellStyle name="Normal 11 2 2 2 3" xfId="6922"/>
    <cellStyle name="Normal 11 2 2 2 3 2" xfId="13608"/>
    <cellStyle name="Normal 11 2 2 2 4" xfId="11823"/>
    <cellStyle name="Normal 11 2 2 3" xfId="5325"/>
    <cellStyle name="Normal 11 2 2 3 2" xfId="9068"/>
    <cellStyle name="Normal 11 2 2 3 2 2" xfId="15612"/>
    <cellStyle name="Normal 11 2 2 3 3" xfId="7349"/>
    <cellStyle name="Normal 11 2 2 3 3 2" xfId="14031"/>
    <cellStyle name="Normal 11 2 2 3 4" xfId="12246"/>
    <cellStyle name="Normal 11 2 2 4" xfId="5763"/>
    <cellStyle name="Normal 11 2 2 4 2" xfId="9504"/>
    <cellStyle name="Normal 11 2 2 4 2 2" xfId="16006"/>
    <cellStyle name="Normal 11 2 2 4 3" xfId="7785"/>
    <cellStyle name="Normal 11 2 2 4 3 2" xfId="14425"/>
    <cellStyle name="Normal 11 2 2 4 4" xfId="12656"/>
    <cellStyle name="Normal 11 2 2 5" xfId="9894"/>
    <cellStyle name="Normal 11 2 2 5 2" xfId="16375"/>
    <cellStyle name="Normal 11 2 2 6" xfId="8262"/>
    <cellStyle name="Normal 11 2 2 6 2" xfId="14819"/>
    <cellStyle name="Normal 11 2 2 7" xfId="6543"/>
    <cellStyle name="Normal 11 2 2 7 2" xfId="13233"/>
    <cellStyle name="Normal 11 2 2 8" xfId="11443"/>
    <cellStyle name="Normal 11 2 3" xfId="4784"/>
    <cellStyle name="Normal 11 2 3 2" xfId="8527"/>
    <cellStyle name="Normal 11 2 3 2 2" xfId="15079"/>
    <cellStyle name="Normal 11 2 3 3" xfId="6808"/>
    <cellStyle name="Normal 11 2 3 3 2" xfId="13498"/>
    <cellStyle name="Normal 11 2 3 4" xfId="11713"/>
    <cellStyle name="Normal 11 2 4" xfId="5128"/>
    <cellStyle name="Normal 11 2 4 2" xfId="8871"/>
    <cellStyle name="Normal 11 2 4 2 2" xfId="15415"/>
    <cellStyle name="Normal 11 2 4 3" xfId="7152"/>
    <cellStyle name="Normal 11 2 4 3 2" xfId="13834"/>
    <cellStyle name="Normal 11 2 4 4" xfId="12049"/>
    <cellStyle name="Normal 11 2 5" xfId="5561"/>
    <cellStyle name="Normal 11 2 5 2" xfId="9302"/>
    <cellStyle name="Normal 11 2 5 2 2" xfId="15809"/>
    <cellStyle name="Normal 11 2 5 3" xfId="7583"/>
    <cellStyle name="Normal 11 2 5 3 2" xfId="14228"/>
    <cellStyle name="Normal 11 2 5 4" xfId="12454"/>
    <cellStyle name="Normal 11 2 6" xfId="9774"/>
    <cellStyle name="Normal 11 2 6 2" xfId="16265"/>
    <cellStyle name="Normal 11 2 7" xfId="8022"/>
    <cellStyle name="Normal 11 2 7 2" xfId="14622"/>
    <cellStyle name="Normal 11 2 8" xfId="6295"/>
    <cellStyle name="Normal 11 2 8 2" xfId="13018"/>
    <cellStyle name="Normal 11 2 9" xfId="11237"/>
    <cellStyle name="Normal 11 3" xfId="4497"/>
    <cellStyle name="Normal 11 3 2" xfId="4899"/>
    <cellStyle name="Normal 11 3 2 2" xfId="8642"/>
    <cellStyle name="Normal 11 3 2 2 2" xfId="15190"/>
    <cellStyle name="Normal 11 3 2 3" xfId="6923"/>
    <cellStyle name="Normal 11 3 2 3 2" xfId="13609"/>
    <cellStyle name="Normal 11 3 2 4" xfId="11824"/>
    <cellStyle name="Normal 11 3 3" xfId="5324"/>
    <cellStyle name="Normal 11 3 3 2" xfId="9067"/>
    <cellStyle name="Normal 11 3 3 2 2" xfId="15611"/>
    <cellStyle name="Normal 11 3 3 3" xfId="7348"/>
    <cellStyle name="Normal 11 3 3 3 2" xfId="14030"/>
    <cellStyle name="Normal 11 3 3 4" xfId="12245"/>
    <cellStyle name="Normal 11 3 4" xfId="5762"/>
    <cellStyle name="Normal 11 3 4 2" xfId="9503"/>
    <cellStyle name="Normal 11 3 4 2 2" xfId="16005"/>
    <cellStyle name="Normal 11 3 4 3" xfId="7784"/>
    <cellStyle name="Normal 11 3 4 3 2" xfId="14424"/>
    <cellStyle name="Normal 11 3 4 4" xfId="12655"/>
    <cellStyle name="Normal 11 3 5" xfId="9895"/>
    <cellStyle name="Normal 11 3 5 2" xfId="16376"/>
    <cellStyle name="Normal 11 3 6" xfId="8261"/>
    <cellStyle name="Normal 11 3 6 2" xfId="14818"/>
    <cellStyle name="Normal 11 3 7" xfId="6542"/>
    <cellStyle name="Normal 11 3 7 2" xfId="13232"/>
    <cellStyle name="Normal 11 3 8" xfId="11442"/>
    <cellStyle name="Normal 11 4" xfId="4702"/>
    <cellStyle name="Normal 11 4 2" xfId="8446"/>
    <cellStyle name="Normal 11 4 2 2" xfId="14998"/>
    <cellStyle name="Normal 11 4 3" xfId="6727"/>
    <cellStyle name="Normal 11 4 3 2" xfId="13417"/>
    <cellStyle name="Normal 11 4 4" xfId="11631"/>
    <cellStyle name="Normal 11 5" xfId="5127"/>
    <cellStyle name="Normal 11 5 2" xfId="8870"/>
    <cellStyle name="Normal 11 5 2 2" xfId="15414"/>
    <cellStyle name="Normal 11 5 3" xfId="7151"/>
    <cellStyle name="Normal 11 5 3 2" xfId="13833"/>
    <cellStyle name="Normal 11 5 4" xfId="12048"/>
    <cellStyle name="Normal 11 6" xfId="5560"/>
    <cellStyle name="Normal 11 6 2" xfId="9301"/>
    <cellStyle name="Normal 11 6 2 2" xfId="15808"/>
    <cellStyle name="Normal 11 6 3" xfId="7582"/>
    <cellStyle name="Normal 11 6 3 2" xfId="14227"/>
    <cellStyle name="Normal 11 6 4" xfId="12453"/>
    <cellStyle name="Normal 11 7" xfId="9690"/>
    <cellStyle name="Normal 11 7 2" xfId="16183"/>
    <cellStyle name="Normal 11 8" xfId="8021"/>
    <cellStyle name="Normal 11 8 2" xfId="14621"/>
    <cellStyle name="Normal 11 9" xfId="6294"/>
    <cellStyle name="Normal 11 9 2" xfId="13017"/>
    <cellStyle name="Normal 12" xfId="4087"/>
    <cellStyle name="Normal 12 10" xfId="11238"/>
    <cellStyle name="Normal 12 2" xfId="4088"/>
    <cellStyle name="Normal 12 2 2" xfId="4500"/>
    <cellStyle name="Normal 12 2 2 2" xfId="4900"/>
    <cellStyle name="Normal 12 2 2 2 2" xfId="8643"/>
    <cellStyle name="Normal 12 2 2 2 2 2" xfId="15191"/>
    <cellStyle name="Normal 12 2 2 2 3" xfId="6924"/>
    <cellStyle name="Normal 12 2 2 2 3 2" xfId="13610"/>
    <cellStyle name="Normal 12 2 2 2 4" xfId="11825"/>
    <cellStyle name="Normal 12 2 2 3" xfId="5327"/>
    <cellStyle name="Normal 12 2 2 3 2" xfId="9070"/>
    <cellStyle name="Normal 12 2 2 3 2 2" xfId="15614"/>
    <cellStyle name="Normal 12 2 2 3 3" xfId="7351"/>
    <cellStyle name="Normal 12 2 2 3 3 2" xfId="14033"/>
    <cellStyle name="Normal 12 2 2 3 4" xfId="12248"/>
    <cellStyle name="Normal 12 2 2 4" xfId="5765"/>
    <cellStyle name="Normal 12 2 2 4 2" xfId="9506"/>
    <cellStyle name="Normal 12 2 2 4 2 2" xfId="16008"/>
    <cellStyle name="Normal 12 2 2 4 3" xfId="7787"/>
    <cellStyle name="Normal 12 2 2 4 3 2" xfId="14427"/>
    <cellStyle name="Normal 12 2 2 4 4" xfId="12658"/>
    <cellStyle name="Normal 12 2 2 5" xfId="9896"/>
    <cellStyle name="Normal 12 2 2 5 2" xfId="16377"/>
    <cellStyle name="Normal 12 2 2 6" xfId="8264"/>
    <cellStyle name="Normal 12 2 2 6 2" xfId="14821"/>
    <cellStyle name="Normal 12 2 2 7" xfId="6545"/>
    <cellStyle name="Normal 12 2 2 7 2" xfId="13235"/>
    <cellStyle name="Normal 12 2 2 8" xfId="11445"/>
    <cellStyle name="Normal 12 2 3" xfId="4785"/>
    <cellStyle name="Normal 12 2 3 2" xfId="8528"/>
    <cellStyle name="Normal 12 2 3 2 2" xfId="15080"/>
    <cellStyle name="Normal 12 2 3 3" xfId="6809"/>
    <cellStyle name="Normal 12 2 3 3 2" xfId="13499"/>
    <cellStyle name="Normal 12 2 3 4" xfId="11714"/>
    <cellStyle name="Normal 12 2 4" xfId="5130"/>
    <cellStyle name="Normal 12 2 4 2" xfId="8873"/>
    <cellStyle name="Normal 12 2 4 2 2" xfId="15417"/>
    <cellStyle name="Normal 12 2 4 3" xfId="7154"/>
    <cellStyle name="Normal 12 2 4 3 2" xfId="13836"/>
    <cellStyle name="Normal 12 2 4 4" xfId="12051"/>
    <cellStyle name="Normal 12 2 5" xfId="5563"/>
    <cellStyle name="Normal 12 2 5 2" xfId="9304"/>
    <cellStyle name="Normal 12 2 5 2 2" xfId="15811"/>
    <cellStyle name="Normal 12 2 5 3" xfId="7585"/>
    <cellStyle name="Normal 12 2 5 3 2" xfId="14230"/>
    <cellStyle name="Normal 12 2 5 4" xfId="12456"/>
    <cellStyle name="Normal 12 2 6" xfId="9775"/>
    <cellStyle name="Normal 12 2 6 2" xfId="16266"/>
    <cellStyle name="Normal 12 2 7" xfId="8024"/>
    <cellStyle name="Normal 12 2 7 2" xfId="14624"/>
    <cellStyle name="Normal 12 2 8" xfId="6297"/>
    <cellStyle name="Normal 12 2 8 2" xfId="13020"/>
    <cellStyle name="Normal 12 2 9" xfId="11239"/>
    <cellStyle name="Normal 12 3" xfId="4499"/>
    <cellStyle name="Normal 12 3 2" xfId="4901"/>
    <cellStyle name="Normal 12 3 2 2" xfId="8644"/>
    <cellStyle name="Normal 12 3 2 2 2" xfId="15192"/>
    <cellStyle name="Normal 12 3 2 3" xfId="6925"/>
    <cellStyle name="Normal 12 3 2 3 2" xfId="13611"/>
    <cellStyle name="Normal 12 3 2 4" xfId="11826"/>
    <cellStyle name="Normal 12 3 3" xfId="5326"/>
    <cellStyle name="Normal 12 3 3 2" xfId="9069"/>
    <cellStyle name="Normal 12 3 3 2 2" xfId="15613"/>
    <cellStyle name="Normal 12 3 3 3" xfId="7350"/>
    <cellStyle name="Normal 12 3 3 3 2" xfId="14032"/>
    <cellStyle name="Normal 12 3 3 4" xfId="12247"/>
    <cellStyle name="Normal 12 3 4" xfId="5764"/>
    <cellStyle name="Normal 12 3 4 2" xfId="9505"/>
    <cellStyle name="Normal 12 3 4 2 2" xfId="16007"/>
    <cellStyle name="Normal 12 3 4 3" xfId="7786"/>
    <cellStyle name="Normal 12 3 4 3 2" xfId="14426"/>
    <cellStyle name="Normal 12 3 4 4" xfId="12657"/>
    <cellStyle name="Normal 12 3 5" xfId="9897"/>
    <cellStyle name="Normal 12 3 5 2" xfId="16378"/>
    <cellStyle name="Normal 12 3 6" xfId="8263"/>
    <cellStyle name="Normal 12 3 6 2" xfId="14820"/>
    <cellStyle name="Normal 12 3 7" xfId="6544"/>
    <cellStyle name="Normal 12 3 7 2" xfId="13234"/>
    <cellStyle name="Normal 12 3 8" xfId="11444"/>
    <cellStyle name="Normal 12 4" xfId="4703"/>
    <cellStyle name="Normal 12 4 2" xfId="8447"/>
    <cellStyle name="Normal 12 4 2 2" xfId="14999"/>
    <cellStyle name="Normal 12 4 3" xfId="6728"/>
    <cellStyle name="Normal 12 4 3 2" xfId="13418"/>
    <cellStyle name="Normal 12 4 4" xfId="11632"/>
    <cellStyle name="Normal 12 5" xfId="5129"/>
    <cellStyle name="Normal 12 5 2" xfId="8872"/>
    <cellStyle name="Normal 12 5 2 2" xfId="15416"/>
    <cellStyle name="Normal 12 5 3" xfId="7153"/>
    <cellStyle name="Normal 12 5 3 2" xfId="13835"/>
    <cellStyle name="Normal 12 5 4" xfId="12050"/>
    <cellStyle name="Normal 12 6" xfId="5562"/>
    <cellStyle name="Normal 12 6 2" xfId="9303"/>
    <cellStyle name="Normal 12 6 2 2" xfId="15810"/>
    <cellStyle name="Normal 12 6 3" xfId="7584"/>
    <cellStyle name="Normal 12 6 3 2" xfId="14229"/>
    <cellStyle name="Normal 12 6 4" xfId="12455"/>
    <cellStyle name="Normal 12 7" xfId="9691"/>
    <cellStyle name="Normal 12 7 2" xfId="16184"/>
    <cellStyle name="Normal 12 8" xfId="8023"/>
    <cellStyle name="Normal 12 8 2" xfId="14623"/>
    <cellStyle name="Normal 12 9" xfId="6296"/>
    <cellStyle name="Normal 12 9 2" xfId="13019"/>
    <cellStyle name="Normal 13" xfId="4089"/>
    <cellStyle name="Normal 13 10" xfId="11240"/>
    <cellStyle name="Normal 13 2" xfId="4090"/>
    <cellStyle name="Normal 13 2 2" xfId="4502"/>
    <cellStyle name="Normal 13 2 2 2" xfId="4902"/>
    <cellStyle name="Normal 13 2 2 2 2" xfId="8645"/>
    <cellStyle name="Normal 13 2 2 2 2 2" xfId="15193"/>
    <cellStyle name="Normal 13 2 2 2 3" xfId="6926"/>
    <cellStyle name="Normal 13 2 2 2 3 2" xfId="13612"/>
    <cellStyle name="Normal 13 2 2 2 4" xfId="11827"/>
    <cellStyle name="Normal 13 2 2 3" xfId="5329"/>
    <cellStyle name="Normal 13 2 2 3 2" xfId="9072"/>
    <cellStyle name="Normal 13 2 2 3 2 2" xfId="15616"/>
    <cellStyle name="Normal 13 2 2 3 3" xfId="7353"/>
    <cellStyle name="Normal 13 2 2 3 3 2" xfId="14035"/>
    <cellStyle name="Normal 13 2 2 3 4" xfId="12250"/>
    <cellStyle name="Normal 13 2 2 4" xfId="5767"/>
    <cellStyle name="Normal 13 2 2 4 2" xfId="9508"/>
    <cellStyle name="Normal 13 2 2 4 2 2" xfId="16010"/>
    <cellStyle name="Normal 13 2 2 4 3" xfId="7789"/>
    <cellStyle name="Normal 13 2 2 4 3 2" xfId="14429"/>
    <cellStyle name="Normal 13 2 2 4 4" xfId="12660"/>
    <cellStyle name="Normal 13 2 2 5" xfId="9898"/>
    <cellStyle name="Normal 13 2 2 5 2" xfId="16379"/>
    <cellStyle name="Normal 13 2 2 6" xfId="8266"/>
    <cellStyle name="Normal 13 2 2 6 2" xfId="14823"/>
    <cellStyle name="Normal 13 2 2 7" xfId="6547"/>
    <cellStyle name="Normal 13 2 2 7 2" xfId="13237"/>
    <cellStyle name="Normal 13 2 2 8" xfId="11447"/>
    <cellStyle name="Normal 13 2 3" xfId="4787"/>
    <cellStyle name="Normal 13 2 3 2" xfId="8530"/>
    <cellStyle name="Normal 13 2 3 2 2" xfId="15082"/>
    <cellStyle name="Normal 13 2 3 3" xfId="6811"/>
    <cellStyle name="Normal 13 2 3 3 2" xfId="13501"/>
    <cellStyle name="Normal 13 2 3 4" xfId="11716"/>
    <cellStyle name="Normal 13 2 4" xfId="5132"/>
    <cellStyle name="Normal 13 2 4 2" xfId="8875"/>
    <cellStyle name="Normal 13 2 4 2 2" xfId="15419"/>
    <cellStyle name="Normal 13 2 4 3" xfId="7156"/>
    <cellStyle name="Normal 13 2 4 3 2" xfId="13838"/>
    <cellStyle name="Normal 13 2 4 4" xfId="12053"/>
    <cellStyle name="Normal 13 2 5" xfId="5565"/>
    <cellStyle name="Normal 13 2 5 2" xfId="9306"/>
    <cellStyle name="Normal 13 2 5 2 2" xfId="15813"/>
    <cellStyle name="Normal 13 2 5 3" xfId="7587"/>
    <cellStyle name="Normal 13 2 5 3 2" xfId="14232"/>
    <cellStyle name="Normal 13 2 5 4" xfId="12458"/>
    <cellStyle name="Normal 13 2 6" xfId="9777"/>
    <cellStyle name="Normal 13 2 6 2" xfId="16268"/>
    <cellStyle name="Normal 13 2 7" xfId="8026"/>
    <cellStyle name="Normal 13 2 7 2" xfId="14626"/>
    <cellStyle name="Normal 13 2 8" xfId="6299"/>
    <cellStyle name="Normal 13 2 8 2" xfId="13022"/>
    <cellStyle name="Normal 13 2 9" xfId="11241"/>
    <cellStyle name="Normal 13 3" xfId="4501"/>
    <cellStyle name="Normal 13 3 2" xfId="4903"/>
    <cellStyle name="Normal 13 3 2 2" xfId="8646"/>
    <cellStyle name="Normal 13 3 2 2 2" xfId="15194"/>
    <cellStyle name="Normal 13 3 2 3" xfId="6927"/>
    <cellStyle name="Normal 13 3 2 3 2" xfId="13613"/>
    <cellStyle name="Normal 13 3 2 4" xfId="11828"/>
    <cellStyle name="Normal 13 3 3" xfId="5328"/>
    <cellStyle name="Normal 13 3 3 2" xfId="9071"/>
    <cellStyle name="Normal 13 3 3 2 2" xfId="15615"/>
    <cellStyle name="Normal 13 3 3 3" xfId="7352"/>
    <cellStyle name="Normal 13 3 3 3 2" xfId="14034"/>
    <cellStyle name="Normal 13 3 3 4" xfId="12249"/>
    <cellStyle name="Normal 13 3 4" xfId="5766"/>
    <cellStyle name="Normal 13 3 4 2" xfId="9507"/>
    <cellStyle name="Normal 13 3 4 2 2" xfId="16009"/>
    <cellStyle name="Normal 13 3 4 3" xfId="7788"/>
    <cellStyle name="Normal 13 3 4 3 2" xfId="14428"/>
    <cellStyle name="Normal 13 3 4 4" xfId="12659"/>
    <cellStyle name="Normal 13 3 5" xfId="9899"/>
    <cellStyle name="Normal 13 3 5 2" xfId="16380"/>
    <cellStyle name="Normal 13 3 6" xfId="8265"/>
    <cellStyle name="Normal 13 3 6 2" xfId="14822"/>
    <cellStyle name="Normal 13 3 7" xfId="6546"/>
    <cellStyle name="Normal 13 3 7 2" xfId="13236"/>
    <cellStyle name="Normal 13 3 8" xfId="11446"/>
    <cellStyle name="Normal 13 4" xfId="4705"/>
    <cellStyle name="Normal 13 4 2" xfId="8449"/>
    <cellStyle name="Normal 13 4 2 2" xfId="15001"/>
    <cellStyle name="Normal 13 4 3" xfId="6730"/>
    <cellStyle name="Normal 13 4 3 2" xfId="13420"/>
    <cellStyle name="Normal 13 4 4" xfId="11634"/>
    <cellStyle name="Normal 13 5" xfId="5131"/>
    <cellStyle name="Normal 13 5 2" xfId="8874"/>
    <cellStyle name="Normal 13 5 2 2" xfId="15418"/>
    <cellStyle name="Normal 13 5 3" xfId="7155"/>
    <cellStyle name="Normal 13 5 3 2" xfId="13837"/>
    <cellStyle name="Normal 13 5 4" xfId="12052"/>
    <cellStyle name="Normal 13 6" xfId="5564"/>
    <cellStyle name="Normal 13 6 2" xfId="9305"/>
    <cellStyle name="Normal 13 6 2 2" xfId="15812"/>
    <cellStyle name="Normal 13 6 3" xfId="7586"/>
    <cellStyle name="Normal 13 6 3 2" xfId="14231"/>
    <cellStyle name="Normal 13 6 4" xfId="12457"/>
    <cellStyle name="Normal 13 7" xfId="9693"/>
    <cellStyle name="Normal 13 7 2" xfId="16186"/>
    <cellStyle name="Normal 13 8" xfId="8025"/>
    <cellStyle name="Normal 13 8 2" xfId="14625"/>
    <cellStyle name="Normal 13 9" xfId="6298"/>
    <cellStyle name="Normal 13 9 2" xfId="13021"/>
    <cellStyle name="Normal 14" xfId="4091"/>
    <cellStyle name="Normal 14 10" xfId="11242"/>
    <cellStyle name="Normal 14 10 18" xfId="4092"/>
    <cellStyle name="Normal 14 10 18 10" xfId="11243"/>
    <cellStyle name="Normal 14 10 18 2" xfId="4093"/>
    <cellStyle name="Normal 14 10 18 2 2" xfId="4505"/>
    <cellStyle name="Normal 14 10 18 2 2 2" xfId="4904"/>
    <cellStyle name="Normal 14 10 18 2 2 2 2" xfId="8647"/>
    <cellStyle name="Normal 14 10 18 2 2 2 2 2" xfId="15195"/>
    <cellStyle name="Normal 14 10 18 2 2 2 3" xfId="6928"/>
    <cellStyle name="Normal 14 10 18 2 2 2 3 2" xfId="13614"/>
    <cellStyle name="Normal 14 10 18 2 2 2 4" xfId="11829"/>
    <cellStyle name="Normal 14 10 18 2 2 3" xfId="5332"/>
    <cellStyle name="Normal 14 10 18 2 2 3 2" xfId="9075"/>
    <cellStyle name="Normal 14 10 18 2 2 3 2 2" xfId="15619"/>
    <cellStyle name="Normal 14 10 18 2 2 3 3" xfId="7356"/>
    <cellStyle name="Normal 14 10 18 2 2 3 3 2" xfId="14038"/>
    <cellStyle name="Normal 14 10 18 2 2 3 4" xfId="12253"/>
    <cellStyle name="Normal 14 10 18 2 2 4" xfId="5770"/>
    <cellStyle name="Normal 14 10 18 2 2 4 2" xfId="9511"/>
    <cellStyle name="Normal 14 10 18 2 2 4 2 2" xfId="16013"/>
    <cellStyle name="Normal 14 10 18 2 2 4 3" xfId="7792"/>
    <cellStyle name="Normal 14 10 18 2 2 4 3 2" xfId="14432"/>
    <cellStyle name="Normal 14 10 18 2 2 4 4" xfId="12663"/>
    <cellStyle name="Normal 14 10 18 2 2 5" xfId="9900"/>
    <cellStyle name="Normal 14 10 18 2 2 5 2" xfId="16381"/>
    <cellStyle name="Normal 14 10 18 2 2 6" xfId="8269"/>
    <cellStyle name="Normal 14 10 18 2 2 6 2" xfId="14826"/>
    <cellStyle name="Normal 14 10 18 2 2 7" xfId="6550"/>
    <cellStyle name="Normal 14 10 18 2 2 7 2" xfId="13240"/>
    <cellStyle name="Normal 14 10 18 2 2 8" xfId="11450"/>
    <cellStyle name="Normal 14 10 18 2 3" xfId="4759"/>
    <cellStyle name="Normal 14 10 18 2 3 2" xfId="8502"/>
    <cellStyle name="Normal 14 10 18 2 3 2 2" xfId="15054"/>
    <cellStyle name="Normal 14 10 18 2 3 3" xfId="6783"/>
    <cellStyle name="Normal 14 10 18 2 3 3 2" xfId="13473"/>
    <cellStyle name="Normal 14 10 18 2 3 4" xfId="11688"/>
    <cellStyle name="Normal 14 10 18 2 4" xfId="5135"/>
    <cellStyle name="Normal 14 10 18 2 4 2" xfId="8878"/>
    <cellStyle name="Normal 14 10 18 2 4 2 2" xfId="15422"/>
    <cellStyle name="Normal 14 10 18 2 4 3" xfId="7159"/>
    <cellStyle name="Normal 14 10 18 2 4 3 2" xfId="13841"/>
    <cellStyle name="Normal 14 10 18 2 4 4" xfId="12056"/>
    <cellStyle name="Normal 14 10 18 2 5" xfId="5568"/>
    <cellStyle name="Normal 14 10 18 2 5 2" xfId="9309"/>
    <cellStyle name="Normal 14 10 18 2 5 2 2" xfId="15816"/>
    <cellStyle name="Normal 14 10 18 2 5 3" xfId="7590"/>
    <cellStyle name="Normal 14 10 18 2 5 3 2" xfId="14235"/>
    <cellStyle name="Normal 14 10 18 2 5 4" xfId="12461"/>
    <cellStyle name="Normal 14 10 18 2 6" xfId="9749"/>
    <cellStyle name="Normal 14 10 18 2 6 2" xfId="16240"/>
    <cellStyle name="Normal 14 10 18 2 7" xfId="8029"/>
    <cellStyle name="Normal 14 10 18 2 7 2" xfId="14629"/>
    <cellStyle name="Normal 14 10 18 2 8" xfId="6302"/>
    <cellStyle name="Normal 14 10 18 2 8 2" xfId="13025"/>
    <cellStyle name="Normal 14 10 18 2 9" xfId="11244"/>
    <cellStyle name="Normal 14 10 18 3" xfId="4504"/>
    <cellStyle name="Normal 14 10 18 3 2" xfId="4905"/>
    <cellStyle name="Normal 14 10 18 3 2 2" xfId="8648"/>
    <cellStyle name="Normal 14 10 18 3 2 2 2" xfId="15196"/>
    <cellStyle name="Normal 14 10 18 3 2 3" xfId="6929"/>
    <cellStyle name="Normal 14 10 18 3 2 3 2" xfId="13615"/>
    <cellStyle name="Normal 14 10 18 3 2 4" xfId="11830"/>
    <cellStyle name="Normal 14 10 18 3 3" xfId="5331"/>
    <cellStyle name="Normal 14 10 18 3 3 2" xfId="9074"/>
    <cellStyle name="Normal 14 10 18 3 3 2 2" xfId="15618"/>
    <cellStyle name="Normal 14 10 18 3 3 3" xfId="7355"/>
    <cellStyle name="Normal 14 10 18 3 3 3 2" xfId="14037"/>
    <cellStyle name="Normal 14 10 18 3 3 4" xfId="12252"/>
    <cellStyle name="Normal 14 10 18 3 4" xfId="5769"/>
    <cellStyle name="Normal 14 10 18 3 4 2" xfId="9510"/>
    <cellStyle name="Normal 14 10 18 3 4 2 2" xfId="16012"/>
    <cellStyle name="Normal 14 10 18 3 4 3" xfId="7791"/>
    <cellStyle name="Normal 14 10 18 3 4 3 2" xfId="14431"/>
    <cellStyle name="Normal 14 10 18 3 4 4" xfId="12662"/>
    <cellStyle name="Normal 14 10 18 3 5" xfId="9901"/>
    <cellStyle name="Normal 14 10 18 3 5 2" xfId="16382"/>
    <cellStyle name="Normal 14 10 18 3 6" xfId="8268"/>
    <cellStyle name="Normal 14 10 18 3 6 2" xfId="14825"/>
    <cellStyle name="Normal 14 10 18 3 7" xfId="6549"/>
    <cellStyle name="Normal 14 10 18 3 7 2" xfId="13239"/>
    <cellStyle name="Normal 14 10 18 3 8" xfId="11449"/>
    <cellStyle name="Normal 14 10 18 4" xfId="4696"/>
    <cellStyle name="Normal 14 10 18 4 2" xfId="8441"/>
    <cellStyle name="Normal 14 10 18 4 2 2" xfId="14993"/>
    <cellStyle name="Normal 14 10 18 4 3" xfId="6722"/>
    <cellStyle name="Normal 14 10 18 4 3 2" xfId="13412"/>
    <cellStyle name="Normal 14 10 18 4 4" xfId="11626"/>
    <cellStyle name="Normal 14 10 18 5" xfId="5134"/>
    <cellStyle name="Normal 14 10 18 5 2" xfId="8877"/>
    <cellStyle name="Normal 14 10 18 5 2 2" xfId="15421"/>
    <cellStyle name="Normal 14 10 18 5 3" xfId="7158"/>
    <cellStyle name="Normal 14 10 18 5 3 2" xfId="13840"/>
    <cellStyle name="Normal 14 10 18 5 4" xfId="12055"/>
    <cellStyle name="Normal 14 10 18 6" xfId="5567"/>
    <cellStyle name="Normal 14 10 18 6 2" xfId="9308"/>
    <cellStyle name="Normal 14 10 18 6 2 2" xfId="15815"/>
    <cellStyle name="Normal 14 10 18 6 3" xfId="7589"/>
    <cellStyle name="Normal 14 10 18 6 3 2" xfId="14234"/>
    <cellStyle name="Normal 14 10 18 6 4" xfId="12460"/>
    <cellStyle name="Normal 14 10 18 7" xfId="9678"/>
    <cellStyle name="Normal 14 10 18 7 2" xfId="16178"/>
    <cellStyle name="Normal 14 10 18 8" xfId="8028"/>
    <cellStyle name="Normal 14 10 18 8 2" xfId="14628"/>
    <cellStyle name="Normal 14 10 18 9" xfId="6301"/>
    <cellStyle name="Normal 14 10 18 9 2" xfId="13024"/>
    <cellStyle name="Normal 14 2" xfId="4094"/>
    <cellStyle name="Normal 14 2 2" xfId="4506"/>
    <cellStyle name="Normal 14 2 2 2" xfId="4906"/>
    <cellStyle name="Normal 14 2 2 2 2" xfId="8649"/>
    <cellStyle name="Normal 14 2 2 2 2 2" xfId="15197"/>
    <cellStyle name="Normal 14 2 2 2 3" xfId="6930"/>
    <cellStyle name="Normal 14 2 2 2 3 2" xfId="13616"/>
    <cellStyle name="Normal 14 2 2 2 4" xfId="11831"/>
    <cellStyle name="Normal 14 2 2 3" xfId="5333"/>
    <cellStyle name="Normal 14 2 2 3 2" xfId="9076"/>
    <cellStyle name="Normal 14 2 2 3 2 2" xfId="15620"/>
    <cellStyle name="Normal 14 2 2 3 3" xfId="7357"/>
    <cellStyle name="Normal 14 2 2 3 3 2" xfId="14039"/>
    <cellStyle name="Normal 14 2 2 3 4" xfId="12254"/>
    <cellStyle name="Normal 14 2 2 4" xfId="5771"/>
    <cellStyle name="Normal 14 2 2 4 2" xfId="9512"/>
    <cellStyle name="Normal 14 2 2 4 2 2" xfId="16014"/>
    <cellStyle name="Normal 14 2 2 4 3" xfId="7793"/>
    <cellStyle name="Normal 14 2 2 4 3 2" xfId="14433"/>
    <cellStyle name="Normal 14 2 2 4 4" xfId="12664"/>
    <cellStyle name="Normal 14 2 2 5" xfId="9902"/>
    <cellStyle name="Normal 14 2 2 5 2" xfId="16383"/>
    <cellStyle name="Normal 14 2 2 6" xfId="8270"/>
    <cellStyle name="Normal 14 2 2 6 2" xfId="14827"/>
    <cellStyle name="Normal 14 2 2 7" xfId="6551"/>
    <cellStyle name="Normal 14 2 2 7 2" xfId="13241"/>
    <cellStyle name="Normal 14 2 2 8" xfId="11451"/>
    <cellStyle name="Normal 14 2 3" xfId="4790"/>
    <cellStyle name="Normal 14 2 3 2" xfId="8533"/>
    <cellStyle name="Normal 14 2 3 2 2" xfId="15085"/>
    <cellStyle name="Normal 14 2 3 3" xfId="6814"/>
    <cellStyle name="Normal 14 2 3 3 2" xfId="13504"/>
    <cellStyle name="Normal 14 2 3 4" xfId="11719"/>
    <cellStyle name="Normal 14 2 4" xfId="5136"/>
    <cellStyle name="Normal 14 2 4 2" xfId="8879"/>
    <cellStyle name="Normal 14 2 4 2 2" xfId="15423"/>
    <cellStyle name="Normal 14 2 4 3" xfId="7160"/>
    <cellStyle name="Normal 14 2 4 3 2" xfId="13842"/>
    <cellStyle name="Normal 14 2 4 4" xfId="12057"/>
    <cellStyle name="Normal 14 2 5" xfId="5569"/>
    <cellStyle name="Normal 14 2 5 2" xfId="9310"/>
    <cellStyle name="Normal 14 2 5 2 2" xfId="15817"/>
    <cellStyle name="Normal 14 2 5 3" xfId="7591"/>
    <cellStyle name="Normal 14 2 5 3 2" xfId="14236"/>
    <cellStyle name="Normal 14 2 5 4" xfId="12462"/>
    <cellStyle name="Normal 14 2 6" xfId="9780"/>
    <cellStyle name="Normal 14 2 6 2" xfId="16271"/>
    <cellStyle name="Normal 14 2 7" xfId="8030"/>
    <cellStyle name="Normal 14 2 7 2" xfId="14630"/>
    <cellStyle name="Normal 14 2 8" xfId="6303"/>
    <cellStyle name="Normal 14 2 8 2" xfId="13026"/>
    <cellStyle name="Normal 14 2 9" xfId="11245"/>
    <cellStyle name="Normal 14 3" xfId="4503"/>
    <cellStyle name="Normal 14 3 2" xfId="4907"/>
    <cellStyle name="Normal 14 3 2 2" xfId="8650"/>
    <cellStyle name="Normal 14 3 2 2 2" xfId="15198"/>
    <cellStyle name="Normal 14 3 2 3" xfId="6931"/>
    <cellStyle name="Normal 14 3 2 3 2" xfId="13617"/>
    <cellStyle name="Normal 14 3 2 4" xfId="11832"/>
    <cellStyle name="Normal 14 3 3" xfId="5330"/>
    <cellStyle name="Normal 14 3 3 2" xfId="9073"/>
    <cellStyle name="Normal 14 3 3 2 2" xfId="15617"/>
    <cellStyle name="Normal 14 3 3 3" xfId="7354"/>
    <cellStyle name="Normal 14 3 3 3 2" xfId="14036"/>
    <cellStyle name="Normal 14 3 3 4" xfId="12251"/>
    <cellStyle name="Normal 14 3 4" xfId="5768"/>
    <cellStyle name="Normal 14 3 4 2" xfId="9509"/>
    <cellStyle name="Normal 14 3 4 2 2" xfId="16011"/>
    <cellStyle name="Normal 14 3 4 3" xfId="7790"/>
    <cellStyle name="Normal 14 3 4 3 2" xfId="14430"/>
    <cellStyle name="Normal 14 3 4 4" xfId="12661"/>
    <cellStyle name="Normal 14 3 5" xfId="9903"/>
    <cellStyle name="Normal 14 3 5 2" xfId="16384"/>
    <cellStyle name="Normal 14 3 6" xfId="8267"/>
    <cellStyle name="Normal 14 3 6 2" xfId="14824"/>
    <cellStyle name="Normal 14 3 7" xfId="6548"/>
    <cellStyle name="Normal 14 3 7 2" xfId="13238"/>
    <cellStyle name="Normal 14 3 8" xfId="11448"/>
    <cellStyle name="Normal 14 4" xfId="4708"/>
    <cellStyle name="Normal 14 4 2" xfId="8452"/>
    <cellStyle name="Normal 14 4 2 2" xfId="15004"/>
    <cellStyle name="Normal 14 4 3" xfId="6733"/>
    <cellStyle name="Normal 14 4 3 2" xfId="13423"/>
    <cellStyle name="Normal 14 4 4" xfId="11637"/>
    <cellStyle name="Normal 14 5" xfId="5133"/>
    <cellStyle name="Normal 14 5 2" xfId="8876"/>
    <cellStyle name="Normal 14 5 2 2" xfId="15420"/>
    <cellStyle name="Normal 14 5 3" xfId="7157"/>
    <cellStyle name="Normal 14 5 3 2" xfId="13839"/>
    <cellStyle name="Normal 14 5 4" xfId="12054"/>
    <cellStyle name="Normal 14 6" xfId="5566"/>
    <cellStyle name="Normal 14 6 2" xfId="9307"/>
    <cellStyle name="Normal 14 6 2 2" xfId="15814"/>
    <cellStyle name="Normal 14 6 3" xfId="7588"/>
    <cellStyle name="Normal 14 6 3 2" xfId="14233"/>
    <cellStyle name="Normal 14 6 4" xfId="12459"/>
    <cellStyle name="Normal 14 7" xfId="9696"/>
    <cellStyle name="Normal 14 7 2" xfId="16189"/>
    <cellStyle name="Normal 14 8" xfId="8027"/>
    <cellStyle name="Normal 14 8 2" xfId="14627"/>
    <cellStyle name="Normal 14 9" xfId="6300"/>
    <cellStyle name="Normal 14 9 2" xfId="13023"/>
    <cellStyle name="Normal 15" xfId="4095"/>
    <cellStyle name="Normal 15 10" xfId="11246"/>
    <cellStyle name="Normal 15 2" xfId="4096"/>
    <cellStyle name="Normal 15 2 2" xfId="4508"/>
    <cellStyle name="Normal 15 2 2 2" xfId="4908"/>
    <cellStyle name="Normal 15 2 2 2 2" xfId="8651"/>
    <cellStyle name="Normal 15 2 2 2 2 2" xfId="15199"/>
    <cellStyle name="Normal 15 2 2 2 3" xfId="6932"/>
    <cellStyle name="Normal 15 2 2 2 3 2" xfId="13618"/>
    <cellStyle name="Normal 15 2 2 2 4" xfId="11833"/>
    <cellStyle name="Normal 15 2 2 3" xfId="5335"/>
    <cellStyle name="Normal 15 2 2 3 2" xfId="9078"/>
    <cellStyle name="Normal 15 2 2 3 2 2" xfId="15622"/>
    <cellStyle name="Normal 15 2 2 3 3" xfId="7359"/>
    <cellStyle name="Normal 15 2 2 3 3 2" xfId="14041"/>
    <cellStyle name="Normal 15 2 2 3 4" xfId="12256"/>
    <cellStyle name="Normal 15 2 2 4" xfId="5773"/>
    <cellStyle name="Normal 15 2 2 4 2" xfId="9514"/>
    <cellStyle name="Normal 15 2 2 4 2 2" xfId="16016"/>
    <cellStyle name="Normal 15 2 2 4 3" xfId="7795"/>
    <cellStyle name="Normal 15 2 2 4 3 2" xfId="14435"/>
    <cellStyle name="Normal 15 2 2 4 4" xfId="12666"/>
    <cellStyle name="Normal 15 2 2 5" xfId="9904"/>
    <cellStyle name="Normal 15 2 2 5 2" xfId="16385"/>
    <cellStyle name="Normal 15 2 2 6" xfId="8272"/>
    <cellStyle name="Normal 15 2 2 6 2" xfId="14829"/>
    <cellStyle name="Normal 15 2 2 7" xfId="6553"/>
    <cellStyle name="Normal 15 2 2 7 2" xfId="13243"/>
    <cellStyle name="Normal 15 2 2 8" xfId="11453"/>
    <cellStyle name="Normal 15 2 3" xfId="4792"/>
    <cellStyle name="Normal 15 2 3 2" xfId="8535"/>
    <cellStyle name="Normal 15 2 3 2 2" xfId="15087"/>
    <cellStyle name="Normal 15 2 3 3" xfId="6816"/>
    <cellStyle name="Normal 15 2 3 3 2" xfId="13506"/>
    <cellStyle name="Normal 15 2 3 4" xfId="11721"/>
    <cellStyle name="Normal 15 2 4" xfId="5138"/>
    <cellStyle name="Normal 15 2 4 2" xfId="8881"/>
    <cellStyle name="Normal 15 2 4 2 2" xfId="15425"/>
    <cellStyle name="Normal 15 2 4 3" xfId="7162"/>
    <cellStyle name="Normal 15 2 4 3 2" xfId="13844"/>
    <cellStyle name="Normal 15 2 4 4" xfId="12059"/>
    <cellStyle name="Normal 15 2 5" xfId="5571"/>
    <cellStyle name="Normal 15 2 5 2" xfId="9312"/>
    <cellStyle name="Normal 15 2 5 2 2" xfId="15819"/>
    <cellStyle name="Normal 15 2 5 3" xfId="7593"/>
    <cellStyle name="Normal 15 2 5 3 2" xfId="14238"/>
    <cellStyle name="Normal 15 2 5 4" xfId="12464"/>
    <cellStyle name="Normal 15 2 6" xfId="9782"/>
    <cellStyle name="Normal 15 2 6 2" xfId="16273"/>
    <cellStyle name="Normal 15 2 7" xfId="8032"/>
    <cellStyle name="Normal 15 2 7 2" xfId="14632"/>
    <cellStyle name="Normal 15 2 8" xfId="6305"/>
    <cellStyle name="Normal 15 2 8 2" xfId="13028"/>
    <cellStyle name="Normal 15 2 9" xfId="11247"/>
    <cellStyle name="Normal 15 3" xfId="4507"/>
    <cellStyle name="Normal 15 3 2" xfId="4909"/>
    <cellStyle name="Normal 15 3 2 2" xfId="8652"/>
    <cellStyle name="Normal 15 3 2 2 2" xfId="15200"/>
    <cellStyle name="Normal 15 3 2 3" xfId="6933"/>
    <cellStyle name="Normal 15 3 2 3 2" xfId="13619"/>
    <cellStyle name="Normal 15 3 2 4" xfId="11834"/>
    <cellStyle name="Normal 15 3 3" xfId="5334"/>
    <cellStyle name="Normal 15 3 3 2" xfId="9077"/>
    <cellStyle name="Normal 15 3 3 2 2" xfId="15621"/>
    <cellStyle name="Normal 15 3 3 3" xfId="7358"/>
    <cellStyle name="Normal 15 3 3 3 2" xfId="14040"/>
    <cellStyle name="Normal 15 3 3 4" xfId="12255"/>
    <cellStyle name="Normal 15 3 4" xfId="5772"/>
    <cellStyle name="Normal 15 3 4 2" xfId="9513"/>
    <cellStyle name="Normal 15 3 4 2 2" xfId="16015"/>
    <cellStyle name="Normal 15 3 4 3" xfId="7794"/>
    <cellStyle name="Normal 15 3 4 3 2" xfId="14434"/>
    <cellStyle name="Normal 15 3 4 4" xfId="12665"/>
    <cellStyle name="Normal 15 3 5" xfId="9905"/>
    <cellStyle name="Normal 15 3 5 2" xfId="16386"/>
    <cellStyle name="Normal 15 3 6" xfId="8271"/>
    <cellStyle name="Normal 15 3 6 2" xfId="14828"/>
    <cellStyle name="Normal 15 3 7" xfId="6552"/>
    <cellStyle name="Normal 15 3 7 2" xfId="13242"/>
    <cellStyle name="Normal 15 3 8" xfId="11452"/>
    <cellStyle name="Normal 15 4" xfId="4710"/>
    <cellStyle name="Normal 15 4 2" xfId="8454"/>
    <cellStyle name="Normal 15 4 2 2" xfId="15006"/>
    <cellStyle name="Normal 15 4 3" xfId="6735"/>
    <cellStyle name="Normal 15 4 3 2" xfId="13425"/>
    <cellStyle name="Normal 15 4 4" xfId="11639"/>
    <cellStyle name="Normal 15 5" xfId="5137"/>
    <cellStyle name="Normal 15 5 2" xfId="8880"/>
    <cellStyle name="Normal 15 5 2 2" xfId="15424"/>
    <cellStyle name="Normal 15 5 3" xfId="7161"/>
    <cellStyle name="Normal 15 5 3 2" xfId="13843"/>
    <cellStyle name="Normal 15 5 4" xfId="12058"/>
    <cellStyle name="Normal 15 6" xfId="5570"/>
    <cellStyle name="Normal 15 6 2" xfId="9311"/>
    <cellStyle name="Normal 15 6 2 2" xfId="15818"/>
    <cellStyle name="Normal 15 6 3" xfId="7592"/>
    <cellStyle name="Normal 15 6 3 2" xfId="14237"/>
    <cellStyle name="Normal 15 6 4" xfId="12463"/>
    <cellStyle name="Normal 15 7" xfId="9698"/>
    <cellStyle name="Normal 15 7 2" xfId="16191"/>
    <cellStyle name="Normal 15 8" xfId="8031"/>
    <cellStyle name="Normal 15 8 2" xfId="14631"/>
    <cellStyle name="Normal 15 9" xfId="6304"/>
    <cellStyle name="Normal 15 9 2" xfId="13027"/>
    <cellStyle name="Normal 16" xfId="4097"/>
    <cellStyle name="Normal 16 10" xfId="11248"/>
    <cellStyle name="Normal 16 2" xfId="4098"/>
    <cellStyle name="Normal 16 2 2" xfId="4510"/>
    <cellStyle name="Normal 16 2 2 2" xfId="4910"/>
    <cellStyle name="Normal 16 2 2 2 2" xfId="8653"/>
    <cellStyle name="Normal 16 2 2 2 2 2" xfId="15201"/>
    <cellStyle name="Normal 16 2 2 2 3" xfId="6934"/>
    <cellStyle name="Normal 16 2 2 2 3 2" xfId="13620"/>
    <cellStyle name="Normal 16 2 2 2 4" xfId="11835"/>
    <cellStyle name="Normal 16 2 2 3" xfId="5337"/>
    <cellStyle name="Normal 16 2 2 3 2" xfId="9080"/>
    <cellStyle name="Normal 16 2 2 3 2 2" xfId="15624"/>
    <cellStyle name="Normal 16 2 2 3 3" xfId="7361"/>
    <cellStyle name="Normal 16 2 2 3 3 2" xfId="14043"/>
    <cellStyle name="Normal 16 2 2 3 4" xfId="12258"/>
    <cellStyle name="Normal 16 2 2 4" xfId="5775"/>
    <cellStyle name="Normal 16 2 2 4 2" xfId="9516"/>
    <cellStyle name="Normal 16 2 2 4 2 2" xfId="16018"/>
    <cellStyle name="Normal 16 2 2 4 3" xfId="7797"/>
    <cellStyle name="Normal 16 2 2 4 3 2" xfId="14437"/>
    <cellStyle name="Normal 16 2 2 4 4" xfId="12668"/>
    <cellStyle name="Normal 16 2 2 5" xfId="9906"/>
    <cellStyle name="Normal 16 2 2 5 2" xfId="16387"/>
    <cellStyle name="Normal 16 2 2 6" xfId="8274"/>
    <cellStyle name="Normal 16 2 2 6 2" xfId="14831"/>
    <cellStyle name="Normal 16 2 2 7" xfId="6555"/>
    <cellStyle name="Normal 16 2 2 7 2" xfId="13245"/>
    <cellStyle name="Normal 16 2 2 8" xfId="11455"/>
    <cellStyle name="Normal 16 2 3" xfId="4793"/>
    <cellStyle name="Normal 16 2 3 2" xfId="8536"/>
    <cellStyle name="Normal 16 2 3 2 2" xfId="15088"/>
    <cellStyle name="Normal 16 2 3 3" xfId="6817"/>
    <cellStyle name="Normal 16 2 3 3 2" xfId="13507"/>
    <cellStyle name="Normal 16 2 3 4" xfId="11722"/>
    <cellStyle name="Normal 16 2 4" xfId="5140"/>
    <cellStyle name="Normal 16 2 4 2" xfId="8883"/>
    <cellStyle name="Normal 16 2 4 2 2" xfId="15427"/>
    <cellStyle name="Normal 16 2 4 3" xfId="7164"/>
    <cellStyle name="Normal 16 2 4 3 2" xfId="13846"/>
    <cellStyle name="Normal 16 2 4 4" xfId="12061"/>
    <cellStyle name="Normal 16 2 5" xfId="5573"/>
    <cellStyle name="Normal 16 2 5 2" xfId="9314"/>
    <cellStyle name="Normal 16 2 5 2 2" xfId="15821"/>
    <cellStyle name="Normal 16 2 5 3" xfId="7595"/>
    <cellStyle name="Normal 16 2 5 3 2" xfId="14240"/>
    <cellStyle name="Normal 16 2 5 4" xfId="12466"/>
    <cellStyle name="Normal 16 2 6" xfId="9783"/>
    <cellStyle name="Normal 16 2 6 2" xfId="16274"/>
    <cellStyle name="Normal 16 2 7" xfId="8034"/>
    <cellStyle name="Normal 16 2 7 2" xfId="14634"/>
    <cellStyle name="Normal 16 2 8" xfId="6307"/>
    <cellStyle name="Normal 16 2 8 2" xfId="13030"/>
    <cellStyle name="Normal 16 2 9" xfId="11249"/>
    <cellStyle name="Normal 16 3" xfId="4509"/>
    <cellStyle name="Normal 16 3 2" xfId="4911"/>
    <cellStyle name="Normal 16 3 2 2" xfId="8654"/>
    <cellStyle name="Normal 16 3 2 2 2" xfId="15202"/>
    <cellStyle name="Normal 16 3 2 3" xfId="6935"/>
    <cellStyle name="Normal 16 3 2 3 2" xfId="13621"/>
    <cellStyle name="Normal 16 3 2 4" xfId="11836"/>
    <cellStyle name="Normal 16 3 3" xfId="5336"/>
    <cellStyle name="Normal 16 3 3 2" xfId="9079"/>
    <cellStyle name="Normal 16 3 3 2 2" xfId="15623"/>
    <cellStyle name="Normal 16 3 3 3" xfId="7360"/>
    <cellStyle name="Normal 16 3 3 3 2" xfId="14042"/>
    <cellStyle name="Normal 16 3 3 4" xfId="12257"/>
    <cellStyle name="Normal 16 3 4" xfId="5774"/>
    <cellStyle name="Normal 16 3 4 2" xfId="9515"/>
    <cellStyle name="Normal 16 3 4 2 2" xfId="16017"/>
    <cellStyle name="Normal 16 3 4 3" xfId="7796"/>
    <cellStyle name="Normal 16 3 4 3 2" xfId="14436"/>
    <cellStyle name="Normal 16 3 4 4" xfId="12667"/>
    <cellStyle name="Normal 16 3 5" xfId="9907"/>
    <cellStyle name="Normal 16 3 5 2" xfId="16388"/>
    <cellStyle name="Normal 16 3 6" xfId="8273"/>
    <cellStyle name="Normal 16 3 6 2" xfId="14830"/>
    <cellStyle name="Normal 16 3 7" xfId="6554"/>
    <cellStyle name="Normal 16 3 7 2" xfId="13244"/>
    <cellStyle name="Normal 16 3 8" xfId="11454"/>
    <cellStyle name="Normal 16 4" xfId="4711"/>
    <cellStyle name="Normal 16 4 2" xfId="8455"/>
    <cellStyle name="Normal 16 4 2 2" xfId="15007"/>
    <cellStyle name="Normal 16 4 3" xfId="6736"/>
    <cellStyle name="Normal 16 4 3 2" xfId="13426"/>
    <cellStyle name="Normal 16 4 4" xfId="11640"/>
    <cellStyle name="Normal 16 5" xfId="5139"/>
    <cellStyle name="Normal 16 5 2" xfId="8882"/>
    <cellStyle name="Normal 16 5 2 2" xfId="15426"/>
    <cellStyle name="Normal 16 5 3" xfId="7163"/>
    <cellStyle name="Normal 16 5 3 2" xfId="13845"/>
    <cellStyle name="Normal 16 5 4" xfId="12060"/>
    <cellStyle name="Normal 16 6" xfId="5572"/>
    <cellStyle name="Normal 16 6 2" xfId="9313"/>
    <cellStyle name="Normal 16 6 2 2" xfId="15820"/>
    <cellStyle name="Normal 16 6 3" xfId="7594"/>
    <cellStyle name="Normal 16 6 3 2" xfId="14239"/>
    <cellStyle name="Normal 16 6 4" xfId="12465"/>
    <cellStyle name="Normal 16 7" xfId="9699"/>
    <cellStyle name="Normal 16 7 2" xfId="16192"/>
    <cellStyle name="Normal 16 8" xfId="8033"/>
    <cellStyle name="Normal 16 8 2" xfId="14633"/>
    <cellStyle name="Normal 16 9" xfId="6306"/>
    <cellStyle name="Normal 16 9 2" xfId="13029"/>
    <cellStyle name="Normal 17" xfId="4099"/>
    <cellStyle name="Normal 17 10" xfId="11250"/>
    <cellStyle name="Normal 17 2" xfId="4100"/>
    <cellStyle name="Normal 17 2 2" xfId="4512"/>
    <cellStyle name="Normal 17 2 2 2" xfId="4912"/>
    <cellStyle name="Normal 17 2 2 2 2" xfId="8655"/>
    <cellStyle name="Normal 17 2 2 2 2 2" xfId="15203"/>
    <cellStyle name="Normal 17 2 2 2 3" xfId="6936"/>
    <cellStyle name="Normal 17 2 2 2 3 2" xfId="13622"/>
    <cellStyle name="Normal 17 2 2 2 4" xfId="11837"/>
    <cellStyle name="Normal 17 2 2 3" xfId="5339"/>
    <cellStyle name="Normal 17 2 2 3 2" xfId="9082"/>
    <cellStyle name="Normal 17 2 2 3 2 2" xfId="15626"/>
    <cellStyle name="Normal 17 2 2 3 3" xfId="7363"/>
    <cellStyle name="Normal 17 2 2 3 3 2" xfId="14045"/>
    <cellStyle name="Normal 17 2 2 3 4" xfId="12260"/>
    <cellStyle name="Normal 17 2 2 4" xfId="5777"/>
    <cellStyle name="Normal 17 2 2 4 2" xfId="9518"/>
    <cellStyle name="Normal 17 2 2 4 2 2" xfId="16020"/>
    <cellStyle name="Normal 17 2 2 4 3" xfId="7799"/>
    <cellStyle name="Normal 17 2 2 4 3 2" xfId="14439"/>
    <cellStyle name="Normal 17 2 2 4 4" xfId="12670"/>
    <cellStyle name="Normal 17 2 2 5" xfId="9908"/>
    <cellStyle name="Normal 17 2 2 5 2" xfId="16389"/>
    <cellStyle name="Normal 17 2 2 6" xfId="8276"/>
    <cellStyle name="Normal 17 2 2 6 2" xfId="14833"/>
    <cellStyle name="Normal 17 2 2 7" xfId="6557"/>
    <cellStyle name="Normal 17 2 2 7 2" xfId="13247"/>
    <cellStyle name="Normal 17 2 2 8" xfId="11457"/>
    <cellStyle name="Normal 17 2 3" xfId="4795"/>
    <cellStyle name="Normal 17 2 3 2" xfId="8538"/>
    <cellStyle name="Normal 17 2 3 2 2" xfId="15090"/>
    <cellStyle name="Normal 17 2 3 3" xfId="6819"/>
    <cellStyle name="Normal 17 2 3 3 2" xfId="13509"/>
    <cellStyle name="Normal 17 2 3 4" xfId="11724"/>
    <cellStyle name="Normal 17 2 4" xfId="5142"/>
    <cellStyle name="Normal 17 2 4 2" xfId="8885"/>
    <cellStyle name="Normal 17 2 4 2 2" xfId="15429"/>
    <cellStyle name="Normal 17 2 4 3" xfId="7166"/>
    <cellStyle name="Normal 17 2 4 3 2" xfId="13848"/>
    <cellStyle name="Normal 17 2 4 4" xfId="12063"/>
    <cellStyle name="Normal 17 2 5" xfId="5575"/>
    <cellStyle name="Normal 17 2 5 2" xfId="9316"/>
    <cellStyle name="Normal 17 2 5 2 2" xfId="15823"/>
    <cellStyle name="Normal 17 2 5 3" xfId="7597"/>
    <cellStyle name="Normal 17 2 5 3 2" xfId="14242"/>
    <cellStyle name="Normal 17 2 5 4" xfId="12468"/>
    <cellStyle name="Normal 17 2 6" xfId="9785"/>
    <cellStyle name="Normal 17 2 6 2" xfId="16276"/>
    <cellStyle name="Normal 17 2 7" xfId="8036"/>
    <cellStyle name="Normal 17 2 7 2" xfId="14636"/>
    <cellStyle name="Normal 17 2 8" xfId="6309"/>
    <cellStyle name="Normal 17 2 8 2" xfId="13032"/>
    <cellStyle name="Normal 17 2 9" xfId="11251"/>
    <cellStyle name="Normal 17 3" xfId="4511"/>
    <cellStyle name="Normal 17 3 2" xfId="4913"/>
    <cellStyle name="Normal 17 3 2 2" xfId="8656"/>
    <cellStyle name="Normal 17 3 2 2 2" xfId="15204"/>
    <cellStyle name="Normal 17 3 2 3" xfId="6937"/>
    <cellStyle name="Normal 17 3 2 3 2" xfId="13623"/>
    <cellStyle name="Normal 17 3 2 4" xfId="11838"/>
    <cellStyle name="Normal 17 3 3" xfId="5338"/>
    <cellStyle name="Normal 17 3 3 2" xfId="9081"/>
    <cellStyle name="Normal 17 3 3 2 2" xfId="15625"/>
    <cellStyle name="Normal 17 3 3 3" xfId="7362"/>
    <cellStyle name="Normal 17 3 3 3 2" xfId="14044"/>
    <cellStyle name="Normal 17 3 3 4" xfId="12259"/>
    <cellStyle name="Normal 17 3 4" xfId="5776"/>
    <cellStyle name="Normal 17 3 4 2" xfId="9517"/>
    <cellStyle name="Normal 17 3 4 2 2" xfId="16019"/>
    <cellStyle name="Normal 17 3 4 3" xfId="7798"/>
    <cellStyle name="Normal 17 3 4 3 2" xfId="14438"/>
    <cellStyle name="Normal 17 3 4 4" xfId="12669"/>
    <cellStyle name="Normal 17 3 5" xfId="9909"/>
    <cellStyle name="Normal 17 3 5 2" xfId="16390"/>
    <cellStyle name="Normal 17 3 6" xfId="8275"/>
    <cellStyle name="Normal 17 3 6 2" xfId="14832"/>
    <cellStyle name="Normal 17 3 7" xfId="6556"/>
    <cellStyle name="Normal 17 3 7 2" xfId="13246"/>
    <cellStyle name="Normal 17 3 8" xfId="11456"/>
    <cellStyle name="Normal 17 4" xfId="4713"/>
    <cellStyle name="Normal 17 4 2" xfId="8457"/>
    <cellStyle name="Normal 17 4 2 2" xfId="15009"/>
    <cellStyle name="Normal 17 4 3" xfId="6738"/>
    <cellStyle name="Normal 17 4 3 2" xfId="13428"/>
    <cellStyle name="Normal 17 4 4" xfId="11642"/>
    <cellStyle name="Normal 17 5" xfId="5141"/>
    <cellStyle name="Normal 17 5 2" xfId="8884"/>
    <cellStyle name="Normal 17 5 2 2" xfId="15428"/>
    <cellStyle name="Normal 17 5 3" xfId="7165"/>
    <cellStyle name="Normal 17 5 3 2" xfId="13847"/>
    <cellStyle name="Normal 17 5 4" xfId="12062"/>
    <cellStyle name="Normal 17 6" xfId="5574"/>
    <cellStyle name="Normal 17 6 2" xfId="9315"/>
    <cellStyle name="Normal 17 6 2 2" xfId="15822"/>
    <cellStyle name="Normal 17 6 3" xfId="7596"/>
    <cellStyle name="Normal 17 6 3 2" xfId="14241"/>
    <cellStyle name="Normal 17 6 4" xfId="12467"/>
    <cellStyle name="Normal 17 7" xfId="9701"/>
    <cellStyle name="Normal 17 7 2" xfId="16194"/>
    <cellStyle name="Normal 17 8" xfId="8035"/>
    <cellStyle name="Normal 17 8 2" xfId="14635"/>
    <cellStyle name="Normal 17 9" xfId="6308"/>
    <cellStyle name="Normal 17 9 2" xfId="13031"/>
    <cellStyle name="Normal 18" xfId="4101"/>
    <cellStyle name="Normal 18 10" xfId="11252"/>
    <cellStyle name="Normal 18 2" xfId="4102"/>
    <cellStyle name="Normal 18 2 2" xfId="4514"/>
    <cellStyle name="Normal 18 2 2 2" xfId="4914"/>
    <cellStyle name="Normal 18 2 2 2 2" xfId="8657"/>
    <cellStyle name="Normal 18 2 2 2 2 2" xfId="15205"/>
    <cellStyle name="Normal 18 2 2 2 3" xfId="6938"/>
    <cellStyle name="Normal 18 2 2 2 3 2" xfId="13624"/>
    <cellStyle name="Normal 18 2 2 2 4" xfId="11839"/>
    <cellStyle name="Normal 18 2 2 3" xfId="5341"/>
    <cellStyle name="Normal 18 2 2 3 2" xfId="9084"/>
    <cellStyle name="Normal 18 2 2 3 2 2" xfId="15628"/>
    <cellStyle name="Normal 18 2 2 3 3" xfId="7365"/>
    <cellStyle name="Normal 18 2 2 3 3 2" xfId="14047"/>
    <cellStyle name="Normal 18 2 2 3 4" xfId="12262"/>
    <cellStyle name="Normal 18 2 2 4" xfId="5779"/>
    <cellStyle name="Normal 18 2 2 4 2" xfId="9520"/>
    <cellStyle name="Normal 18 2 2 4 2 2" xfId="16022"/>
    <cellStyle name="Normal 18 2 2 4 3" xfId="7801"/>
    <cellStyle name="Normal 18 2 2 4 3 2" xfId="14441"/>
    <cellStyle name="Normal 18 2 2 4 4" xfId="12672"/>
    <cellStyle name="Normal 18 2 2 5" xfId="9910"/>
    <cellStyle name="Normal 18 2 2 5 2" xfId="16391"/>
    <cellStyle name="Normal 18 2 2 6" xfId="8278"/>
    <cellStyle name="Normal 18 2 2 6 2" xfId="14835"/>
    <cellStyle name="Normal 18 2 2 7" xfId="6559"/>
    <cellStyle name="Normal 18 2 2 7 2" xfId="13249"/>
    <cellStyle name="Normal 18 2 2 8" xfId="11459"/>
    <cellStyle name="Normal 18 2 3" xfId="4798"/>
    <cellStyle name="Normal 18 2 3 2" xfId="8541"/>
    <cellStyle name="Normal 18 2 3 2 2" xfId="15093"/>
    <cellStyle name="Normal 18 2 3 3" xfId="6822"/>
    <cellStyle name="Normal 18 2 3 3 2" xfId="13512"/>
    <cellStyle name="Normal 18 2 3 4" xfId="11727"/>
    <cellStyle name="Normal 18 2 4" xfId="5144"/>
    <cellStyle name="Normal 18 2 4 2" xfId="8887"/>
    <cellStyle name="Normal 18 2 4 2 2" xfId="15431"/>
    <cellStyle name="Normal 18 2 4 3" xfId="7168"/>
    <cellStyle name="Normal 18 2 4 3 2" xfId="13850"/>
    <cellStyle name="Normal 18 2 4 4" xfId="12065"/>
    <cellStyle name="Normal 18 2 5" xfId="5577"/>
    <cellStyle name="Normal 18 2 5 2" xfId="9318"/>
    <cellStyle name="Normal 18 2 5 2 2" xfId="15825"/>
    <cellStyle name="Normal 18 2 5 3" xfId="7599"/>
    <cellStyle name="Normal 18 2 5 3 2" xfId="14244"/>
    <cellStyle name="Normal 18 2 5 4" xfId="12470"/>
    <cellStyle name="Normal 18 2 6" xfId="9788"/>
    <cellStyle name="Normal 18 2 6 2" xfId="16279"/>
    <cellStyle name="Normal 18 2 7" xfId="8038"/>
    <cellStyle name="Normal 18 2 7 2" xfId="14638"/>
    <cellStyle name="Normal 18 2 8" xfId="6311"/>
    <cellStyle name="Normal 18 2 8 2" xfId="13034"/>
    <cellStyle name="Normal 18 2 9" xfId="11253"/>
    <cellStyle name="Normal 18 3" xfId="4513"/>
    <cellStyle name="Normal 18 3 2" xfId="4915"/>
    <cellStyle name="Normal 18 3 2 2" xfId="8658"/>
    <cellStyle name="Normal 18 3 2 2 2" xfId="15206"/>
    <cellStyle name="Normal 18 3 2 3" xfId="6939"/>
    <cellStyle name="Normal 18 3 2 3 2" xfId="13625"/>
    <cellStyle name="Normal 18 3 2 4" xfId="11840"/>
    <cellStyle name="Normal 18 3 3" xfId="5340"/>
    <cellStyle name="Normal 18 3 3 2" xfId="9083"/>
    <cellStyle name="Normal 18 3 3 2 2" xfId="15627"/>
    <cellStyle name="Normal 18 3 3 3" xfId="7364"/>
    <cellStyle name="Normal 18 3 3 3 2" xfId="14046"/>
    <cellStyle name="Normal 18 3 3 4" xfId="12261"/>
    <cellStyle name="Normal 18 3 4" xfId="5778"/>
    <cellStyle name="Normal 18 3 4 2" xfId="9519"/>
    <cellStyle name="Normal 18 3 4 2 2" xfId="16021"/>
    <cellStyle name="Normal 18 3 4 3" xfId="7800"/>
    <cellStyle name="Normal 18 3 4 3 2" xfId="14440"/>
    <cellStyle name="Normal 18 3 4 4" xfId="12671"/>
    <cellStyle name="Normal 18 3 5" xfId="9911"/>
    <cellStyle name="Normal 18 3 5 2" xfId="16392"/>
    <cellStyle name="Normal 18 3 6" xfId="8277"/>
    <cellStyle name="Normal 18 3 6 2" xfId="14834"/>
    <cellStyle name="Normal 18 3 7" xfId="6558"/>
    <cellStyle name="Normal 18 3 7 2" xfId="13248"/>
    <cellStyle name="Normal 18 3 8" xfId="11458"/>
    <cellStyle name="Normal 18 4" xfId="4716"/>
    <cellStyle name="Normal 18 4 2" xfId="8460"/>
    <cellStyle name="Normal 18 4 2 2" xfId="15012"/>
    <cellStyle name="Normal 18 4 3" xfId="6741"/>
    <cellStyle name="Normal 18 4 3 2" xfId="13431"/>
    <cellStyle name="Normal 18 4 4" xfId="11645"/>
    <cellStyle name="Normal 18 5" xfId="5143"/>
    <cellStyle name="Normal 18 5 2" xfId="8886"/>
    <cellStyle name="Normal 18 5 2 2" xfId="15430"/>
    <cellStyle name="Normal 18 5 3" xfId="7167"/>
    <cellStyle name="Normal 18 5 3 2" xfId="13849"/>
    <cellStyle name="Normal 18 5 4" xfId="12064"/>
    <cellStyle name="Normal 18 6" xfId="5576"/>
    <cellStyle name="Normal 18 6 2" xfId="9317"/>
    <cellStyle name="Normal 18 6 2 2" xfId="15824"/>
    <cellStyle name="Normal 18 6 3" xfId="7598"/>
    <cellStyle name="Normal 18 6 3 2" xfId="14243"/>
    <cellStyle name="Normal 18 6 4" xfId="12469"/>
    <cellStyle name="Normal 18 7" xfId="9704"/>
    <cellStyle name="Normal 18 7 2" xfId="16197"/>
    <cellStyle name="Normal 18 8" xfId="8037"/>
    <cellStyle name="Normal 18 8 2" xfId="14637"/>
    <cellStyle name="Normal 18 9" xfId="6310"/>
    <cellStyle name="Normal 18 9 2" xfId="13033"/>
    <cellStyle name="Normal 19" xfId="4103"/>
    <cellStyle name="Normal 19 10" xfId="11254"/>
    <cellStyle name="Normal 19 2" xfId="4104"/>
    <cellStyle name="Normal 19 2 2" xfId="4516"/>
    <cellStyle name="Normal 19 2 2 2" xfId="4916"/>
    <cellStyle name="Normal 19 2 2 2 2" xfId="8659"/>
    <cellStyle name="Normal 19 2 2 2 2 2" xfId="15207"/>
    <cellStyle name="Normal 19 2 2 2 3" xfId="6940"/>
    <cellStyle name="Normal 19 2 2 2 3 2" xfId="13626"/>
    <cellStyle name="Normal 19 2 2 2 4" xfId="11841"/>
    <cellStyle name="Normal 19 2 2 3" xfId="5343"/>
    <cellStyle name="Normal 19 2 2 3 2" xfId="9086"/>
    <cellStyle name="Normal 19 2 2 3 2 2" xfId="15630"/>
    <cellStyle name="Normal 19 2 2 3 3" xfId="7367"/>
    <cellStyle name="Normal 19 2 2 3 3 2" xfId="14049"/>
    <cellStyle name="Normal 19 2 2 3 4" xfId="12264"/>
    <cellStyle name="Normal 19 2 2 4" xfId="5781"/>
    <cellStyle name="Normal 19 2 2 4 2" xfId="9522"/>
    <cellStyle name="Normal 19 2 2 4 2 2" xfId="16024"/>
    <cellStyle name="Normal 19 2 2 4 3" xfId="7803"/>
    <cellStyle name="Normal 19 2 2 4 3 2" xfId="14443"/>
    <cellStyle name="Normal 19 2 2 4 4" xfId="12674"/>
    <cellStyle name="Normal 19 2 2 5" xfId="9912"/>
    <cellStyle name="Normal 19 2 2 5 2" xfId="16393"/>
    <cellStyle name="Normal 19 2 2 6" xfId="8280"/>
    <cellStyle name="Normal 19 2 2 6 2" xfId="14837"/>
    <cellStyle name="Normal 19 2 2 7" xfId="6561"/>
    <cellStyle name="Normal 19 2 2 7 2" xfId="13251"/>
    <cellStyle name="Normal 19 2 2 8" xfId="11461"/>
    <cellStyle name="Normal 19 2 3" xfId="4800"/>
    <cellStyle name="Normal 19 2 3 2" xfId="8543"/>
    <cellStyle name="Normal 19 2 3 2 2" xfId="15095"/>
    <cellStyle name="Normal 19 2 3 3" xfId="6824"/>
    <cellStyle name="Normal 19 2 3 3 2" xfId="13514"/>
    <cellStyle name="Normal 19 2 3 4" xfId="11729"/>
    <cellStyle name="Normal 19 2 4" xfId="5146"/>
    <cellStyle name="Normal 19 2 4 2" xfId="8889"/>
    <cellStyle name="Normal 19 2 4 2 2" xfId="15433"/>
    <cellStyle name="Normal 19 2 4 3" xfId="7170"/>
    <cellStyle name="Normal 19 2 4 3 2" xfId="13852"/>
    <cellStyle name="Normal 19 2 4 4" xfId="12067"/>
    <cellStyle name="Normal 19 2 5" xfId="5579"/>
    <cellStyle name="Normal 19 2 5 2" xfId="9320"/>
    <cellStyle name="Normal 19 2 5 2 2" xfId="15827"/>
    <cellStyle name="Normal 19 2 5 3" xfId="7601"/>
    <cellStyle name="Normal 19 2 5 3 2" xfId="14246"/>
    <cellStyle name="Normal 19 2 5 4" xfId="12472"/>
    <cellStyle name="Normal 19 2 6" xfId="9790"/>
    <cellStyle name="Normal 19 2 6 2" xfId="16281"/>
    <cellStyle name="Normal 19 2 7" xfId="8040"/>
    <cellStyle name="Normal 19 2 7 2" xfId="14640"/>
    <cellStyle name="Normal 19 2 8" xfId="6313"/>
    <cellStyle name="Normal 19 2 8 2" xfId="13036"/>
    <cellStyle name="Normal 19 2 9" xfId="11255"/>
    <cellStyle name="Normal 19 3" xfId="4515"/>
    <cellStyle name="Normal 19 3 2" xfId="4917"/>
    <cellStyle name="Normal 19 3 2 2" xfId="8660"/>
    <cellStyle name="Normal 19 3 2 2 2" xfId="15208"/>
    <cellStyle name="Normal 19 3 2 3" xfId="6941"/>
    <cellStyle name="Normal 19 3 2 3 2" xfId="13627"/>
    <cellStyle name="Normal 19 3 2 4" xfId="11842"/>
    <cellStyle name="Normal 19 3 3" xfId="5342"/>
    <cellStyle name="Normal 19 3 3 2" xfId="9085"/>
    <cellStyle name="Normal 19 3 3 2 2" xfId="15629"/>
    <cellStyle name="Normal 19 3 3 3" xfId="7366"/>
    <cellStyle name="Normal 19 3 3 3 2" xfId="14048"/>
    <cellStyle name="Normal 19 3 3 4" xfId="12263"/>
    <cellStyle name="Normal 19 3 4" xfId="5780"/>
    <cellStyle name="Normal 19 3 4 2" xfId="9521"/>
    <cellStyle name="Normal 19 3 4 2 2" xfId="16023"/>
    <cellStyle name="Normal 19 3 4 3" xfId="7802"/>
    <cellStyle name="Normal 19 3 4 3 2" xfId="14442"/>
    <cellStyle name="Normal 19 3 4 4" xfId="12673"/>
    <cellStyle name="Normal 19 3 5" xfId="9913"/>
    <cellStyle name="Normal 19 3 5 2" xfId="16394"/>
    <cellStyle name="Normal 19 3 6" xfId="8279"/>
    <cellStyle name="Normal 19 3 6 2" xfId="14836"/>
    <cellStyle name="Normal 19 3 7" xfId="6560"/>
    <cellStyle name="Normal 19 3 7 2" xfId="13250"/>
    <cellStyle name="Normal 19 3 8" xfId="11460"/>
    <cellStyle name="Normal 19 4" xfId="4718"/>
    <cellStyle name="Normal 19 4 2" xfId="8462"/>
    <cellStyle name="Normal 19 4 2 2" xfId="15014"/>
    <cellStyle name="Normal 19 4 3" xfId="6743"/>
    <cellStyle name="Normal 19 4 3 2" xfId="13433"/>
    <cellStyle name="Normal 19 4 4" xfId="11647"/>
    <cellStyle name="Normal 19 5" xfId="5145"/>
    <cellStyle name="Normal 19 5 2" xfId="8888"/>
    <cellStyle name="Normal 19 5 2 2" xfId="15432"/>
    <cellStyle name="Normal 19 5 3" xfId="7169"/>
    <cellStyle name="Normal 19 5 3 2" xfId="13851"/>
    <cellStyle name="Normal 19 5 4" xfId="12066"/>
    <cellStyle name="Normal 19 6" xfId="5578"/>
    <cellStyle name="Normal 19 6 2" xfId="9319"/>
    <cellStyle name="Normal 19 6 2 2" xfId="15826"/>
    <cellStyle name="Normal 19 6 3" xfId="7600"/>
    <cellStyle name="Normal 19 6 3 2" xfId="14245"/>
    <cellStyle name="Normal 19 6 4" xfId="12471"/>
    <cellStyle name="Normal 19 7" xfId="9706"/>
    <cellStyle name="Normal 19 7 2" xfId="16199"/>
    <cellStyle name="Normal 19 8" xfId="8039"/>
    <cellStyle name="Normal 19 8 2" xfId="14639"/>
    <cellStyle name="Normal 19 9" xfId="6312"/>
    <cellStyle name="Normal 19 9 2" xfId="13035"/>
    <cellStyle name="Normal 2" xfId="5"/>
    <cellStyle name="Normal 2 10" xfId="7933"/>
    <cellStyle name="Normal 2 10 2" xfId="14573"/>
    <cellStyle name="Normal 2 11" xfId="5912"/>
    <cellStyle name="Normal 2 11 2" xfId="12805"/>
    <cellStyle name="Normal 2 12" xfId="10244"/>
    <cellStyle name="Normal 2 2" xfId="6"/>
    <cellStyle name="Normal 2 2 10" xfId="5076"/>
    <cellStyle name="Normal 2 2 10 2" xfId="8819"/>
    <cellStyle name="Normal 2 2 10 2 2" xfId="15367"/>
    <cellStyle name="Normal 2 2 10 3" xfId="7100"/>
    <cellStyle name="Normal 2 2 10 3 2" xfId="13786"/>
    <cellStyle name="Normal 2 2 10 4" xfId="12001"/>
    <cellStyle name="Normal 2 2 11" xfId="5513"/>
    <cellStyle name="Normal 2 2 11 2" xfId="9254"/>
    <cellStyle name="Normal 2 2 11 2 2" xfId="15761"/>
    <cellStyle name="Normal 2 2 11 3" xfId="7535"/>
    <cellStyle name="Normal 2 2 11 3 2" xfId="14180"/>
    <cellStyle name="Normal 2 2 11 4" xfId="12406"/>
    <cellStyle name="Normal 2 2 12" xfId="9657"/>
    <cellStyle name="Normal 2 2 12 2" xfId="16159"/>
    <cellStyle name="Normal 2 2 13" xfId="7934"/>
    <cellStyle name="Normal 2 2 13 2" xfId="14574"/>
    <cellStyle name="Normal 2 2 14" xfId="5913"/>
    <cellStyle name="Normal 2 2 14 2" xfId="12806"/>
    <cellStyle name="Normal 2 2 15" xfId="10245"/>
    <cellStyle name="Normal 2 2 2" xfId="17"/>
    <cellStyle name="Normal 2 2 2 10" xfId="7939"/>
    <cellStyle name="Normal 2 2 2 10 2" xfId="14579"/>
    <cellStyle name="Normal 2 2 2 11" xfId="5918"/>
    <cellStyle name="Normal 2 2 2 11 2" xfId="12811"/>
    <cellStyle name="Normal 2 2 2 12" xfId="10253"/>
    <cellStyle name="Normal 2 2 2 2" xfId="39"/>
    <cellStyle name="Normal 2 2 2 2 10" xfId="5937"/>
    <cellStyle name="Normal 2 2 2 2 10 2" xfId="12830"/>
    <cellStyle name="Normal 2 2 2 2 11" xfId="10272"/>
    <cellStyle name="Normal 2 2 2 2 2" xfId="4105"/>
    <cellStyle name="Normal 2 2 2 2 2 2" xfId="4517"/>
    <cellStyle name="Normal 2 2 2 2 2 2 2" xfId="4918"/>
    <cellStyle name="Normal 2 2 2 2 2 2 2 2" xfId="8661"/>
    <cellStyle name="Normal 2 2 2 2 2 2 2 2 2" xfId="15209"/>
    <cellStyle name="Normal 2 2 2 2 2 2 2 3" xfId="6942"/>
    <cellStyle name="Normal 2 2 2 2 2 2 2 3 2" xfId="13628"/>
    <cellStyle name="Normal 2 2 2 2 2 2 2 4" xfId="11843"/>
    <cellStyle name="Normal 2 2 2 2 2 2 3" xfId="5344"/>
    <cellStyle name="Normal 2 2 2 2 2 2 3 2" xfId="9087"/>
    <cellStyle name="Normal 2 2 2 2 2 2 3 2 2" xfId="15631"/>
    <cellStyle name="Normal 2 2 2 2 2 2 3 3" xfId="7368"/>
    <cellStyle name="Normal 2 2 2 2 2 2 3 3 2" xfId="14050"/>
    <cellStyle name="Normal 2 2 2 2 2 2 3 4" xfId="12265"/>
    <cellStyle name="Normal 2 2 2 2 2 2 4" xfId="5782"/>
    <cellStyle name="Normal 2 2 2 2 2 2 4 2" xfId="9523"/>
    <cellStyle name="Normal 2 2 2 2 2 2 4 2 2" xfId="16025"/>
    <cellStyle name="Normal 2 2 2 2 2 2 4 3" xfId="7804"/>
    <cellStyle name="Normal 2 2 2 2 2 2 4 3 2" xfId="14444"/>
    <cellStyle name="Normal 2 2 2 2 2 2 4 4" xfId="12675"/>
    <cellStyle name="Normal 2 2 2 2 2 2 5" xfId="9914"/>
    <cellStyle name="Normal 2 2 2 2 2 2 5 2" xfId="16395"/>
    <cellStyle name="Normal 2 2 2 2 2 2 6" xfId="8281"/>
    <cellStyle name="Normal 2 2 2 2 2 2 6 2" xfId="14838"/>
    <cellStyle name="Normal 2 2 2 2 2 2 7" xfId="6562"/>
    <cellStyle name="Normal 2 2 2 2 2 2 7 2" xfId="13252"/>
    <cellStyle name="Normal 2 2 2 2 2 2 8" xfId="11462"/>
    <cellStyle name="Normal 2 2 2 2 2 24" xfId="4106"/>
    <cellStyle name="Normal 2 2 2 2 2 24 10" xfId="9680"/>
    <cellStyle name="Normal 2 2 2 2 2 24 10 2" xfId="16180"/>
    <cellStyle name="Normal 2 2 2 2 2 24 11" xfId="8042"/>
    <cellStyle name="Normal 2 2 2 2 2 24 11 2" xfId="14642"/>
    <cellStyle name="Normal 2 2 2 2 2 24 12" xfId="6315"/>
    <cellStyle name="Normal 2 2 2 2 2 24 12 2" xfId="13038"/>
    <cellStyle name="Normal 2 2 2 2 2 24 13" xfId="11257"/>
    <cellStyle name="Normal 2 2 2 2 2 24 2" xfId="4107"/>
    <cellStyle name="Normal 2 2 2 2 2 24 2 2" xfId="4519"/>
    <cellStyle name="Normal 2 2 2 2 2 24 2 2 2" xfId="4919"/>
    <cellStyle name="Normal 2 2 2 2 2 24 2 2 2 2" xfId="8662"/>
    <cellStyle name="Normal 2 2 2 2 2 24 2 2 2 2 2" xfId="15210"/>
    <cellStyle name="Normal 2 2 2 2 2 24 2 2 2 3" xfId="6943"/>
    <cellStyle name="Normal 2 2 2 2 2 24 2 2 2 3 2" xfId="13629"/>
    <cellStyle name="Normal 2 2 2 2 2 24 2 2 2 4" xfId="11844"/>
    <cellStyle name="Normal 2 2 2 2 2 24 2 2 3" xfId="5346"/>
    <cellStyle name="Normal 2 2 2 2 2 24 2 2 3 2" xfId="9089"/>
    <cellStyle name="Normal 2 2 2 2 2 24 2 2 3 2 2" xfId="15633"/>
    <cellStyle name="Normal 2 2 2 2 2 24 2 2 3 3" xfId="7370"/>
    <cellStyle name="Normal 2 2 2 2 2 24 2 2 3 3 2" xfId="14052"/>
    <cellStyle name="Normal 2 2 2 2 2 24 2 2 3 4" xfId="12267"/>
    <cellStyle name="Normal 2 2 2 2 2 24 2 2 4" xfId="5784"/>
    <cellStyle name="Normal 2 2 2 2 2 24 2 2 4 2" xfId="9525"/>
    <cellStyle name="Normal 2 2 2 2 2 24 2 2 4 2 2" xfId="16027"/>
    <cellStyle name="Normal 2 2 2 2 2 24 2 2 4 3" xfId="7806"/>
    <cellStyle name="Normal 2 2 2 2 2 24 2 2 4 3 2" xfId="14446"/>
    <cellStyle name="Normal 2 2 2 2 2 24 2 2 4 4" xfId="12677"/>
    <cellStyle name="Normal 2 2 2 2 2 24 2 2 5" xfId="9915"/>
    <cellStyle name="Normal 2 2 2 2 2 24 2 2 5 2" xfId="16396"/>
    <cellStyle name="Normal 2 2 2 2 2 24 2 2 6" xfId="8283"/>
    <cellStyle name="Normal 2 2 2 2 2 24 2 2 6 2" xfId="14840"/>
    <cellStyle name="Normal 2 2 2 2 2 24 2 2 7" xfId="6564"/>
    <cellStyle name="Normal 2 2 2 2 2 24 2 2 7 2" xfId="13254"/>
    <cellStyle name="Normal 2 2 2 2 2 24 2 2 8" xfId="11464"/>
    <cellStyle name="Normal 2 2 2 2 2 24 2 3" xfId="4760"/>
    <cellStyle name="Normal 2 2 2 2 2 24 2 3 2" xfId="8503"/>
    <cellStyle name="Normal 2 2 2 2 2 24 2 3 2 2" xfId="15055"/>
    <cellStyle name="Normal 2 2 2 2 2 24 2 3 3" xfId="6784"/>
    <cellStyle name="Normal 2 2 2 2 2 24 2 3 3 2" xfId="13474"/>
    <cellStyle name="Normal 2 2 2 2 2 24 2 3 4" xfId="11689"/>
    <cellStyle name="Normal 2 2 2 2 2 24 2 4" xfId="5149"/>
    <cellStyle name="Normal 2 2 2 2 2 24 2 4 2" xfId="8892"/>
    <cellStyle name="Normal 2 2 2 2 2 24 2 4 2 2" xfId="15436"/>
    <cellStyle name="Normal 2 2 2 2 2 24 2 4 3" xfId="7173"/>
    <cellStyle name="Normal 2 2 2 2 2 24 2 4 3 2" xfId="13855"/>
    <cellStyle name="Normal 2 2 2 2 2 24 2 4 4" xfId="12070"/>
    <cellStyle name="Normal 2 2 2 2 2 24 2 5" xfId="5582"/>
    <cellStyle name="Normal 2 2 2 2 2 24 2 5 2" xfId="9323"/>
    <cellStyle name="Normal 2 2 2 2 2 24 2 5 2 2" xfId="15830"/>
    <cellStyle name="Normal 2 2 2 2 2 24 2 5 3" xfId="7604"/>
    <cellStyle name="Normal 2 2 2 2 2 24 2 5 3 2" xfId="14249"/>
    <cellStyle name="Normal 2 2 2 2 2 24 2 5 4" xfId="12475"/>
    <cellStyle name="Normal 2 2 2 2 2 24 2 6" xfId="9750"/>
    <cellStyle name="Normal 2 2 2 2 2 24 2 6 2" xfId="16241"/>
    <cellStyle name="Normal 2 2 2 2 2 24 2 7" xfId="8043"/>
    <cellStyle name="Normal 2 2 2 2 2 24 2 7 2" xfId="14643"/>
    <cellStyle name="Normal 2 2 2 2 2 24 2 8" xfId="6316"/>
    <cellStyle name="Normal 2 2 2 2 2 24 2 8 2" xfId="13039"/>
    <cellStyle name="Normal 2 2 2 2 2 24 2 9" xfId="11258"/>
    <cellStyle name="Normal 2 2 2 2 2 24 3" xfId="4108"/>
    <cellStyle name="Normal 2 2 2 2 2 24 3 2" xfId="4520"/>
    <cellStyle name="Normal 2 2 2 2 2 24 3 2 2" xfId="4920"/>
    <cellStyle name="Normal 2 2 2 2 2 24 3 2 2 2" xfId="8663"/>
    <cellStyle name="Normal 2 2 2 2 2 24 3 2 2 2 2" xfId="15211"/>
    <cellStyle name="Normal 2 2 2 2 2 24 3 2 2 3" xfId="6944"/>
    <cellStyle name="Normal 2 2 2 2 2 24 3 2 2 3 2" xfId="13630"/>
    <cellStyle name="Normal 2 2 2 2 2 24 3 2 2 4" xfId="11845"/>
    <cellStyle name="Normal 2 2 2 2 2 24 3 2 3" xfId="5347"/>
    <cellStyle name="Normal 2 2 2 2 2 24 3 2 3 2" xfId="9090"/>
    <cellStyle name="Normal 2 2 2 2 2 24 3 2 3 2 2" xfId="15634"/>
    <cellStyle name="Normal 2 2 2 2 2 24 3 2 3 3" xfId="7371"/>
    <cellStyle name="Normal 2 2 2 2 2 24 3 2 3 3 2" xfId="14053"/>
    <cellStyle name="Normal 2 2 2 2 2 24 3 2 3 4" xfId="12268"/>
    <cellStyle name="Normal 2 2 2 2 2 24 3 2 4" xfId="5785"/>
    <cellStyle name="Normal 2 2 2 2 2 24 3 2 4 2" xfId="9526"/>
    <cellStyle name="Normal 2 2 2 2 2 24 3 2 4 2 2" xfId="16028"/>
    <cellStyle name="Normal 2 2 2 2 2 24 3 2 4 3" xfId="7807"/>
    <cellStyle name="Normal 2 2 2 2 2 24 3 2 4 3 2" xfId="14447"/>
    <cellStyle name="Normal 2 2 2 2 2 24 3 2 4 4" xfId="12678"/>
    <cellStyle name="Normal 2 2 2 2 2 24 3 2 5" xfId="9916"/>
    <cellStyle name="Normal 2 2 2 2 2 24 3 2 5 2" xfId="16397"/>
    <cellStyle name="Normal 2 2 2 2 2 24 3 2 6" xfId="8284"/>
    <cellStyle name="Normal 2 2 2 2 2 24 3 2 6 2" xfId="14841"/>
    <cellStyle name="Normal 2 2 2 2 2 24 3 2 7" xfId="6565"/>
    <cellStyle name="Normal 2 2 2 2 2 24 3 2 7 2" xfId="13255"/>
    <cellStyle name="Normal 2 2 2 2 2 24 3 2 8" xfId="11465"/>
    <cellStyle name="Normal 2 2 2 2 2 24 3 3" xfId="4842"/>
    <cellStyle name="Normal 2 2 2 2 2 24 3 3 2" xfId="8585"/>
    <cellStyle name="Normal 2 2 2 2 2 24 3 3 2 2" xfId="15133"/>
    <cellStyle name="Normal 2 2 2 2 2 24 3 3 3" xfId="6866"/>
    <cellStyle name="Normal 2 2 2 2 2 24 3 3 3 2" xfId="13552"/>
    <cellStyle name="Normal 2 2 2 2 2 24 3 3 4" xfId="11767"/>
    <cellStyle name="Normal 2 2 2 2 2 24 3 4" xfId="5150"/>
    <cellStyle name="Normal 2 2 2 2 2 24 3 4 2" xfId="8893"/>
    <cellStyle name="Normal 2 2 2 2 2 24 3 4 2 2" xfId="15437"/>
    <cellStyle name="Normal 2 2 2 2 2 24 3 4 3" xfId="7174"/>
    <cellStyle name="Normal 2 2 2 2 2 24 3 4 3 2" xfId="13856"/>
    <cellStyle name="Normal 2 2 2 2 2 24 3 4 4" xfId="12071"/>
    <cellStyle name="Normal 2 2 2 2 2 24 3 5" xfId="5583"/>
    <cellStyle name="Normal 2 2 2 2 2 24 3 5 2" xfId="9324"/>
    <cellStyle name="Normal 2 2 2 2 2 24 3 5 2 2" xfId="15831"/>
    <cellStyle name="Normal 2 2 2 2 2 24 3 5 3" xfId="7605"/>
    <cellStyle name="Normal 2 2 2 2 2 24 3 5 3 2" xfId="14250"/>
    <cellStyle name="Normal 2 2 2 2 2 24 3 5 4" xfId="12476"/>
    <cellStyle name="Normal 2 2 2 2 2 24 3 6" xfId="9833"/>
    <cellStyle name="Normal 2 2 2 2 2 24 3 6 2" xfId="16319"/>
    <cellStyle name="Normal 2 2 2 2 2 24 3 7" xfId="8044"/>
    <cellStyle name="Normal 2 2 2 2 2 24 3 7 2" xfId="14644"/>
    <cellStyle name="Normal 2 2 2 2 2 24 3 8" xfId="6317"/>
    <cellStyle name="Normal 2 2 2 2 2 24 3 8 2" xfId="13040"/>
    <cellStyle name="Normal 2 2 2 2 2 24 3 9" xfId="11259"/>
    <cellStyle name="Normal 2 2 2 2 2 24 4" xfId="4419"/>
    <cellStyle name="Normal 2 2 2 2 2 24 4 2" xfId="4629"/>
    <cellStyle name="Normal 2 2 2 2 2 24 4 2 2" xfId="4922"/>
    <cellStyle name="Normal 2 2 2 2 2 24 4 2 2 2" xfId="8665"/>
    <cellStyle name="Normal 2 2 2 2 2 24 4 2 2 2 2" xfId="15213"/>
    <cellStyle name="Normal 2 2 2 2 2 24 4 2 2 3" xfId="6946"/>
    <cellStyle name="Normal 2 2 2 2 2 24 4 2 2 3 2" xfId="13632"/>
    <cellStyle name="Normal 2 2 2 2 2 24 4 2 2 4" xfId="11847"/>
    <cellStyle name="Normal 2 2 2 2 2 24 4 2 3" xfId="5456"/>
    <cellStyle name="Normal 2 2 2 2 2 24 4 2 3 2" xfId="9199"/>
    <cellStyle name="Normal 2 2 2 2 2 24 4 2 3 2 2" xfId="15743"/>
    <cellStyle name="Normal 2 2 2 2 2 24 4 2 3 3" xfId="7480"/>
    <cellStyle name="Normal 2 2 2 2 2 24 4 2 3 3 2" xfId="14162"/>
    <cellStyle name="Normal 2 2 2 2 2 24 4 2 3 4" xfId="12377"/>
    <cellStyle name="Normal 2 2 2 2 2 24 4 2 4" xfId="5894"/>
    <cellStyle name="Normal 2 2 2 2 2 24 4 2 4 2" xfId="9635"/>
    <cellStyle name="Normal 2 2 2 2 2 24 4 2 4 2 2" xfId="16137"/>
    <cellStyle name="Normal 2 2 2 2 2 24 4 2 4 3" xfId="7916"/>
    <cellStyle name="Normal 2 2 2 2 2 24 4 2 4 3 2" xfId="14556"/>
    <cellStyle name="Normal 2 2 2 2 2 24 4 2 4 4" xfId="12787"/>
    <cellStyle name="Normal 2 2 2 2 2 24 4 2 5" xfId="9918"/>
    <cellStyle name="Normal 2 2 2 2 2 24 4 2 5 2" xfId="16399"/>
    <cellStyle name="Normal 2 2 2 2 2 24 4 2 6" xfId="8393"/>
    <cellStyle name="Normal 2 2 2 2 2 24 4 2 6 2" xfId="14950"/>
    <cellStyle name="Normal 2 2 2 2 2 24 4 2 7" xfId="6674"/>
    <cellStyle name="Normal 2 2 2 2 2 24 4 2 7 2" xfId="13364"/>
    <cellStyle name="Normal 2 2 2 2 2 24 4 2 8" xfId="11574"/>
    <cellStyle name="Normal 2 2 2 2 2 24 4 3" xfId="4921"/>
    <cellStyle name="Normal 2 2 2 2 2 24 4 3 2" xfId="8664"/>
    <cellStyle name="Normal 2 2 2 2 2 24 4 3 2 2" xfId="15212"/>
    <cellStyle name="Normal 2 2 2 2 2 24 4 3 3" xfId="6945"/>
    <cellStyle name="Normal 2 2 2 2 2 24 4 3 3 2" xfId="13631"/>
    <cellStyle name="Normal 2 2 2 2 2 24 4 3 4" xfId="11846"/>
    <cellStyle name="Normal 2 2 2 2 2 24 4 4" xfId="5259"/>
    <cellStyle name="Normal 2 2 2 2 2 24 4 4 2" xfId="9002"/>
    <cellStyle name="Normal 2 2 2 2 2 24 4 4 2 2" xfId="15546"/>
    <cellStyle name="Normal 2 2 2 2 2 24 4 4 3" xfId="7283"/>
    <cellStyle name="Normal 2 2 2 2 2 24 4 4 3 2" xfId="13965"/>
    <cellStyle name="Normal 2 2 2 2 2 24 4 4 4" xfId="12180"/>
    <cellStyle name="Normal 2 2 2 2 2 24 4 5" xfId="5697"/>
    <cellStyle name="Normal 2 2 2 2 2 24 4 5 2" xfId="9438"/>
    <cellStyle name="Normal 2 2 2 2 2 24 4 5 2 2" xfId="15940"/>
    <cellStyle name="Normal 2 2 2 2 2 24 4 5 3" xfId="7719"/>
    <cellStyle name="Normal 2 2 2 2 2 24 4 5 3 2" xfId="14359"/>
    <cellStyle name="Normal 2 2 2 2 2 24 4 5 4" xfId="12590"/>
    <cellStyle name="Normal 2 2 2 2 2 24 4 6" xfId="9917"/>
    <cellStyle name="Normal 2 2 2 2 2 24 4 6 2" xfId="16398"/>
    <cellStyle name="Normal 2 2 2 2 2 24 4 7" xfId="8196"/>
    <cellStyle name="Normal 2 2 2 2 2 24 4 7 2" xfId="14753"/>
    <cellStyle name="Normal 2 2 2 2 2 24 4 8" xfId="6477"/>
    <cellStyle name="Normal 2 2 2 2 2 24 4 8 2" xfId="13167"/>
    <cellStyle name="Normal 2 2 2 2 2 24 4 9" xfId="11375"/>
    <cellStyle name="Normal 2 2 2 2 2 24 5" xfId="4432"/>
    <cellStyle name="Normal 2 2 2 2 2 24 5 2" xfId="4641"/>
    <cellStyle name="Normal 2 2 2 2 2 24 5 2 2" xfId="4924"/>
    <cellStyle name="Normal 2 2 2 2 2 24 5 2 2 2" xfId="8667"/>
    <cellStyle name="Normal 2 2 2 2 2 24 5 2 2 2 2" xfId="15215"/>
    <cellStyle name="Normal 2 2 2 2 2 24 5 2 2 3" xfId="6948"/>
    <cellStyle name="Normal 2 2 2 2 2 24 5 2 2 3 2" xfId="13634"/>
    <cellStyle name="Normal 2 2 2 2 2 24 5 2 2 4" xfId="11849"/>
    <cellStyle name="Normal 2 2 2 2 2 24 5 2 3" xfId="5468"/>
    <cellStyle name="Normal 2 2 2 2 2 24 5 2 3 2" xfId="9211"/>
    <cellStyle name="Normal 2 2 2 2 2 24 5 2 3 2 2" xfId="15755"/>
    <cellStyle name="Normal 2 2 2 2 2 24 5 2 3 3" xfId="7492"/>
    <cellStyle name="Normal 2 2 2 2 2 24 5 2 3 3 2" xfId="14174"/>
    <cellStyle name="Normal 2 2 2 2 2 24 5 2 3 4" xfId="12389"/>
    <cellStyle name="Normal 2 2 2 2 2 24 5 2 4" xfId="5906"/>
    <cellStyle name="Normal 2 2 2 2 2 24 5 2 4 2" xfId="9647"/>
    <cellStyle name="Normal 2 2 2 2 2 24 5 2 4 2 2" xfId="16149"/>
    <cellStyle name="Normal 2 2 2 2 2 24 5 2 4 3" xfId="7928"/>
    <cellStyle name="Normal 2 2 2 2 2 24 5 2 4 3 2" xfId="14568"/>
    <cellStyle name="Normal 2 2 2 2 2 24 5 2 4 4" xfId="12799"/>
    <cellStyle name="Normal 2 2 2 2 2 24 5 2 5" xfId="9920"/>
    <cellStyle name="Normal 2 2 2 2 2 24 5 2 5 2" xfId="16401"/>
    <cellStyle name="Normal 2 2 2 2 2 24 5 2 6" xfId="8405"/>
    <cellStyle name="Normal 2 2 2 2 2 24 5 2 6 2" xfId="14962"/>
    <cellStyle name="Normal 2 2 2 2 2 24 5 2 7" xfId="6686"/>
    <cellStyle name="Normal 2 2 2 2 2 24 5 2 7 2" xfId="13376"/>
    <cellStyle name="Normal 2 2 2 2 2 24 5 2 8" xfId="11586"/>
    <cellStyle name="Normal 2 2 2 2 2 24 5 3" xfId="4923"/>
    <cellStyle name="Normal 2 2 2 2 2 24 5 3 2" xfId="8666"/>
    <cellStyle name="Normal 2 2 2 2 2 24 5 3 2 2" xfId="15214"/>
    <cellStyle name="Normal 2 2 2 2 2 24 5 3 3" xfId="6947"/>
    <cellStyle name="Normal 2 2 2 2 2 24 5 3 3 2" xfId="13633"/>
    <cellStyle name="Normal 2 2 2 2 2 24 5 3 4" xfId="11848"/>
    <cellStyle name="Normal 2 2 2 2 2 24 5 4" xfId="5271"/>
    <cellStyle name="Normal 2 2 2 2 2 24 5 4 2" xfId="9014"/>
    <cellStyle name="Normal 2 2 2 2 2 24 5 4 2 2" xfId="15558"/>
    <cellStyle name="Normal 2 2 2 2 2 24 5 4 3" xfId="7295"/>
    <cellStyle name="Normal 2 2 2 2 2 24 5 4 3 2" xfId="13977"/>
    <cellStyle name="Normal 2 2 2 2 2 24 5 4 4" xfId="12192"/>
    <cellStyle name="Normal 2 2 2 2 2 24 5 5" xfId="5709"/>
    <cellStyle name="Normal 2 2 2 2 2 24 5 5 2" xfId="9450"/>
    <cellStyle name="Normal 2 2 2 2 2 24 5 5 2 2" xfId="15952"/>
    <cellStyle name="Normal 2 2 2 2 2 24 5 5 3" xfId="7731"/>
    <cellStyle name="Normal 2 2 2 2 2 24 5 5 3 2" xfId="14371"/>
    <cellStyle name="Normal 2 2 2 2 2 24 5 5 4" xfId="12602"/>
    <cellStyle name="Normal 2 2 2 2 2 24 5 6" xfId="9919"/>
    <cellStyle name="Normal 2 2 2 2 2 24 5 6 2" xfId="16400"/>
    <cellStyle name="Normal 2 2 2 2 2 24 5 7" xfId="8208"/>
    <cellStyle name="Normal 2 2 2 2 2 24 5 7 2" xfId="14765"/>
    <cellStyle name="Normal 2 2 2 2 2 24 5 8" xfId="6489"/>
    <cellStyle name="Normal 2 2 2 2 2 24 5 8 2" xfId="13179"/>
    <cellStyle name="Normal 2 2 2 2 2 24 5 9" xfId="11387"/>
    <cellStyle name="Normal 2 2 2 2 2 24 6" xfId="4518"/>
    <cellStyle name="Normal 2 2 2 2 2 24 6 2" xfId="4925"/>
    <cellStyle name="Normal 2 2 2 2 2 24 6 2 2" xfId="8668"/>
    <cellStyle name="Normal 2 2 2 2 2 24 6 2 2 2" xfId="15216"/>
    <cellStyle name="Normal 2 2 2 2 2 24 6 2 3" xfId="6949"/>
    <cellStyle name="Normal 2 2 2 2 2 24 6 2 3 2" xfId="13635"/>
    <cellStyle name="Normal 2 2 2 2 2 24 6 2 4" xfId="11850"/>
    <cellStyle name="Normal 2 2 2 2 2 24 6 3" xfId="5345"/>
    <cellStyle name="Normal 2 2 2 2 2 24 6 3 2" xfId="9088"/>
    <cellStyle name="Normal 2 2 2 2 2 24 6 3 2 2" xfId="15632"/>
    <cellStyle name="Normal 2 2 2 2 2 24 6 3 3" xfId="7369"/>
    <cellStyle name="Normal 2 2 2 2 2 24 6 3 3 2" xfId="14051"/>
    <cellStyle name="Normal 2 2 2 2 2 24 6 3 4" xfId="12266"/>
    <cellStyle name="Normal 2 2 2 2 2 24 6 4" xfId="5783"/>
    <cellStyle name="Normal 2 2 2 2 2 24 6 4 2" xfId="9524"/>
    <cellStyle name="Normal 2 2 2 2 2 24 6 4 2 2" xfId="16026"/>
    <cellStyle name="Normal 2 2 2 2 2 24 6 4 3" xfId="7805"/>
    <cellStyle name="Normal 2 2 2 2 2 24 6 4 3 2" xfId="14445"/>
    <cellStyle name="Normal 2 2 2 2 2 24 6 4 4" xfId="12676"/>
    <cellStyle name="Normal 2 2 2 2 2 24 6 5" xfId="9921"/>
    <cellStyle name="Normal 2 2 2 2 2 24 6 5 2" xfId="16402"/>
    <cellStyle name="Normal 2 2 2 2 2 24 6 6" xfId="8282"/>
    <cellStyle name="Normal 2 2 2 2 2 24 6 6 2" xfId="14839"/>
    <cellStyle name="Normal 2 2 2 2 2 24 6 7" xfId="6563"/>
    <cellStyle name="Normal 2 2 2 2 2 24 6 7 2" xfId="13253"/>
    <cellStyle name="Normal 2 2 2 2 2 24 6 8" xfId="11463"/>
    <cellStyle name="Normal 2 2 2 2 2 24 7" xfId="4698"/>
    <cellStyle name="Normal 2 2 2 2 2 24 7 2" xfId="8443"/>
    <cellStyle name="Normal 2 2 2 2 2 24 7 2 2" xfId="14995"/>
    <cellStyle name="Normal 2 2 2 2 2 24 7 3" xfId="6724"/>
    <cellStyle name="Normal 2 2 2 2 2 24 7 3 2" xfId="13414"/>
    <cellStyle name="Normal 2 2 2 2 2 24 7 4" xfId="11628"/>
    <cellStyle name="Normal 2 2 2 2 2 24 8" xfId="5148"/>
    <cellStyle name="Normal 2 2 2 2 2 24 8 2" xfId="8891"/>
    <cellStyle name="Normal 2 2 2 2 2 24 8 2 2" xfId="15435"/>
    <cellStyle name="Normal 2 2 2 2 2 24 8 3" xfId="7172"/>
    <cellStyle name="Normal 2 2 2 2 2 24 8 3 2" xfId="13854"/>
    <cellStyle name="Normal 2 2 2 2 2 24 8 4" xfId="12069"/>
    <cellStyle name="Normal 2 2 2 2 2 24 9" xfId="5581"/>
    <cellStyle name="Normal 2 2 2 2 2 24 9 2" xfId="9322"/>
    <cellStyle name="Normal 2 2 2 2 2 24 9 2 2" xfId="15829"/>
    <cellStyle name="Normal 2 2 2 2 2 24 9 3" xfId="7603"/>
    <cellStyle name="Normal 2 2 2 2 2 24 9 3 2" xfId="14248"/>
    <cellStyle name="Normal 2 2 2 2 2 24 9 4" xfId="12474"/>
    <cellStyle name="Normal 2 2 2 2 2 3" xfId="4770"/>
    <cellStyle name="Normal 2 2 2 2 2 3 2" xfId="8513"/>
    <cellStyle name="Normal 2 2 2 2 2 3 2 2" xfId="15065"/>
    <cellStyle name="Normal 2 2 2 2 2 3 3" xfId="6794"/>
    <cellStyle name="Normal 2 2 2 2 2 3 3 2" xfId="13484"/>
    <cellStyle name="Normal 2 2 2 2 2 3 4" xfId="11699"/>
    <cellStyle name="Normal 2 2 2 2 2 4" xfId="5147"/>
    <cellStyle name="Normal 2 2 2 2 2 4 2" xfId="8890"/>
    <cellStyle name="Normal 2 2 2 2 2 4 2 2" xfId="15434"/>
    <cellStyle name="Normal 2 2 2 2 2 4 3" xfId="7171"/>
    <cellStyle name="Normal 2 2 2 2 2 4 3 2" xfId="13853"/>
    <cellStyle name="Normal 2 2 2 2 2 4 4" xfId="12068"/>
    <cellStyle name="Normal 2 2 2 2 2 5" xfId="5580"/>
    <cellStyle name="Normal 2 2 2 2 2 5 2" xfId="9321"/>
    <cellStyle name="Normal 2 2 2 2 2 5 2 2" xfId="15828"/>
    <cellStyle name="Normal 2 2 2 2 2 5 3" xfId="7602"/>
    <cellStyle name="Normal 2 2 2 2 2 5 3 2" xfId="14247"/>
    <cellStyle name="Normal 2 2 2 2 2 5 4" xfId="12473"/>
    <cellStyle name="Normal 2 2 2 2 2 6" xfId="9760"/>
    <cellStyle name="Normal 2 2 2 2 2 6 2" xfId="16251"/>
    <cellStyle name="Normal 2 2 2 2 2 7" xfId="8041"/>
    <cellStyle name="Normal 2 2 2 2 2 7 2" xfId="14641"/>
    <cellStyle name="Normal 2 2 2 2 2 8" xfId="6314"/>
    <cellStyle name="Normal 2 2 2 2 2 8 2" xfId="13037"/>
    <cellStyle name="Normal 2 2 2 2 2 9" xfId="11256"/>
    <cellStyle name="Normal 2 2 2 2 3" xfId="4109"/>
    <cellStyle name="Normal 2 2 2 2 3 2" xfId="4521"/>
    <cellStyle name="Normal 2 2 2 2 3 2 2" xfId="4926"/>
    <cellStyle name="Normal 2 2 2 2 3 2 2 2" xfId="8669"/>
    <cellStyle name="Normal 2 2 2 2 3 2 2 2 2" xfId="15217"/>
    <cellStyle name="Normal 2 2 2 2 3 2 2 3" xfId="6950"/>
    <cellStyle name="Normal 2 2 2 2 3 2 2 3 2" xfId="13636"/>
    <cellStyle name="Normal 2 2 2 2 3 2 2 4" xfId="11851"/>
    <cellStyle name="Normal 2 2 2 2 3 2 3" xfId="5348"/>
    <cellStyle name="Normal 2 2 2 2 3 2 3 2" xfId="9091"/>
    <cellStyle name="Normal 2 2 2 2 3 2 3 2 2" xfId="15635"/>
    <cellStyle name="Normal 2 2 2 2 3 2 3 3" xfId="7372"/>
    <cellStyle name="Normal 2 2 2 2 3 2 3 3 2" xfId="14054"/>
    <cellStyle name="Normal 2 2 2 2 3 2 3 4" xfId="12269"/>
    <cellStyle name="Normal 2 2 2 2 3 2 4" xfId="5786"/>
    <cellStyle name="Normal 2 2 2 2 3 2 4 2" xfId="9527"/>
    <cellStyle name="Normal 2 2 2 2 3 2 4 2 2" xfId="16029"/>
    <cellStyle name="Normal 2 2 2 2 3 2 4 3" xfId="7808"/>
    <cellStyle name="Normal 2 2 2 2 3 2 4 3 2" xfId="14448"/>
    <cellStyle name="Normal 2 2 2 2 3 2 4 4" xfId="12679"/>
    <cellStyle name="Normal 2 2 2 2 3 2 5" xfId="9922"/>
    <cellStyle name="Normal 2 2 2 2 3 2 5 2" xfId="16403"/>
    <cellStyle name="Normal 2 2 2 2 3 2 6" xfId="8285"/>
    <cellStyle name="Normal 2 2 2 2 3 2 6 2" xfId="14842"/>
    <cellStyle name="Normal 2 2 2 2 3 2 7" xfId="6566"/>
    <cellStyle name="Normal 2 2 2 2 3 2 7 2" xfId="13256"/>
    <cellStyle name="Normal 2 2 2 2 3 2 8" xfId="11466"/>
    <cellStyle name="Normal 2 2 2 2 3 3" xfId="4838"/>
    <cellStyle name="Normal 2 2 2 2 3 3 2" xfId="8581"/>
    <cellStyle name="Normal 2 2 2 2 3 3 2 2" xfId="15129"/>
    <cellStyle name="Normal 2 2 2 2 3 3 3" xfId="6862"/>
    <cellStyle name="Normal 2 2 2 2 3 3 3 2" xfId="13548"/>
    <cellStyle name="Normal 2 2 2 2 3 3 4" xfId="11763"/>
    <cellStyle name="Normal 2 2 2 2 3 4" xfId="5151"/>
    <cellStyle name="Normal 2 2 2 2 3 4 2" xfId="8894"/>
    <cellStyle name="Normal 2 2 2 2 3 4 2 2" xfId="15438"/>
    <cellStyle name="Normal 2 2 2 2 3 4 3" xfId="7175"/>
    <cellStyle name="Normal 2 2 2 2 3 4 3 2" xfId="13857"/>
    <cellStyle name="Normal 2 2 2 2 3 4 4" xfId="12072"/>
    <cellStyle name="Normal 2 2 2 2 3 5" xfId="5584"/>
    <cellStyle name="Normal 2 2 2 2 3 5 2" xfId="9325"/>
    <cellStyle name="Normal 2 2 2 2 3 5 2 2" xfId="15832"/>
    <cellStyle name="Normal 2 2 2 2 3 5 3" xfId="7606"/>
    <cellStyle name="Normal 2 2 2 2 3 5 3 2" xfId="14251"/>
    <cellStyle name="Normal 2 2 2 2 3 5 4" xfId="12477"/>
    <cellStyle name="Normal 2 2 2 2 3 6" xfId="9829"/>
    <cellStyle name="Normal 2 2 2 2 3 6 2" xfId="16315"/>
    <cellStyle name="Normal 2 2 2 2 3 7" xfId="8045"/>
    <cellStyle name="Normal 2 2 2 2 3 7 2" xfId="14645"/>
    <cellStyle name="Normal 2 2 2 2 3 8" xfId="6318"/>
    <cellStyle name="Normal 2 2 2 2 3 8 2" xfId="13041"/>
    <cellStyle name="Normal 2 2 2 2 3 9" xfId="11260"/>
    <cellStyle name="Normal 2 2 2 2 4" xfId="4473"/>
    <cellStyle name="Normal 2 2 2 2 4 2" xfId="4927"/>
    <cellStyle name="Normal 2 2 2 2 4 2 2" xfId="8670"/>
    <cellStyle name="Normal 2 2 2 2 4 2 2 2" xfId="15218"/>
    <cellStyle name="Normal 2 2 2 2 4 2 3" xfId="6951"/>
    <cellStyle name="Normal 2 2 2 2 4 2 3 2" xfId="13637"/>
    <cellStyle name="Normal 2 2 2 2 4 2 4" xfId="11852"/>
    <cellStyle name="Normal 2 2 2 2 4 3" xfId="5301"/>
    <cellStyle name="Normal 2 2 2 2 4 3 2" xfId="9044"/>
    <cellStyle name="Normal 2 2 2 2 4 3 2 2" xfId="15588"/>
    <cellStyle name="Normal 2 2 2 2 4 3 3" xfId="7325"/>
    <cellStyle name="Normal 2 2 2 2 4 3 3 2" xfId="14007"/>
    <cellStyle name="Normal 2 2 2 2 4 3 4" xfId="12222"/>
    <cellStyle name="Normal 2 2 2 2 4 4" xfId="5739"/>
    <cellStyle name="Normal 2 2 2 2 4 4 2" xfId="9480"/>
    <cellStyle name="Normal 2 2 2 2 4 4 2 2" xfId="15982"/>
    <cellStyle name="Normal 2 2 2 2 4 4 3" xfId="7761"/>
    <cellStyle name="Normal 2 2 2 2 4 4 3 2" xfId="14401"/>
    <cellStyle name="Normal 2 2 2 2 4 4 4" xfId="12632"/>
    <cellStyle name="Normal 2 2 2 2 4 5" xfId="9923"/>
    <cellStyle name="Normal 2 2 2 2 4 5 2" xfId="16404"/>
    <cellStyle name="Normal 2 2 2 2 4 6" xfId="8238"/>
    <cellStyle name="Normal 2 2 2 2 4 6 2" xfId="14795"/>
    <cellStyle name="Normal 2 2 2 2 4 7" xfId="6519"/>
    <cellStyle name="Normal 2 2 2 2 4 7 2" xfId="13209"/>
    <cellStyle name="Normal 2 2 2 2 4 8" xfId="11418"/>
    <cellStyle name="Normal 2 2 2 2 5" xfId="4679"/>
    <cellStyle name="Normal 2 2 2 2 5 2" xfId="8425"/>
    <cellStyle name="Normal 2 2 2 2 5 2 2" xfId="14977"/>
    <cellStyle name="Normal 2 2 2 2 5 3" xfId="6706"/>
    <cellStyle name="Normal 2 2 2 2 5 3 2" xfId="13396"/>
    <cellStyle name="Normal 2 2 2 2 5 4" xfId="11610"/>
    <cellStyle name="Normal 2 2 2 2 6" xfId="5100"/>
    <cellStyle name="Normal 2 2 2 2 6 2" xfId="8843"/>
    <cellStyle name="Normal 2 2 2 2 6 2 2" xfId="15391"/>
    <cellStyle name="Normal 2 2 2 2 6 3" xfId="7124"/>
    <cellStyle name="Normal 2 2 2 2 6 3 2" xfId="13810"/>
    <cellStyle name="Normal 2 2 2 2 6 4" xfId="12025"/>
    <cellStyle name="Normal 2 2 2 2 7" xfId="5537"/>
    <cellStyle name="Normal 2 2 2 2 7 2" xfId="9278"/>
    <cellStyle name="Normal 2 2 2 2 7 2 2" xfId="15785"/>
    <cellStyle name="Normal 2 2 2 2 7 3" xfId="7559"/>
    <cellStyle name="Normal 2 2 2 2 7 3 2" xfId="14204"/>
    <cellStyle name="Normal 2 2 2 2 7 4" xfId="12430"/>
    <cellStyle name="Normal 2 2 2 2 8" xfId="9659"/>
    <cellStyle name="Normal 2 2 2 2 8 2" xfId="16161"/>
    <cellStyle name="Normal 2 2 2 2 9" xfId="7958"/>
    <cellStyle name="Normal 2 2 2 2 9 2" xfId="14598"/>
    <cellStyle name="Normal 2 2 2 3" xfId="27"/>
    <cellStyle name="Normal 2 2 2 3 2" xfId="4462"/>
    <cellStyle name="Normal 2 2 2 3 2 2" xfId="4928"/>
    <cellStyle name="Normal 2 2 2 3 2 2 2" xfId="8671"/>
    <cellStyle name="Normal 2 2 2 3 2 2 2 2" xfId="15219"/>
    <cellStyle name="Normal 2 2 2 3 2 2 3" xfId="6952"/>
    <cellStyle name="Normal 2 2 2 3 2 2 3 2" xfId="13638"/>
    <cellStyle name="Normal 2 2 2 3 2 2 4" xfId="11853"/>
    <cellStyle name="Normal 2 2 2 3 2 3" xfId="5290"/>
    <cellStyle name="Normal 2 2 2 3 2 3 2" xfId="9033"/>
    <cellStyle name="Normal 2 2 2 3 2 3 2 2" xfId="15577"/>
    <cellStyle name="Normal 2 2 2 3 2 3 3" xfId="7314"/>
    <cellStyle name="Normal 2 2 2 3 2 3 3 2" xfId="13996"/>
    <cellStyle name="Normal 2 2 2 3 2 3 4" xfId="12211"/>
    <cellStyle name="Normal 2 2 2 3 2 4" xfId="5728"/>
    <cellStyle name="Normal 2 2 2 3 2 4 2" xfId="9469"/>
    <cellStyle name="Normal 2 2 2 3 2 4 2 2" xfId="15971"/>
    <cellStyle name="Normal 2 2 2 3 2 4 3" xfId="7750"/>
    <cellStyle name="Normal 2 2 2 3 2 4 3 2" xfId="14390"/>
    <cellStyle name="Normal 2 2 2 3 2 4 4" xfId="12621"/>
    <cellStyle name="Normal 2 2 2 3 2 5" xfId="9924"/>
    <cellStyle name="Normal 2 2 2 3 2 5 2" xfId="16405"/>
    <cellStyle name="Normal 2 2 2 3 2 6" xfId="8227"/>
    <cellStyle name="Normal 2 2 2 3 2 6 2" xfId="14784"/>
    <cellStyle name="Normal 2 2 2 3 2 7" xfId="6508"/>
    <cellStyle name="Normal 2 2 2 3 2 7 2" xfId="13198"/>
    <cellStyle name="Normal 2 2 2 3 2 8" xfId="11407"/>
    <cellStyle name="Normal 2 2 2 3 3" xfId="4769"/>
    <cellStyle name="Normal 2 2 2 3 3 2" xfId="8512"/>
    <cellStyle name="Normal 2 2 2 3 3 2 2" xfId="15064"/>
    <cellStyle name="Normal 2 2 2 3 3 3" xfId="6793"/>
    <cellStyle name="Normal 2 2 2 3 3 3 2" xfId="13483"/>
    <cellStyle name="Normal 2 2 2 3 3 4" xfId="11698"/>
    <cellStyle name="Normal 2 2 2 3 4" xfId="5089"/>
    <cellStyle name="Normal 2 2 2 3 4 2" xfId="8832"/>
    <cellStyle name="Normal 2 2 2 3 4 2 2" xfId="15380"/>
    <cellStyle name="Normal 2 2 2 3 4 3" xfId="7113"/>
    <cellStyle name="Normal 2 2 2 3 4 3 2" xfId="13799"/>
    <cellStyle name="Normal 2 2 2 3 4 4" xfId="12014"/>
    <cellStyle name="Normal 2 2 2 3 5" xfId="5526"/>
    <cellStyle name="Normal 2 2 2 3 5 2" xfId="9267"/>
    <cellStyle name="Normal 2 2 2 3 5 2 2" xfId="15774"/>
    <cellStyle name="Normal 2 2 2 3 5 3" xfId="7548"/>
    <cellStyle name="Normal 2 2 2 3 5 3 2" xfId="14193"/>
    <cellStyle name="Normal 2 2 2 3 5 4" xfId="12419"/>
    <cellStyle name="Normal 2 2 2 3 6" xfId="9759"/>
    <cellStyle name="Normal 2 2 2 3 6 2" xfId="16250"/>
    <cellStyle name="Normal 2 2 2 3 7" xfId="7947"/>
    <cellStyle name="Normal 2 2 2 3 7 2" xfId="14587"/>
    <cellStyle name="Normal 2 2 2 3 8" xfId="5926"/>
    <cellStyle name="Normal 2 2 2 3 8 2" xfId="12819"/>
    <cellStyle name="Normal 2 2 2 3 9" xfId="10261"/>
    <cellStyle name="Normal 2 2 2 4" xfId="4110"/>
    <cellStyle name="Normal 2 2 2 4 2" xfId="4522"/>
    <cellStyle name="Normal 2 2 2 4 2 2" xfId="4929"/>
    <cellStyle name="Normal 2 2 2 4 2 2 2" xfId="8672"/>
    <cellStyle name="Normal 2 2 2 4 2 2 2 2" xfId="15220"/>
    <cellStyle name="Normal 2 2 2 4 2 2 3" xfId="6953"/>
    <cellStyle name="Normal 2 2 2 4 2 2 3 2" xfId="13639"/>
    <cellStyle name="Normal 2 2 2 4 2 2 4" xfId="11854"/>
    <cellStyle name="Normal 2 2 2 4 2 3" xfId="5349"/>
    <cellStyle name="Normal 2 2 2 4 2 3 2" xfId="9092"/>
    <cellStyle name="Normal 2 2 2 4 2 3 2 2" xfId="15636"/>
    <cellStyle name="Normal 2 2 2 4 2 3 3" xfId="7373"/>
    <cellStyle name="Normal 2 2 2 4 2 3 3 2" xfId="14055"/>
    <cellStyle name="Normal 2 2 2 4 2 3 4" xfId="12270"/>
    <cellStyle name="Normal 2 2 2 4 2 4" xfId="5787"/>
    <cellStyle name="Normal 2 2 2 4 2 4 2" xfId="9528"/>
    <cellStyle name="Normal 2 2 2 4 2 4 2 2" xfId="16030"/>
    <cellStyle name="Normal 2 2 2 4 2 4 3" xfId="7809"/>
    <cellStyle name="Normal 2 2 2 4 2 4 3 2" xfId="14449"/>
    <cellStyle name="Normal 2 2 2 4 2 4 4" xfId="12680"/>
    <cellStyle name="Normal 2 2 2 4 2 5" xfId="9925"/>
    <cellStyle name="Normal 2 2 2 4 2 5 2" xfId="16406"/>
    <cellStyle name="Normal 2 2 2 4 2 6" xfId="8286"/>
    <cellStyle name="Normal 2 2 2 4 2 6 2" xfId="14843"/>
    <cellStyle name="Normal 2 2 2 4 2 7" xfId="6567"/>
    <cellStyle name="Normal 2 2 2 4 2 7 2" xfId="13257"/>
    <cellStyle name="Normal 2 2 2 4 2 8" xfId="11467"/>
    <cellStyle name="Normal 2 2 2 4 3" xfId="4827"/>
    <cellStyle name="Normal 2 2 2 4 3 2" xfId="8570"/>
    <cellStyle name="Normal 2 2 2 4 3 2 2" xfId="15118"/>
    <cellStyle name="Normal 2 2 2 4 3 3" xfId="6851"/>
    <cellStyle name="Normal 2 2 2 4 3 3 2" xfId="13537"/>
    <cellStyle name="Normal 2 2 2 4 3 4" xfId="11752"/>
    <cellStyle name="Normal 2 2 2 4 4" xfId="5152"/>
    <cellStyle name="Normal 2 2 2 4 4 2" xfId="8895"/>
    <cellStyle name="Normal 2 2 2 4 4 2 2" xfId="15439"/>
    <cellStyle name="Normal 2 2 2 4 4 3" xfId="7176"/>
    <cellStyle name="Normal 2 2 2 4 4 3 2" xfId="13858"/>
    <cellStyle name="Normal 2 2 2 4 4 4" xfId="12073"/>
    <cellStyle name="Normal 2 2 2 4 5" xfId="5585"/>
    <cellStyle name="Normal 2 2 2 4 5 2" xfId="9326"/>
    <cellStyle name="Normal 2 2 2 4 5 2 2" xfId="15833"/>
    <cellStyle name="Normal 2 2 2 4 5 3" xfId="7607"/>
    <cellStyle name="Normal 2 2 2 4 5 3 2" xfId="14252"/>
    <cellStyle name="Normal 2 2 2 4 5 4" xfId="12478"/>
    <cellStyle name="Normal 2 2 2 4 6" xfId="9818"/>
    <cellStyle name="Normal 2 2 2 4 6 2" xfId="16304"/>
    <cellStyle name="Normal 2 2 2 4 7" xfId="8046"/>
    <cellStyle name="Normal 2 2 2 4 7 2" xfId="14646"/>
    <cellStyle name="Normal 2 2 2 4 8" xfId="6319"/>
    <cellStyle name="Normal 2 2 2 4 8 2" xfId="13042"/>
    <cellStyle name="Normal 2 2 2 4 9" xfId="11261"/>
    <cellStyle name="Normal 2 2 2 5" xfId="4454"/>
    <cellStyle name="Normal 2 2 2 5 2" xfId="4930"/>
    <cellStyle name="Normal 2 2 2 5 2 2" xfId="8673"/>
    <cellStyle name="Normal 2 2 2 5 2 2 2" xfId="15221"/>
    <cellStyle name="Normal 2 2 2 5 2 3" xfId="6954"/>
    <cellStyle name="Normal 2 2 2 5 2 3 2" xfId="13640"/>
    <cellStyle name="Normal 2 2 2 5 2 4" xfId="11855"/>
    <cellStyle name="Normal 2 2 2 5 3" xfId="5282"/>
    <cellStyle name="Normal 2 2 2 5 3 2" xfId="9025"/>
    <cellStyle name="Normal 2 2 2 5 3 2 2" xfId="15569"/>
    <cellStyle name="Normal 2 2 2 5 3 3" xfId="7306"/>
    <cellStyle name="Normal 2 2 2 5 3 3 2" xfId="13988"/>
    <cellStyle name="Normal 2 2 2 5 3 4" xfId="12203"/>
    <cellStyle name="Normal 2 2 2 5 4" xfId="5720"/>
    <cellStyle name="Normal 2 2 2 5 4 2" xfId="9461"/>
    <cellStyle name="Normal 2 2 2 5 4 2 2" xfId="15963"/>
    <cellStyle name="Normal 2 2 2 5 4 3" xfId="7742"/>
    <cellStyle name="Normal 2 2 2 5 4 3 2" xfId="14382"/>
    <cellStyle name="Normal 2 2 2 5 4 4" xfId="12613"/>
    <cellStyle name="Normal 2 2 2 5 5" xfId="9926"/>
    <cellStyle name="Normal 2 2 2 5 5 2" xfId="16407"/>
    <cellStyle name="Normal 2 2 2 5 6" xfId="8219"/>
    <cellStyle name="Normal 2 2 2 5 6 2" xfId="14776"/>
    <cellStyle name="Normal 2 2 2 5 7" xfId="6500"/>
    <cellStyle name="Normal 2 2 2 5 7 2" xfId="13190"/>
    <cellStyle name="Normal 2 2 2 5 8" xfId="11399"/>
    <cellStyle name="Normal 2 2 2 6" xfId="4678"/>
    <cellStyle name="Normal 2 2 2 6 2" xfId="8424"/>
    <cellStyle name="Normal 2 2 2 6 2 2" xfId="14976"/>
    <cellStyle name="Normal 2 2 2 6 3" xfId="6705"/>
    <cellStyle name="Normal 2 2 2 6 3 2" xfId="13395"/>
    <cellStyle name="Normal 2 2 2 6 4" xfId="11609"/>
    <cellStyle name="Normal 2 2 2 7" xfId="5081"/>
    <cellStyle name="Normal 2 2 2 7 2" xfId="8824"/>
    <cellStyle name="Normal 2 2 2 7 2 2" xfId="15372"/>
    <cellStyle name="Normal 2 2 2 7 3" xfId="7105"/>
    <cellStyle name="Normal 2 2 2 7 3 2" xfId="13791"/>
    <cellStyle name="Normal 2 2 2 7 4" xfId="12006"/>
    <cellStyle name="Normal 2 2 2 8" xfId="5518"/>
    <cellStyle name="Normal 2 2 2 8 2" xfId="9259"/>
    <cellStyle name="Normal 2 2 2 8 2 2" xfId="15766"/>
    <cellStyle name="Normal 2 2 2 8 3" xfId="7540"/>
    <cellStyle name="Normal 2 2 2 8 3 2" xfId="14185"/>
    <cellStyle name="Normal 2 2 2 8 4" xfId="12411"/>
    <cellStyle name="Normal 2 2 2 9" xfId="9658"/>
    <cellStyle name="Normal 2 2 2 9 2" xfId="16160"/>
    <cellStyle name="Normal 2 2 3" xfId="33"/>
    <cellStyle name="Normal 2 2 3 10" xfId="5932"/>
    <cellStyle name="Normal 2 2 3 10 2" xfId="12825"/>
    <cellStyle name="Normal 2 2 3 11" xfId="10267"/>
    <cellStyle name="Normal 2 2 3 2" xfId="4111"/>
    <cellStyle name="Normal 2 2 3 2 2" xfId="4523"/>
    <cellStyle name="Normal 2 2 3 2 2 2" xfId="4931"/>
    <cellStyle name="Normal 2 2 3 2 2 2 2" xfId="8674"/>
    <cellStyle name="Normal 2 2 3 2 2 2 2 2" xfId="15222"/>
    <cellStyle name="Normal 2 2 3 2 2 2 3" xfId="6955"/>
    <cellStyle name="Normal 2 2 3 2 2 2 3 2" xfId="13641"/>
    <cellStyle name="Normal 2 2 3 2 2 2 4" xfId="11856"/>
    <cellStyle name="Normal 2 2 3 2 2 3" xfId="5350"/>
    <cellStyle name="Normal 2 2 3 2 2 3 2" xfId="9093"/>
    <cellStyle name="Normal 2 2 3 2 2 3 2 2" xfId="15637"/>
    <cellStyle name="Normal 2 2 3 2 2 3 3" xfId="7374"/>
    <cellStyle name="Normal 2 2 3 2 2 3 3 2" xfId="14056"/>
    <cellStyle name="Normal 2 2 3 2 2 3 4" xfId="12271"/>
    <cellStyle name="Normal 2 2 3 2 2 4" xfId="5788"/>
    <cellStyle name="Normal 2 2 3 2 2 4 2" xfId="9529"/>
    <cellStyle name="Normal 2 2 3 2 2 4 2 2" xfId="16031"/>
    <cellStyle name="Normal 2 2 3 2 2 4 3" xfId="7810"/>
    <cellStyle name="Normal 2 2 3 2 2 4 3 2" xfId="14450"/>
    <cellStyle name="Normal 2 2 3 2 2 4 4" xfId="12681"/>
    <cellStyle name="Normal 2 2 3 2 2 5" xfId="9927"/>
    <cellStyle name="Normal 2 2 3 2 2 5 2" xfId="16408"/>
    <cellStyle name="Normal 2 2 3 2 2 6" xfId="8287"/>
    <cellStyle name="Normal 2 2 3 2 2 6 2" xfId="14844"/>
    <cellStyle name="Normal 2 2 3 2 2 7" xfId="6568"/>
    <cellStyle name="Normal 2 2 3 2 2 7 2" xfId="13258"/>
    <cellStyle name="Normal 2 2 3 2 2 8" xfId="11468"/>
    <cellStyle name="Normal 2 2 3 2 3" xfId="4771"/>
    <cellStyle name="Normal 2 2 3 2 3 2" xfId="8514"/>
    <cellStyle name="Normal 2 2 3 2 3 2 2" xfId="15066"/>
    <cellStyle name="Normal 2 2 3 2 3 3" xfId="6795"/>
    <cellStyle name="Normal 2 2 3 2 3 3 2" xfId="13485"/>
    <cellStyle name="Normal 2 2 3 2 3 4" xfId="11700"/>
    <cellStyle name="Normal 2 2 3 2 4" xfId="5153"/>
    <cellStyle name="Normal 2 2 3 2 4 2" xfId="8896"/>
    <cellStyle name="Normal 2 2 3 2 4 2 2" xfId="15440"/>
    <cellStyle name="Normal 2 2 3 2 4 3" xfId="7177"/>
    <cellStyle name="Normal 2 2 3 2 4 3 2" xfId="13859"/>
    <cellStyle name="Normal 2 2 3 2 4 4" xfId="12074"/>
    <cellStyle name="Normal 2 2 3 2 5" xfId="5586"/>
    <cellStyle name="Normal 2 2 3 2 5 2" xfId="9327"/>
    <cellStyle name="Normal 2 2 3 2 5 2 2" xfId="15834"/>
    <cellStyle name="Normal 2 2 3 2 5 3" xfId="7608"/>
    <cellStyle name="Normal 2 2 3 2 5 3 2" xfId="14253"/>
    <cellStyle name="Normal 2 2 3 2 5 4" xfId="12479"/>
    <cellStyle name="Normal 2 2 3 2 6" xfId="9761"/>
    <cellStyle name="Normal 2 2 3 2 6 2" xfId="16252"/>
    <cellStyle name="Normal 2 2 3 2 7" xfId="8047"/>
    <cellStyle name="Normal 2 2 3 2 7 2" xfId="14647"/>
    <cellStyle name="Normal 2 2 3 2 8" xfId="6320"/>
    <cellStyle name="Normal 2 2 3 2 8 2" xfId="13043"/>
    <cellStyle name="Normal 2 2 3 2 9" xfId="11262"/>
    <cellStyle name="Normal 2 2 3 3" xfId="4112"/>
    <cellStyle name="Normal 2 2 3 3 2" xfId="4524"/>
    <cellStyle name="Normal 2 2 3 3 2 2" xfId="4932"/>
    <cellStyle name="Normal 2 2 3 3 2 2 2" xfId="8675"/>
    <cellStyle name="Normal 2 2 3 3 2 2 2 2" xfId="15223"/>
    <cellStyle name="Normal 2 2 3 3 2 2 3" xfId="6956"/>
    <cellStyle name="Normal 2 2 3 3 2 2 3 2" xfId="13642"/>
    <cellStyle name="Normal 2 2 3 3 2 2 4" xfId="11857"/>
    <cellStyle name="Normal 2 2 3 3 2 3" xfId="5351"/>
    <cellStyle name="Normal 2 2 3 3 2 3 2" xfId="9094"/>
    <cellStyle name="Normal 2 2 3 3 2 3 2 2" xfId="15638"/>
    <cellStyle name="Normal 2 2 3 3 2 3 3" xfId="7375"/>
    <cellStyle name="Normal 2 2 3 3 2 3 3 2" xfId="14057"/>
    <cellStyle name="Normal 2 2 3 3 2 3 4" xfId="12272"/>
    <cellStyle name="Normal 2 2 3 3 2 4" xfId="5789"/>
    <cellStyle name="Normal 2 2 3 3 2 4 2" xfId="9530"/>
    <cellStyle name="Normal 2 2 3 3 2 4 2 2" xfId="16032"/>
    <cellStyle name="Normal 2 2 3 3 2 4 3" xfId="7811"/>
    <cellStyle name="Normal 2 2 3 3 2 4 3 2" xfId="14451"/>
    <cellStyle name="Normal 2 2 3 3 2 4 4" xfId="12682"/>
    <cellStyle name="Normal 2 2 3 3 2 5" xfId="9928"/>
    <cellStyle name="Normal 2 2 3 3 2 5 2" xfId="16409"/>
    <cellStyle name="Normal 2 2 3 3 2 6" xfId="8288"/>
    <cellStyle name="Normal 2 2 3 3 2 6 2" xfId="14845"/>
    <cellStyle name="Normal 2 2 3 3 2 7" xfId="6569"/>
    <cellStyle name="Normal 2 2 3 3 2 7 2" xfId="13259"/>
    <cellStyle name="Normal 2 2 3 3 2 8" xfId="11469"/>
    <cellStyle name="Normal 2 2 3 3 3" xfId="4833"/>
    <cellStyle name="Normal 2 2 3 3 3 2" xfId="8576"/>
    <cellStyle name="Normal 2 2 3 3 3 2 2" xfId="15124"/>
    <cellStyle name="Normal 2 2 3 3 3 3" xfId="6857"/>
    <cellStyle name="Normal 2 2 3 3 3 3 2" xfId="13543"/>
    <cellStyle name="Normal 2 2 3 3 3 4" xfId="11758"/>
    <cellStyle name="Normal 2 2 3 3 4" xfId="5154"/>
    <cellStyle name="Normal 2 2 3 3 4 2" xfId="8897"/>
    <cellStyle name="Normal 2 2 3 3 4 2 2" xfId="15441"/>
    <cellStyle name="Normal 2 2 3 3 4 3" xfId="7178"/>
    <cellStyle name="Normal 2 2 3 3 4 3 2" xfId="13860"/>
    <cellStyle name="Normal 2 2 3 3 4 4" xfId="12075"/>
    <cellStyle name="Normal 2 2 3 3 5" xfId="5587"/>
    <cellStyle name="Normal 2 2 3 3 5 2" xfId="9328"/>
    <cellStyle name="Normal 2 2 3 3 5 2 2" xfId="15835"/>
    <cellStyle name="Normal 2 2 3 3 5 3" xfId="7609"/>
    <cellStyle name="Normal 2 2 3 3 5 3 2" xfId="14254"/>
    <cellStyle name="Normal 2 2 3 3 5 4" xfId="12480"/>
    <cellStyle name="Normal 2 2 3 3 6" xfId="9824"/>
    <cellStyle name="Normal 2 2 3 3 6 2" xfId="16310"/>
    <cellStyle name="Normal 2 2 3 3 7" xfId="8048"/>
    <cellStyle name="Normal 2 2 3 3 7 2" xfId="14648"/>
    <cellStyle name="Normal 2 2 3 3 8" xfId="6321"/>
    <cellStyle name="Normal 2 2 3 3 8 2" xfId="13044"/>
    <cellStyle name="Normal 2 2 3 3 9" xfId="11263"/>
    <cellStyle name="Normal 2 2 3 4" xfId="4468"/>
    <cellStyle name="Normal 2 2 3 4 2" xfId="4933"/>
    <cellStyle name="Normal 2 2 3 4 2 2" xfId="8676"/>
    <cellStyle name="Normal 2 2 3 4 2 2 2" xfId="15224"/>
    <cellStyle name="Normal 2 2 3 4 2 3" xfId="6957"/>
    <cellStyle name="Normal 2 2 3 4 2 3 2" xfId="13643"/>
    <cellStyle name="Normal 2 2 3 4 2 4" xfId="11858"/>
    <cellStyle name="Normal 2 2 3 4 3" xfId="5296"/>
    <cellStyle name="Normal 2 2 3 4 3 2" xfId="9039"/>
    <cellStyle name="Normal 2 2 3 4 3 2 2" xfId="15583"/>
    <cellStyle name="Normal 2 2 3 4 3 3" xfId="7320"/>
    <cellStyle name="Normal 2 2 3 4 3 3 2" xfId="14002"/>
    <cellStyle name="Normal 2 2 3 4 3 4" xfId="12217"/>
    <cellStyle name="Normal 2 2 3 4 4" xfId="5734"/>
    <cellStyle name="Normal 2 2 3 4 4 2" xfId="9475"/>
    <cellStyle name="Normal 2 2 3 4 4 2 2" xfId="15977"/>
    <cellStyle name="Normal 2 2 3 4 4 3" xfId="7756"/>
    <cellStyle name="Normal 2 2 3 4 4 3 2" xfId="14396"/>
    <cellStyle name="Normal 2 2 3 4 4 4" xfId="12627"/>
    <cellStyle name="Normal 2 2 3 4 5" xfId="9929"/>
    <cellStyle name="Normal 2 2 3 4 5 2" xfId="16410"/>
    <cellStyle name="Normal 2 2 3 4 6" xfId="8233"/>
    <cellStyle name="Normal 2 2 3 4 6 2" xfId="14790"/>
    <cellStyle name="Normal 2 2 3 4 7" xfId="6514"/>
    <cellStyle name="Normal 2 2 3 4 7 2" xfId="13204"/>
    <cellStyle name="Normal 2 2 3 4 8" xfId="11413"/>
    <cellStyle name="Normal 2 2 3 5" xfId="4680"/>
    <cellStyle name="Normal 2 2 3 5 2" xfId="8426"/>
    <cellStyle name="Normal 2 2 3 5 2 2" xfId="14978"/>
    <cellStyle name="Normal 2 2 3 5 3" xfId="6707"/>
    <cellStyle name="Normal 2 2 3 5 3 2" xfId="13397"/>
    <cellStyle name="Normal 2 2 3 5 4" xfId="11611"/>
    <cellStyle name="Normal 2 2 3 6" xfId="5095"/>
    <cellStyle name="Normal 2 2 3 6 2" xfId="8838"/>
    <cellStyle name="Normal 2 2 3 6 2 2" xfId="15386"/>
    <cellStyle name="Normal 2 2 3 6 3" xfId="7119"/>
    <cellStyle name="Normal 2 2 3 6 3 2" xfId="13805"/>
    <cellStyle name="Normal 2 2 3 6 4" xfId="12020"/>
    <cellStyle name="Normal 2 2 3 7" xfId="5532"/>
    <cellStyle name="Normal 2 2 3 7 2" xfId="9273"/>
    <cellStyle name="Normal 2 2 3 7 2 2" xfId="15780"/>
    <cellStyle name="Normal 2 2 3 7 3" xfId="7554"/>
    <cellStyle name="Normal 2 2 3 7 3 2" xfId="14199"/>
    <cellStyle name="Normal 2 2 3 7 4" xfId="12425"/>
    <cellStyle name="Normal 2 2 3 8" xfId="9660"/>
    <cellStyle name="Normal 2 2 3 8 2" xfId="16162"/>
    <cellStyle name="Normal 2 2 3 9" xfId="7953"/>
    <cellStyle name="Normal 2 2 3 9 2" xfId="14593"/>
    <cellStyle name="Normal 2 2 4" xfId="22"/>
    <cellStyle name="Normal 2 2 4 2" xfId="4458"/>
    <cellStyle name="Normal 2 2 4 2 2" xfId="4934"/>
    <cellStyle name="Normal 2 2 4 2 2 2" xfId="8677"/>
    <cellStyle name="Normal 2 2 4 2 2 2 2" xfId="15225"/>
    <cellStyle name="Normal 2 2 4 2 2 3" xfId="6958"/>
    <cellStyle name="Normal 2 2 4 2 2 3 2" xfId="13644"/>
    <cellStyle name="Normal 2 2 4 2 2 4" xfId="11859"/>
    <cellStyle name="Normal 2 2 4 2 3" xfId="5286"/>
    <cellStyle name="Normal 2 2 4 2 3 2" xfId="9029"/>
    <cellStyle name="Normal 2 2 4 2 3 2 2" xfId="15573"/>
    <cellStyle name="Normal 2 2 4 2 3 3" xfId="7310"/>
    <cellStyle name="Normal 2 2 4 2 3 3 2" xfId="13992"/>
    <cellStyle name="Normal 2 2 4 2 3 4" xfId="12207"/>
    <cellStyle name="Normal 2 2 4 2 4" xfId="5724"/>
    <cellStyle name="Normal 2 2 4 2 4 2" xfId="9465"/>
    <cellStyle name="Normal 2 2 4 2 4 2 2" xfId="15967"/>
    <cellStyle name="Normal 2 2 4 2 4 3" xfId="7746"/>
    <cellStyle name="Normal 2 2 4 2 4 3 2" xfId="14386"/>
    <cellStyle name="Normal 2 2 4 2 4 4" xfId="12617"/>
    <cellStyle name="Normal 2 2 4 2 5" xfId="9930"/>
    <cellStyle name="Normal 2 2 4 2 5 2" xfId="16411"/>
    <cellStyle name="Normal 2 2 4 2 6" xfId="8223"/>
    <cellStyle name="Normal 2 2 4 2 6 2" xfId="14780"/>
    <cellStyle name="Normal 2 2 4 2 7" xfId="6504"/>
    <cellStyle name="Normal 2 2 4 2 7 2" xfId="13194"/>
    <cellStyle name="Normal 2 2 4 2 8" xfId="11403"/>
    <cellStyle name="Normal 2 2 4 3" xfId="4768"/>
    <cellStyle name="Normal 2 2 4 3 2" xfId="8511"/>
    <cellStyle name="Normal 2 2 4 3 2 2" xfId="15063"/>
    <cellStyle name="Normal 2 2 4 3 3" xfId="6792"/>
    <cellStyle name="Normal 2 2 4 3 3 2" xfId="13482"/>
    <cellStyle name="Normal 2 2 4 3 4" xfId="11697"/>
    <cellStyle name="Normal 2 2 4 4" xfId="5085"/>
    <cellStyle name="Normal 2 2 4 4 2" xfId="8828"/>
    <cellStyle name="Normal 2 2 4 4 2 2" xfId="15376"/>
    <cellStyle name="Normal 2 2 4 4 3" xfId="7109"/>
    <cellStyle name="Normal 2 2 4 4 3 2" xfId="13795"/>
    <cellStyle name="Normal 2 2 4 4 4" xfId="12010"/>
    <cellStyle name="Normal 2 2 4 5" xfId="5522"/>
    <cellStyle name="Normal 2 2 4 5 2" xfId="9263"/>
    <cellStyle name="Normal 2 2 4 5 2 2" xfId="15770"/>
    <cellStyle name="Normal 2 2 4 5 3" xfId="7544"/>
    <cellStyle name="Normal 2 2 4 5 3 2" xfId="14189"/>
    <cellStyle name="Normal 2 2 4 5 4" xfId="12415"/>
    <cellStyle name="Normal 2 2 4 6" xfId="9758"/>
    <cellStyle name="Normal 2 2 4 6 2" xfId="16249"/>
    <cellStyle name="Normal 2 2 4 7" xfId="7943"/>
    <cellStyle name="Normal 2 2 4 7 2" xfId="14583"/>
    <cellStyle name="Normal 2 2 4 8" xfId="5922"/>
    <cellStyle name="Normal 2 2 4 8 2" xfId="12815"/>
    <cellStyle name="Normal 2 2 4 9" xfId="10257"/>
    <cellStyle name="Normal 2 2 5" xfId="4113"/>
    <cellStyle name="Normal 2 2 5 2" xfId="4525"/>
    <cellStyle name="Normal 2 2 5 2 2" xfId="4935"/>
    <cellStyle name="Normal 2 2 5 2 2 2" xfId="8678"/>
    <cellStyle name="Normal 2 2 5 2 2 2 2" xfId="15226"/>
    <cellStyle name="Normal 2 2 5 2 2 3" xfId="6959"/>
    <cellStyle name="Normal 2 2 5 2 2 3 2" xfId="13645"/>
    <cellStyle name="Normal 2 2 5 2 2 4" xfId="11860"/>
    <cellStyle name="Normal 2 2 5 2 3" xfId="5352"/>
    <cellStyle name="Normal 2 2 5 2 3 2" xfId="9095"/>
    <cellStyle name="Normal 2 2 5 2 3 2 2" xfId="15639"/>
    <cellStyle name="Normal 2 2 5 2 3 3" xfId="7376"/>
    <cellStyle name="Normal 2 2 5 2 3 3 2" xfId="14058"/>
    <cellStyle name="Normal 2 2 5 2 3 4" xfId="12273"/>
    <cellStyle name="Normal 2 2 5 2 4" xfId="5790"/>
    <cellStyle name="Normal 2 2 5 2 4 2" xfId="9531"/>
    <cellStyle name="Normal 2 2 5 2 4 2 2" xfId="16033"/>
    <cellStyle name="Normal 2 2 5 2 4 3" xfId="7812"/>
    <cellStyle name="Normal 2 2 5 2 4 3 2" xfId="14452"/>
    <cellStyle name="Normal 2 2 5 2 4 4" xfId="12683"/>
    <cellStyle name="Normal 2 2 5 2 5" xfId="9931"/>
    <cellStyle name="Normal 2 2 5 2 5 2" xfId="16412"/>
    <cellStyle name="Normal 2 2 5 2 6" xfId="8289"/>
    <cellStyle name="Normal 2 2 5 2 6 2" xfId="14846"/>
    <cellStyle name="Normal 2 2 5 2 7" xfId="6570"/>
    <cellStyle name="Normal 2 2 5 2 7 2" xfId="13260"/>
    <cellStyle name="Normal 2 2 5 2 8" xfId="11470"/>
    <cellStyle name="Normal 2 2 5 3" xfId="4823"/>
    <cellStyle name="Normal 2 2 5 3 2" xfId="8566"/>
    <cellStyle name="Normal 2 2 5 3 2 2" xfId="15114"/>
    <cellStyle name="Normal 2 2 5 3 3" xfId="6847"/>
    <cellStyle name="Normal 2 2 5 3 3 2" xfId="13533"/>
    <cellStyle name="Normal 2 2 5 3 4" xfId="11748"/>
    <cellStyle name="Normal 2 2 5 4" xfId="5155"/>
    <cellStyle name="Normal 2 2 5 4 2" xfId="8898"/>
    <cellStyle name="Normal 2 2 5 4 2 2" xfId="15442"/>
    <cellStyle name="Normal 2 2 5 4 3" xfId="7179"/>
    <cellStyle name="Normal 2 2 5 4 3 2" xfId="13861"/>
    <cellStyle name="Normal 2 2 5 4 4" xfId="12076"/>
    <cellStyle name="Normal 2 2 5 5" xfId="5588"/>
    <cellStyle name="Normal 2 2 5 5 2" xfId="9329"/>
    <cellStyle name="Normal 2 2 5 5 2 2" xfId="15836"/>
    <cellStyle name="Normal 2 2 5 5 3" xfId="7610"/>
    <cellStyle name="Normal 2 2 5 5 3 2" xfId="14255"/>
    <cellStyle name="Normal 2 2 5 5 4" xfId="12481"/>
    <cellStyle name="Normal 2 2 5 6" xfId="9814"/>
    <cellStyle name="Normal 2 2 5 6 2" xfId="16300"/>
    <cellStyle name="Normal 2 2 5 7" xfId="8049"/>
    <cellStyle name="Normal 2 2 5 7 2" xfId="14649"/>
    <cellStyle name="Normal 2 2 5 8" xfId="6322"/>
    <cellStyle name="Normal 2 2 5 8 2" xfId="13045"/>
    <cellStyle name="Normal 2 2 5 9" xfId="11264"/>
    <cellStyle name="Normal 2 2 6" xfId="4405"/>
    <cellStyle name="Normal 2 2 6 2" xfId="4619"/>
    <cellStyle name="Normal 2 2 6 2 2" xfId="4937"/>
    <cellStyle name="Normal 2 2 6 2 2 2" xfId="8680"/>
    <cellStyle name="Normal 2 2 6 2 2 2 2" xfId="15228"/>
    <cellStyle name="Normal 2 2 6 2 2 3" xfId="6961"/>
    <cellStyle name="Normal 2 2 6 2 2 3 2" xfId="13647"/>
    <cellStyle name="Normal 2 2 6 2 2 4" xfId="11862"/>
    <cellStyle name="Normal 2 2 6 2 3" xfId="5446"/>
    <cellStyle name="Normal 2 2 6 2 3 2" xfId="9189"/>
    <cellStyle name="Normal 2 2 6 2 3 2 2" xfId="15733"/>
    <cellStyle name="Normal 2 2 6 2 3 3" xfId="7470"/>
    <cellStyle name="Normal 2 2 6 2 3 3 2" xfId="14152"/>
    <cellStyle name="Normal 2 2 6 2 3 4" xfId="12367"/>
    <cellStyle name="Normal 2 2 6 2 4" xfId="5884"/>
    <cellStyle name="Normal 2 2 6 2 4 2" xfId="9625"/>
    <cellStyle name="Normal 2 2 6 2 4 2 2" xfId="16127"/>
    <cellStyle name="Normal 2 2 6 2 4 3" xfId="7906"/>
    <cellStyle name="Normal 2 2 6 2 4 3 2" xfId="14546"/>
    <cellStyle name="Normal 2 2 6 2 4 4" xfId="12777"/>
    <cellStyle name="Normal 2 2 6 2 5" xfId="9933"/>
    <cellStyle name="Normal 2 2 6 2 5 2" xfId="16414"/>
    <cellStyle name="Normal 2 2 6 2 6" xfId="8383"/>
    <cellStyle name="Normal 2 2 6 2 6 2" xfId="14940"/>
    <cellStyle name="Normal 2 2 6 2 7" xfId="6664"/>
    <cellStyle name="Normal 2 2 6 2 7 2" xfId="13354"/>
    <cellStyle name="Normal 2 2 6 2 8" xfId="11564"/>
    <cellStyle name="Normal 2 2 6 3" xfId="4936"/>
    <cellStyle name="Normal 2 2 6 3 2" xfId="8679"/>
    <cellStyle name="Normal 2 2 6 3 2 2" xfId="15227"/>
    <cellStyle name="Normal 2 2 6 3 3" xfId="6960"/>
    <cellStyle name="Normal 2 2 6 3 3 2" xfId="13646"/>
    <cellStyle name="Normal 2 2 6 3 4" xfId="11861"/>
    <cellStyle name="Normal 2 2 6 4" xfId="5249"/>
    <cellStyle name="Normal 2 2 6 4 2" xfId="8992"/>
    <cellStyle name="Normal 2 2 6 4 2 2" xfId="15536"/>
    <cellStyle name="Normal 2 2 6 4 3" xfId="7273"/>
    <cellStyle name="Normal 2 2 6 4 3 2" xfId="13955"/>
    <cellStyle name="Normal 2 2 6 4 4" xfId="12170"/>
    <cellStyle name="Normal 2 2 6 5" xfId="5687"/>
    <cellStyle name="Normal 2 2 6 5 2" xfId="9428"/>
    <cellStyle name="Normal 2 2 6 5 2 2" xfId="15930"/>
    <cellStyle name="Normal 2 2 6 5 3" xfId="7709"/>
    <cellStyle name="Normal 2 2 6 5 3 2" xfId="14349"/>
    <cellStyle name="Normal 2 2 6 5 4" xfId="12580"/>
    <cellStyle name="Normal 2 2 6 6" xfId="9932"/>
    <cellStyle name="Normal 2 2 6 6 2" xfId="16413"/>
    <cellStyle name="Normal 2 2 6 7" xfId="8186"/>
    <cellStyle name="Normal 2 2 6 7 2" xfId="14743"/>
    <cellStyle name="Normal 2 2 6 8" xfId="6467"/>
    <cellStyle name="Normal 2 2 6 8 2" xfId="13157"/>
    <cellStyle name="Normal 2 2 6 9" xfId="11363"/>
    <cellStyle name="Normal 2 2 7" xfId="4422"/>
    <cellStyle name="Normal 2 2 7 2" xfId="4631"/>
    <cellStyle name="Normal 2 2 7 2 2" xfId="4939"/>
    <cellStyle name="Normal 2 2 7 2 2 2" xfId="8682"/>
    <cellStyle name="Normal 2 2 7 2 2 2 2" xfId="15230"/>
    <cellStyle name="Normal 2 2 7 2 2 3" xfId="6963"/>
    <cellStyle name="Normal 2 2 7 2 2 3 2" xfId="13649"/>
    <cellStyle name="Normal 2 2 7 2 2 4" xfId="11864"/>
    <cellStyle name="Normal 2 2 7 2 3" xfId="5458"/>
    <cellStyle name="Normal 2 2 7 2 3 2" xfId="9201"/>
    <cellStyle name="Normal 2 2 7 2 3 2 2" xfId="15745"/>
    <cellStyle name="Normal 2 2 7 2 3 3" xfId="7482"/>
    <cellStyle name="Normal 2 2 7 2 3 3 2" xfId="14164"/>
    <cellStyle name="Normal 2 2 7 2 3 4" xfId="12379"/>
    <cellStyle name="Normal 2 2 7 2 4" xfId="5896"/>
    <cellStyle name="Normal 2 2 7 2 4 2" xfId="9637"/>
    <cellStyle name="Normal 2 2 7 2 4 2 2" xfId="16139"/>
    <cellStyle name="Normal 2 2 7 2 4 3" xfId="7918"/>
    <cellStyle name="Normal 2 2 7 2 4 3 2" xfId="14558"/>
    <cellStyle name="Normal 2 2 7 2 4 4" xfId="12789"/>
    <cellStyle name="Normal 2 2 7 2 5" xfId="9935"/>
    <cellStyle name="Normal 2 2 7 2 5 2" xfId="16416"/>
    <cellStyle name="Normal 2 2 7 2 6" xfId="8395"/>
    <cellStyle name="Normal 2 2 7 2 6 2" xfId="14952"/>
    <cellStyle name="Normal 2 2 7 2 7" xfId="6676"/>
    <cellStyle name="Normal 2 2 7 2 7 2" xfId="13366"/>
    <cellStyle name="Normal 2 2 7 2 8" xfId="11576"/>
    <cellStyle name="Normal 2 2 7 3" xfId="4938"/>
    <cellStyle name="Normal 2 2 7 3 2" xfId="8681"/>
    <cellStyle name="Normal 2 2 7 3 2 2" xfId="15229"/>
    <cellStyle name="Normal 2 2 7 3 3" xfId="6962"/>
    <cellStyle name="Normal 2 2 7 3 3 2" xfId="13648"/>
    <cellStyle name="Normal 2 2 7 3 4" xfId="11863"/>
    <cellStyle name="Normal 2 2 7 4" xfId="5261"/>
    <cellStyle name="Normal 2 2 7 4 2" xfId="9004"/>
    <cellStyle name="Normal 2 2 7 4 2 2" xfId="15548"/>
    <cellStyle name="Normal 2 2 7 4 3" xfId="7285"/>
    <cellStyle name="Normal 2 2 7 4 3 2" xfId="13967"/>
    <cellStyle name="Normal 2 2 7 4 4" xfId="12182"/>
    <cellStyle name="Normal 2 2 7 5" xfId="5699"/>
    <cellStyle name="Normal 2 2 7 5 2" xfId="9440"/>
    <cellStyle name="Normal 2 2 7 5 2 2" xfId="15942"/>
    <cellStyle name="Normal 2 2 7 5 3" xfId="7721"/>
    <cellStyle name="Normal 2 2 7 5 3 2" xfId="14361"/>
    <cellStyle name="Normal 2 2 7 5 4" xfId="12592"/>
    <cellStyle name="Normal 2 2 7 6" xfId="9934"/>
    <cellStyle name="Normal 2 2 7 6 2" xfId="16415"/>
    <cellStyle name="Normal 2 2 7 7" xfId="8198"/>
    <cellStyle name="Normal 2 2 7 7 2" xfId="14755"/>
    <cellStyle name="Normal 2 2 7 8" xfId="6479"/>
    <cellStyle name="Normal 2 2 7 8 2" xfId="13169"/>
    <cellStyle name="Normal 2 2 7 9" xfId="11377"/>
    <cellStyle name="Normal 2 2 8" xfId="4449"/>
    <cellStyle name="Normal 2 2 8 2" xfId="4940"/>
    <cellStyle name="Normal 2 2 8 2 2" xfId="8683"/>
    <cellStyle name="Normal 2 2 8 2 2 2" xfId="15231"/>
    <cellStyle name="Normal 2 2 8 2 3" xfId="6964"/>
    <cellStyle name="Normal 2 2 8 2 3 2" xfId="13650"/>
    <cellStyle name="Normal 2 2 8 2 4" xfId="11865"/>
    <cellStyle name="Normal 2 2 8 3" xfId="5277"/>
    <cellStyle name="Normal 2 2 8 3 2" xfId="9020"/>
    <cellStyle name="Normal 2 2 8 3 2 2" xfId="15564"/>
    <cellStyle name="Normal 2 2 8 3 3" xfId="7301"/>
    <cellStyle name="Normal 2 2 8 3 3 2" xfId="13983"/>
    <cellStyle name="Normal 2 2 8 3 4" xfId="12198"/>
    <cellStyle name="Normal 2 2 8 4" xfId="5715"/>
    <cellStyle name="Normal 2 2 8 4 2" xfId="9456"/>
    <cellStyle name="Normal 2 2 8 4 2 2" xfId="15958"/>
    <cellStyle name="Normal 2 2 8 4 3" xfId="7737"/>
    <cellStyle name="Normal 2 2 8 4 3 2" xfId="14377"/>
    <cellStyle name="Normal 2 2 8 4 4" xfId="12608"/>
    <cellStyle name="Normal 2 2 8 5" xfId="9936"/>
    <cellStyle name="Normal 2 2 8 5 2" xfId="16417"/>
    <cellStyle name="Normal 2 2 8 6" xfId="8214"/>
    <cellStyle name="Normal 2 2 8 6 2" xfId="14771"/>
    <cellStyle name="Normal 2 2 8 7" xfId="6495"/>
    <cellStyle name="Normal 2 2 8 7 2" xfId="13185"/>
    <cellStyle name="Normal 2 2 8 8" xfId="11394"/>
    <cellStyle name="Normal 2 2 9" xfId="4677"/>
    <cellStyle name="Normal 2 2 9 2" xfId="8423"/>
    <cellStyle name="Normal 2 2 9 2 2" xfId="14975"/>
    <cellStyle name="Normal 2 2 9 3" xfId="6704"/>
    <cellStyle name="Normal 2 2 9 3 2" xfId="13394"/>
    <cellStyle name="Normal 2 2 9 4" xfId="11608"/>
    <cellStyle name="Normal 2 3" xfId="15"/>
    <cellStyle name="Normal 2 3 2" xfId="37"/>
    <cellStyle name="Normal 2 3 3" xfId="26"/>
    <cellStyle name="Normal 2 3 3 2" xfId="4461"/>
    <cellStyle name="Normal 2 3 3 2 2" xfId="4941"/>
    <cellStyle name="Normal 2 3 3 2 2 2" xfId="8684"/>
    <cellStyle name="Normal 2 3 3 2 2 2 2" xfId="15232"/>
    <cellStyle name="Normal 2 3 3 2 2 3" xfId="6965"/>
    <cellStyle name="Normal 2 3 3 2 2 3 2" xfId="13651"/>
    <cellStyle name="Normal 2 3 3 2 2 4" xfId="11866"/>
    <cellStyle name="Normal 2 3 3 2 3" xfId="5289"/>
    <cellStyle name="Normal 2 3 3 2 3 2" xfId="9032"/>
    <cellStyle name="Normal 2 3 3 2 3 2 2" xfId="15576"/>
    <cellStyle name="Normal 2 3 3 2 3 3" xfId="7313"/>
    <cellStyle name="Normal 2 3 3 2 3 3 2" xfId="13995"/>
    <cellStyle name="Normal 2 3 3 2 3 4" xfId="12210"/>
    <cellStyle name="Normal 2 3 3 2 4" xfId="5727"/>
    <cellStyle name="Normal 2 3 3 2 4 2" xfId="9468"/>
    <cellStyle name="Normal 2 3 3 2 4 2 2" xfId="15970"/>
    <cellStyle name="Normal 2 3 3 2 4 3" xfId="7749"/>
    <cellStyle name="Normal 2 3 3 2 4 3 2" xfId="14389"/>
    <cellStyle name="Normal 2 3 3 2 4 4" xfId="12620"/>
    <cellStyle name="Normal 2 3 3 2 5" xfId="9937"/>
    <cellStyle name="Normal 2 3 3 2 5 2" xfId="16418"/>
    <cellStyle name="Normal 2 3 3 2 6" xfId="8226"/>
    <cellStyle name="Normal 2 3 3 2 6 2" xfId="14783"/>
    <cellStyle name="Normal 2 3 3 2 7" xfId="6507"/>
    <cellStyle name="Normal 2 3 3 2 7 2" xfId="13197"/>
    <cellStyle name="Normal 2 3 3 2 8" xfId="11406"/>
    <cellStyle name="Normal 2 3 3 3" xfId="4772"/>
    <cellStyle name="Normal 2 3 3 3 2" xfId="8515"/>
    <cellStyle name="Normal 2 3 3 3 2 2" xfId="15067"/>
    <cellStyle name="Normal 2 3 3 3 3" xfId="6796"/>
    <cellStyle name="Normal 2 3 3 3 3 2" xfId="13486"/>
    <cellStyle name="Normal 2 3 3 3 4" xfId="11701"/>
    <cellStyle name="Normal 2 3 3 4" xfId="5088"/>
    <cellStyle name="Normal 2 3 3 4 2" xfId="8831"/>
    <cellStyle name="Normal 2 3 3 4 2 2" xfId="15379"/>
    <cellStyle name="Normal 2 3 3 4 3" xfId="7112"/>
    <cellStyle name="Normal 2 3 3 4 3 2" xfId="13798"/>
    <cellStyle name="Normal 2 3 3 4 4" xfId="12013"/>
    <cellStyle name="Normal 2 3 3 5" xfId="5525"/>
    <cellStyle name="Normal 2 3 3 5 2" xfId="9266"/>
    <cellStyle name="Normal 2 3 3 5 2 2" xfId="15773"/>
    <cellStyle name="Normal 2 3 3 5 3" xfId="7547"/>
    <cellStyle name="Normal 2 3 3 5 3 2" xfId="14192"/>
    <cellStyle name="Normal 2 3 3 5 4" xfId="12418"/>
    <cellStyle name="Normal 2 3 3 6" xfId="9762"/>
    <cellStyle name="Normal 2 3 3 6 2" xfId="16253"/>
    <cellStyle name="Normal 2 3 3 7" xfId="7946"/>
    <cellStyle name="Normal 2 3 3 7 2" xfId="14586"/>
    <cellStyle name="Normal 2 3 3 8" xfId="5925"/>
    <cellStyle name="Normal 2 3 3 8 2" xfId="12818"/>
    <cellStyle name="Normal 2 3 3 9" xfId="10260"/>
    <cellStyle name="Normal 2 3 4" xfId="4114"/>
    <cellStyle name="Normal 2 3 4 2" xfId="4526"/>
    <cellStyle name="Normal 2 3 4 2 2" xfId="4942"/>
    <cellStyle name="Normal 2 3 4 2 2 2" xfId="8685"/>
    <cellStyle name="Normal 2 3 4 2 2 2 2" xfId="15233"/>
    <cellStyle name="Normal 2 3 4 2 2 3" xfId="6966"/>
    <cellStyle name="Normal 2 3 4 2 2 3 2" xfId="13652"/>
    <cellStyle name="Normal 2 3 4 2 2 4" xfId="11867"/>
    <cellStyle name="Normal 2 3 4 2 3" xfId="5353"/>
    <cellStyle name="Normal 2 3 4 2 3 2" xfId="9096"/>
    <cellStyle name="Normal 2 3 4 2 3 2 2" xfId="15640"/>
    <cellStyle name="Normal 2 3 4 2 3 3" xfId="7377"/>
    <cellStyle name="Normal 2 3 4 2 3 3 2" xfId="14059"/>
    <cellStyle name="Normal 2 3 4 2 3 4" xfId="12274"/>
    <cellStyle name="Normal 2 3 4 2 4" xfId="5791"/>
    <cellStyle name="Normal 2 3 4 2 4 2" xfId="9532"/>
    <cellStyle name="Normal 2 3 4 2 4 2 2" xfId="16034"/>
    <cellStyle name="Normal 2 3 4 2 4 3" xfId="7813"/>
    <cellStyle name="Normal 2 3 4 2 4 3 2" xfId="14453"/>
    <cellStyle name="Normal 2 3 4 2 4 4" xfId="12684"/>
    <cellStyle name="Normal 2 3 4 2 5" xfId="9938"/>
    <cellStyle name="Normal 2 3 4 2 5 2" xfId="16419"/>
    <cellStyle name="Normal 2 3 4 2 6" xfId="8290"/>
    <cellStyle name="Normal 2 3 4 2 6 2" xfId="14847"/>
    <cellStyle name="Normal 2 3 4 2 7" xfId="6571"/>
    <cellStyle name="Normal 2 3 4 2 7 2" xfId="13261"/>
    <cellStyle name="Normal 2 3 4 2 8" xfId="11471"/>
    <cellStyle name="Normal 2 3 4 3" xfId="4826"/>
    <cellStyle name="Normal 2 3 4 3 2" xfId="8569"/>
    <cellStyle name="Normal 2 3 4 3 2 2" xfId="15117"/>
    <cellStyle name="Normal 2 3 4 3 3" xfId="6850"/>
    <cellStyle name="Normal 2 3 4 3 3 2" xfId="13536"/>
    <cellStyle name="Normal 2 3 4 3 4" xfId="11751"/>
    <cellStyle name="Normal 2 3 4 4" xfId="5156"/>
    <cellStyle name="Normal 2 3 4 4 2" xfId="8899"/>
    <cellStyle name="Normal 2 3 4 4 2 2" xfId="15443"/>
    <cellStyle name="Normal 2 3 4 4 3" xfId="7180"/>
    <cellStyle name="Normal 2 3 4 4 3 2" xfId="13862"/>
    <cellStyle name="Normal 2 3 4 4 4" xfId="12077"/>
    <cellStyle name="Normal 2 3 4 5" xfId="5589"/>
    <cellStyle name="Normal 2 3 4 5 2" xfId="9330"/>
    <cellStyle name="Normal 2 3 4 5 2 2" xfId="15837"/>
    <cellStyle name="Normal 2 3 4 5 3" xfId="7611"/>
    <cellStyle name="Normal 2 3 4 5 3 2" xfId="14256"/>
    <cellStyle name="Normal 2 3 4 5 4" xfId="12482"/>
    <cellStyle name="Normal 2 3 4 6" xfId="9817"/>
    <cellStyle name="Normal 2 3 4 6 2" xfId="16303"/>
    <cellStyle name="Normal 2 3 4 7" xfId="8050"/>
    <cellStyle name="Normal 2 3 4 7 2" xfId="14650"/>
    <cellStyle name="Normal 2 3 4 8" xfId="6323"/>
    <cellStyle name="Normal 2 3 4 8 2" xfId="13046"/>
    <cellStyle name="Normal 2 3 4 9" xfId="11265"/>
    <cellStyle name="Normal 2 3 5" xfId="4681"/>
    <cellStyle name="Normal 2 3 5 2" xfId="8427"/>
    <cellStyle name="Normal 2 3 5 2 2" xfId="14979"/>
    <cellStyle name="Normal 2 3 5 3" xfId="6708"/>
    <cellStyle name="Normal 2 3 5 3 2" xfId="13398"/>
    <cellStyle name="Normal 2 3 5 4" xfId="11612"/>
    <cellStyle name="Normal 2 3 6" xfId="9661"/>
    <cellStyle name="Normal 2 3 6 2" xfId="16163"/>
    <cellStyle name="Normal 2 4" xfId="32"/>
    <cellStyle name="Normal 2 4 10" xfId="5931"/>
    <cellStyle name="Normal 2 4 10 2" xfId="12824"/>
    <cellStyle name="Normal 2 4 11" xfId="10266"/>
    <cellStyle name="Normal 2 4 2" xfId="4115"/>
    <cellStyle name="Normal 2 4 2 2" xfId="4527"/>
    <cellStyle name="Normal 2 4 2 2 2" xfId="4943"/>
    <cellStyle name="Normal 2 4 2 2 2 2" xfId="8686"/>
    <cellStyle name="Normal 2 4 2 2 2 2 2" xfId="15234"/>
    <cellStyle name="Normal 2 4 2 2 2 3" xfId="6967"/>
    <cellStyle name="Normal 2 4 2 2 2 3 2" xfId="13653"/>
    <cellStyle name="Normal 2 4 2 2 2 4" xfId="11868"/>
    <cellStyle name="Normal 2 4 2 2 3" xfId="5354"/>
    <cellStyle name="Normal 2 4 2 2 3 2" xfId="9097"/>
    <cellStyle name="Normal 2 4 2 2 3 2 2" xfId="15641"/>
    <cellStyle name="Normal 2 4 2 2 3 3" xfId="7378"/>
    <cellStyle name="Normal 2 4 2 2 3 3 2" xfId="14060"/>
    <cellStyle name="Normal 2 4 2 2 3 4" xfId="12275"/>
    <cellStyle name="Normal 2 4 2 2 4" xfId="5792"/>
    <cellStyle name="Normal 2 4 2 2 4 2" xfId="9533"/>
    <cellStyle name="Normal 2 4 2 2 4 2 2" xfId="16035"/>
    <cellStyle name="Normal 2 4 2 2 4 3" xfId="7814"/>
    <cellStyle name="Normal 2 4 2 2 4 3 2" xfId="14454"/>
    <cellStyle name="Normal 2 4 2 2 4 4" xfId="12685"/>
    <cellStyle name="Normal 2 4 2 2 5" xfId="9939"/>
    <cellStyle name="Normal 2 4 2 2 5 2" xfId="16420"/>
    <cellStyle name="Normal 2 4 2 2 6" xfId="8291"/>
    <cellStyle name="Normal 2 4 2 2 6 2" xfId="14848"/>
    <cellStyle name="Normal 2 4 2 2 7" xfId="6572"/>
    <cellStyle name="Normal 2 4 2 2 7 2" xfId="13262"/>
    <cellStyle name="Normal 2 4 2 2 8" xfId="11472"/>
    <cellStyle name="Normal 2 4 2 3" xfId="4773"/>
    <cellStyle name="Normal 2 4 2 3 2" xfId="8516"/>
    <cellStyle name="Normal 2 4 2 3 2 2" xfId="15068"/>
    <cellStyle name="Normal 2 4 2 3 3" xfId="6797"/>
    <cellStyle name="Normal 2 4 2 3 3 2" xfId="13487"/>
    <cellStyle name="Normal 2 4 2 3 4" xfId="11702"/>
    <cellStyle name="Normal 2 4 2 4" xfId="5157"/>
    <cellStyle name="Normal 2 4 2 4 2" xfId="8900"/>
    <cellStyle name="Normal 2 4 2 4 2 2" xfId="15444"/>
    <cellStyle name="Normal 2 4 2 4 3" xfId="7181"/>
    <cellStyle name="Normal 2 4 2 4 3 2" xfId="13863"/>
    <cellStyle name="Normal 2 4 2 4 4" xfId="12078"/>
    <cellStyle name="Normal 2 4 2 5" xfId="5590"/>
    <cellStyle name="Normal 2 4 2 5 2" xfId="9331"/>
    <cellStyle name="Normal 2 4 2 5 2 2" xfId="15838"/>
    <cellStyle name="Normal 2 4 2 5 3" xfId="7612"/>
    <cellStyle name="Normal 2 4 2 5 3 2" xfId="14257"/>
    <cellStyle name="Normal 2 4 2 5 4" xfId="12483"/>
    <cellStyle name="Normal 2 4 2 6" xfId="9763"/>
    <cellStyle name="Normal 2 4 2 6 2" xfId="16254"/>
    <cellStyle name="Normal 2 4 2 7" xfId="8051"/>
    <cellStyle name="Normal 2 4 2 7 2" xfId="14651"/>
    <cellStyle name="Normal 2 4 2 8" xfId="6324"/>
    <cellStyle name="Normal 2 4 2 8 2" xfId="13047"/>
    <cellStyle name="Normal 2 4 2 9" xfId="11266"/>
    <cellStyle name="Normal 2 4 3" xfId="4116"/>
    <cellStyle name="Normal 2 4 3 2" xfId="4528"/>
    <cellStyle name="Normal 2 4 3 2 2" xfId="4944"/>
    <cellStyle name="Normal 2 4 3 2 2 2" xfId="8687"/>
    <cellStyle name="Normal 2 4 3 2 2 2 2" xfId="15235"/>
    <cellStyle name="Normal 2 4 3 2 2 3" xfId="6968"/>
    <cellStyle name="Normal 2 4 3 2 2 3 2" xfId="13654"/>
    <cellStyle name="Normal 2 4 3 2 2 4" xfId="11869"/>
    <cellStyle name="Normal 2 4 3 2 3" xfId="5355"/>
    <cellStyle name="Normal 2 4 3 2 3 2" xfId="9098"/>
    <cellStyle name="Normal 2 4 3 2 3 2 2" xfId="15642"/>
    <cellStyle name="Normal 2 4 3 2 3 3" xfId="7379"/>
    <cellStyle name="Normal 2 4 3 2 3 3 2" xfId="14061"/>
    <cellStyle name="Normal 2 4 3 2 3 4" xfId="12276"/>
    <cellStyle name="Normal 2 4 3 2 4" xfId="5793"/>
    <cellStyle name="Normal 2 4 3 2 4 2" xfId="9534"/>
    <cellStyle name="Normal 2 4 3 2 4 2 2" xfId="16036"/>
    <cellStyle name="Normal 2 4 3 2 4 3" xfId="7815"/>
    <cellStyle name="Normal 2 4 3 2 4 3 2" xfId="14455"/>
    <cellStyle name="Normal 2 4 3 2 4 4" xfId="12686"/>
    <cellStyle name="Normal 2 4 3 2 5" xfId="9940"/>
    <cellStyle name="Normal 2 4 3 2 5 2" xfId="16421"/>
    <cellStyle name="Normal 2 4 3 2 6" xfId="8292"/>
    <cellStyle name="Normal 2 4 3 2 6 2" xfId="14849"/>
    <cellStyle name="Normal 2 4 3 2 7" xfId="6573"/>
    <cellStyle name="Normal 2 4 3 2 7 2" xfId="13263"/>
    <cellStyle name="Normal 2 4 3 2 8" xfId="11473"/>
    <cellStyle name="Normal 2 4 3 3" xfId="4832"/>
    <cellStyle name="Normal 2 4 3 3 2" xfId="8575"/>
    <cellStyle name="Normal 2 4 3 3 2 2" xfId="15123"/>
    <cellStyle name="Normal 2 4 3 3 3" xfId="6856"/>
    <cellStyle name="Normal 2 4 3 3 3 2" xfId="13542"/>
    <cellStyle name="Normal 2 4 3 3 4" xfId="11757"/>
    <cellStyle name="Normal 2 4 3 4" xfId="5158"/>
    <cellStyle name="Normal 2 4 3 4 2" xfId="8901"/>
    <cellStyle name="Normal 2 4 3 4 2 2" xfId="15445"/>
    <cellStyle name="Normal 2 4 3 4 3" xfId="7182"/>
    <cellStyle name="Normal 2 4 3 4 3 2" xfId="13864"/>
    <cellStyle name="Normal 2 4 3 4 4" xfId="12079"/>
    <cellStyle name="Normal 2 4 3 5" xfId="5591"/>
    <cellStyle name="Normal 2 4 3 5 2" xfId="9332"/>
    <cellStyle name="Normal 2 4 3 5 2 2" xfId="15839"/>
    <cellStyle name="Normal 2 4 3 5 3" xfId="7613"/>
    <cellStyle name="Normal 2 4 3 5 3 2" xfId="14258"/>
    <cellStyle name="Normal 2 4 3 5 4" xfId="12484"/>
    <cellStyle name="Normal 2 4 3 6" xfId="9823"/>
    <cellStyle name="Normal 2 4 3 6 2" xfId="16309"/>
    <cellStyle name="Normal 2 4 3 7" xfId="8052"/>
    <cellStyle name="Normal 2 4 3 7 2" xfId="14652"/>
    <cellStyle name="Normal 2 4 3 8" xfId="6325"/>
    <cellStyle name="Normal 2 4 3 8 2" xfId="13048"/>
    <cellStyle name="Normal 2 4 3 9" xfId="11267"/>
    <cellStyle name="Normal 2 4 4" xfId="4467"/>
    <cellStyle name="Normal 2 4 4 2" xfId="4945"/>
    <cellStyle name="Normal 2 4 4 2 2" xfId="8688"/>
    <cellStyle name="Normal 2 4 4 2 2 2" xfId="15236"/>
    <cellStyle name="Normal 2 4 4 2 3" xfId="6969"/>
    <cellStyle name="Normal 2 4 4 2 3 2" xfId="13655"/>
    <cellStyle name="Normal 2 4 4 2 4" xfId="11870"/>
    <cellStyle name="Normal 2 4 4 3" xfId="5295"/>
    <cellStyle name="Normal 2 4 4 3 2" xfId="9038"/>
    <cellStyle name="Normal 2 4 4 3 2 2" xfId="15582"/>
    <cellStyle name="Normal 2 4 4 3 3" xfId="7319"/>
    <cellStyle name="Normal 2 4 4 3 3 2" xfId="14001"/>
    <cellStyle name="Normal 2 4 4 3 4" xfId="12216"/>
    <cellStyle name="Normal 2 4 4 4" xfId="5733"/>
    <cellStyle name="Normal 2 4 4 4 2" xfId="9474"/>
    <cellStyle name="Normal 2 4 4 4 2 2" xfId="15976"/>
    <cellStyle name="Normal 2 4 4 4 3" xfId="7755"/>
    <cellStyle name="Normal 2 4 4 4 3 2" xfId="14395"/>
    <cellStyle name="Normal 2 4 4 4 4" xfId="12626"/>
    <cellStyle name="Normal 2 4 4 5" xfId="9941"/>
    <cellStyle name="Normal 2 4 4 5 2" xfId="16422"/>
    <cellStyle name="Normal 2 4 4 6" xfId="8232"/>
    <cellStyle name="Normal 2 4 4 6 2" xfId="14789"/>
    <cellStyle name="Normal 2 4 4 7" xfId="6513"/>
    <cellStyle name="Normal 2 4 4 7 2" xfId="13203"/>
    <cellStyle name="Normal 2 4 4 8" xfId="11412"/>
    <cellStyle name="Normal 2 4 5" xfId="4682"/>
    <cellStyle name="Normal 2 4 5 2" xfId="8428"/>
    <cellStyle name="Normal 2 4 5 2 2" xfId="14980"/>
    <cellStyle name="Normal 2 4 5 3" xfId="6709"/>
    <cellStyle name="Normal 2 4 5 3 2" xfId="13399"/>
    <cellStyle name="Normal 2 4 5 4" xfId="11613"/>
    <cellStyle name="Normal 2 4 6" xfId="5094"/>
    <cellStyle name="Normal 2 4 6 2" xfId="8837"/>
    <cellStyle name="Normal 2 4 6 2 2" xfId="15385"/>
    <cellStyle name="Normal 2 4 6 3" xfId="7118"/>
    <cellStyle name="Normal 2 4 6 3 2" xfId="13804"/>
    <cellStyle name="Normal 2 4 6 4" xfId="12019"/>
    <cellStyle name="Normal 2 4 7" xfId="5531"/>
    <cellStyle name="Normal 2 4 7 2" xfId="9272"/>
    <cellStyle name="Normal 2 4 7 2 2" xfId="15779"/>
    <cellStyle name="Normal 2 4 7 3" xfId="7553"/>
    <cellStyle name="Normal 2 4 7 3 2" xfId="14198"/>
    <cellStyle name="Normal 2 4 7 4" xfId="12424"/>
    <cellStyle name="Normal 2 4 8" xfId="9662"/>
    <cellStyle name="Normal 2 4 8 2" xfId="16164"/>
    <cellStyle name="Normal 2 4 9" xfId="7952"/>
    <cellStyle name="Normal 2 4 9 2" xfId="14592"/>
    <cellStyle name="Normal 2 5" xfId="4404"/>
    <cellStyle name="Normal 2 5 2" xfId="4618"/>
    <cellStyle name="Normal 2 5 2 2" xfId="4947"/>
    <cellStyle name="Normal 2 5 2 2 2" xfId="8690"/>
    <cellStyle name="Normal 2 5 2 2 2 2" xfId="15238"/>
    <cellStyle name="Normal 2 5 2 2 3" xfId="6971"/>
    <cellStyle name="Normal 2 5 2 2 3 2" xfId="13657"/>
    <cellStyle name="Normal 2 5 2 2 4" xfId="11872"/>
    <cellStyle name="Normal 2 5 2 3" xfId="5445"/>
    <cellStyle name="Normal 2 5 2 3 2" xfId="9188"/>
    <cellStyle name="Normal 2 5 2 3 2 2" xfId="15732"/>
    <cellStyle name="Normal 2 5 2 3 3" xfId="7469"/>
    <cellStyle name="Normal 2 5 2 3 3 2" xfId="14151"/>
    <cellStyle name="Normal 2 5 2 3 4" xfId="12366"/>
    <cellStyle name="Normal 2 5 2 4" xfId="5883"/>
    <cellStyle name="Normal 2 5 2 4 15 2 4" xfId="4117"/>
    <cellStyle name="Normal 2 5 2 4 2" xfId="9624"/>
    <cellStyle name="Normal 2 5 2 4 2 2" xfId="16126"/>
    <cellStyle name="Normal 2 5 2 4 3" xfId="7905"/>
    <cellStyle name="Normal 2 5 2 4 3 2" xfId="14545"/>
    <cellStyle name="Normal 2 5 2 4 4" xfId="12776"/>
    <cellStyle name="Normal 2 5 2 5" xfId="9943"/>
    <cellStyle name="Normal 2 5 2 5 2" xfId="16424"/>
    <cellStyle name="Normal 2 5 2 6" xfId="8382"/>
    <cellStyle name="Normal 2 5 2 6 2" xfId="14939"/>
    <cellStyle name="Normal 2 5 2 7" xfId="6663"/>
    <cellStyle name="Normal 2 5 2 7 2" xfId="13353"/>
    <cellStyle name="Normal 2 5 2 8" xfId="11563"/>
    <cellStyle name="Normal 2 5 3" xfId="4946"/>
    <cellStyle name="Normal 2 5 3 2" xfId="8689"/>
    <cellStyle name="Normal 2 5 3 2 2" xfId="15237"/>
    <cellStyle name="Normal 2 5 3 3" xfId="6970"/>
    <cellStyle name="Normal 2 5 3 3 2" xfId="13656"/>
    <cellStyle name="Normal 2 5 3 4" xfId="11871"/>
    <cellStyle name="Normal 2 5 4" xfId="5248"/>
    <cellStyle name="Normal 2 5 4 2" xfId="8991"/>
    <cellStyle name="Normal 2 5 4 2 2" xfId="15535"/>
    <cellStyle name="Normal 2 5 4 3" xfId="7272"/>
    <cellStyle name="Normal 2 5 4 3 2" xfId="13954"/>
    <cellStyle name="Normal 2 5 4 4" xfId="12169"/>
    <cellStyle name="Normal 2 5 5" xfId="5686"/>
    <cellStyle name="Normal 2 5 5 2" xfId="9427"/>
    <cellStyle name="Normal 2 5 5 2 2" xfId="15929"/>
    <cellStyle name="Normal 2 5 5 3" xfId="7708"/>
    <cellStyle name="Normal 2 5 5 3 2" xfId="14348"/>
    <cellStyle name="Normal 2 5 5 4" xfId="12579"/>
    <cellStyle name="Normal 2 5 6" xfId="9942"/>
    <cellStyle name="Normal 2 5 6 2" xfId="16423"/>
    <cellStyle name="Normal 2 5 7" xfId="8185"/>
    <cellStyle name="Normal 2 5 7 2" xfId="14742"/>
    <cellStyle name="Normal 2 5 8" xfId="6466"/>
    <cellStyle name="Normal 2 5 8 2" xfId="13156"/>
    <cellStyle name="Normal 2 5 9" xfId="11362"/>
    <cellStyle name="Normal 2 6" xfId="4421"/>
    <cellStyle name="Normal 2 6 2" xfId="4630"/>
    <cellStyle name="Normal 2 6 2 2" xfId="4949"/>
    <cellStyle name="Normal 2 6 2 2 2" xfId="8692"/>
    <cellStyle name="Normal 2 6 2 2 2 2" xfId="15240"/>
    <cellStyle name="Normal 2 6 2 2 3" xfId="6973"/>
    <cellStyle name="Normal 2 6 2 2 3 2" xfId="13659"/>
    <cellStyle name="Normal 2 6 2 2 4" xfId="11874"/>
    <cellStyle name="Normal 2 6 2 3" xfId="5457"/>
    <cellStyle name="Normal 2 6 2 3 2" xfId="9200"/>
    <cellStyle name="Normal 2 6 2 3 2 2" xfId="15744"/>
    <cellStyle name="Normal 2 6 2 3 3" xfId="7481"/>
    <cellStyle name="Normal 2 6 2 3 3 2" xfId="14163"/>
    <cellStyle name="Normal 2 6 2 3 4" xfId="12378"/>
    <cellStyle name="Normal 2 6 2 4" xfId="5895"/>
    <cellStyle name="Normal 2 6 2 4 2" xfId="9636"/>
    <cellStyle name="Normal 2 6 2 4 2 2" xfId="16138"/>
    <cellStyle name="Normal 2 6 2 4 3" xfId="7917"/>
    <cellStyle name="Normal 2 6 2 4 3 2" xfId="14557"/>
    <cellStyle name="Normal 2 6 2 4 4" xfId="12788"/>
    <cellStyle name="Normal 2 6 2 5" xfId="9945"/>
    <cellStyle name="Normal 2 6 2 5 2" xfId="16426"/>
    <cellStyle name="Normal 2 6 2 6" xfId="8394"/>
    <cellStyle name="Normal 2 6 2 6 2" xfId="14951"/>
    <cellStyle name="Normal 2 6 2 7" xfId="6675"/>
    <cellStyle name="Normal 2 6 2 7 2" xfId="13365"/>
    <cellStyle name="Normal 2 6 2 8" xfId="11575"/>
    <cellStyle name="Normal 2 6 3" xfId="4948"/>
    <cellStyle name="Normal 2 6 3 2" xfId="8691"/>
    <cellStyle name="Normal 2 6 3 2 2" xfId="15239"/>
    <cellStyle name="Normal 2 6 3 3" xfId="6972"/>
    <cellStyle name="Normal 2 6 3 3 2" xfId="13658"/>
    <cellStyle name="Normal 2 6 3 4" xfId="11873"/>
    <cellStyle name="Normal 2 6 4" xfId="5260"/>
    <cellStyle name="Normal 2 6 4 2" xfId="9003"/>
    <cellStyle name="Normal 2 6 4 2 2" xfId="15547"/>
    <cellStyle name="Normal 2 6 4 3" xfId="7284"/>
    <cellStyle name="Normal 2 6 4 3 2" xfId="13966"/>
    <cellStyle name="Normal 2 6 4 4" xfId="12181"/>
    <cellStyle name="Normal 2 6 5" xfId="5698"/>
    <cellStyle name="Normal 2 6 5 2" xfId="9439"/>
    <cellStyle name="Normal 2 6 5 2 2" xfId="15941"/>
    <cellStyle name="Normal 2 6 5 3" xfId="7720"/>
    <cellStyle name="Normal 2 6 5 3 2" xfId="14360"/>
    <cellStyle name="Normal 2 6 5 4" xfId="12591"/>
    <cellStyle name="Normal 2 6 6" xfId="9944"/>
    <cellStyle name="Normal 2 6 6 2" xfId="16425"/>
    <cellStyle name="Normal 2 6 7" xfId="8197"/>
    <cellStyle name="Normal 2 6 7 2" xfId="14754"/>
    <cellStyle name="Normal 2 6 8" xfId="6478"/>
    <cellStyle name="Normal 2 6 8 2" xfId="13168"/>
    <cellStyle name="Normal 2 6 9" xfId="11376"/>
    <cellStyle name="Normal 2 7" xfId="4448"/>
    <cellStyle name="Normal 2 7 2" xfId="4950"/>
    <cellStyle name="Normal 2 7 2 2" xfId="8693"/>
    <cellStyle name="Normal 2 7 2 2 2" xfId="15241"/>
    <cellStyle name="Normal 2 7 2 3" xfId="6974"/>
    <cellStyle name="Normal 2 7 2 3 2" xfId="13660"/>
    <cellStyle name="Normal 2 7 2 4" xfId="11875"/>
    <cellStyle name="Normal 2 7 3" xfId="5276"/>
    <cellStyle name="Normal 2 7 3 2" xfId="9019"/>
    <cellStyle name="Normal 2 7 3 2 2" xfId="15563"/>
    <cellStyle name="Normal 2 7 3 3" xfId="7300"/>
    <cellStyle name="Normal 2 7 3 3 2" xfId="13982"/>
    <cellStyle name="Normal 2 7 3 4" xfId="12197"/>
    <cellStyle name="Normal 2 7 4" xfId="5714"/>
    <cellStyle name="Normal 2 7 4 2" xfId="9455"/>
    <cellStyle name="Normal 2 7 4 2 2" xfId="15957"/>
    <cellStyle name="Normal 2 7 4 3" xfId="7736"/>
    <cellStyle name="Normal 2 7 4 3 2" xfId="14376"/>
    <cellStyle name="Normal 2 7 4 4" xfId="12607"/>
    <cellStyle name="Normal 2 7 5" xfId="9946"/>
    <cellStyle name="Normal 2 7 5 2" xfId="16427"/>
    <cellStyle name="Normal 2 7 6" xfId="8213"/>
    <cellStyle name="Normal 2 7 6 2" xfId="14770"/>
    <cellStyle name="Normal 2 7 7" xfId="6494"/>
    <cellStyle name="Normal 2 7 7 2" xfId="13184"/>
    <cellStyle name="Normal 2 7 8" xfId="11393"/>
    <cellStyle name="Normal 2 8" xfId="5075"/>
    <cellStyle name="Normal 2 8 2" xfId="8818"/>
    <cellStyle name="Normal 2 8 2 2" xfId="15366"/>
    <cellStyle name="Normal 2 8 3" xfId="7099"/>
    <cellStyle name="Normal 2 8 3 2" xfId="13785"/>
    <cellStyle name="Normal 2 8 4" xfId="12000"/>
    <cellStyle name="Normal 2 9" xfId="5512"/>
    <cellStyle name="Normal 2 9 2" xfId="9253"/>
    <cellStyle name="Normal 2 9 2 2" xfId="15760"/>
    <cellStyle name="Normal 2 9 3" xfId="7534"/>
    <cellStyle name="Normal 2 9 3 2" xfId="14179"/>
    <cellStyle name="Normal 2 9 4" xfId="12405"/>
    <cellStyle name="Normal 20" xfId="4118"/>
    <cellStyle name="Normal 20 10" xfId="6326"/>
    <cellStyle name="Normal 20 10 2" xfId="13049"/>
    <cellStyle name="Normal 20 11" xfId="11268"/>
    <cellStyle name="Normal 20 2" xfId="4119"/>
    <cellStyle name="Normal 20 2 2" xfId="4530"/>
    <cellStyle name="Normal 20 2 2 2" xfId="4951"/>
    <cellStyle name="Normal 20 2 2 2 2" xfId="8694"/>
    <cellStyle name="Normal 20 2 2 2 2 2" xfId="15242"/>
    <cellStyle name="Normal 20 2 2 2 3" xfId="6975"/>
    <cellStyle name="Normal 20 2 2 2 3 2" xfId="13661"/>
    <cellStyle name="Normal 20 2 2 2 4" xfId="11876"/>
    <cellStyle name="Normal 20 2 2 3" xfId="5357"/>
    <cellStyle name="Normal 20 2 2 3 2" xfId="9100"/>
    <cellStyle name="Normal 20 2 2 3 2 2" xfId="15644"/>
    <cellStyle name="Normal 20 2 2 3 3" xfId="7381"/>
    <cellStyle name="Normal 20 2 2 3 3 2" xfId="14063"/>
    <cellStyle name="Normal 20 2 2 3 4" xfId="12278"/>
    <cellStyle name="Normal 20 2 2 4" xfId="5795"/>
    <cellStyle name="Normal 20 2 2 4 2" xfId="9536"/>
    <cellStyle name="Normal 20 2 2 4 2 2" xfId="16038"/>
    <cellStyle name="Normal 20 2 2 4 3" xfId="7817"/>
    <cellStyle name="Normal 20 2 2 4 3 2" xfId="14457"/>
    <cellStyle name="Normal 20 2 2 4 4" xfId="12688"/>
    <cellStyle name="Normal 20 2 2 5" xfId="9947"/>
    <cellStyle name="Normal 20 2 2 5 2" xfId="16428"/>
    <cellStyle name="Normal 20 2 2 6" xfId="8294"/>
    <cellStyle name="Normal 20 2 2 6 2" xfId="14851"/>
    <cellStyle name="Normal 20 2 2 7" xfId="6575"/>
    <cellStyle name="Normal 20 2 2 7 2" xfId="13265"/>
    <cellStyle name="Normal 20 2 2 8" xfId="11475"/>
    <cellStyle name="Normal 20 2 3" xfId="4802"/>
    <cellStyle name="Normal 20 2 3 2" xfId="8545"/>
    <cellStyle name="Normal 20 2 3 2 2" xfId="15097"/>
    <cellStyle name="Normal 20 2 3 3" xfId="6826"/>
    <cellStyle name="Normal 20 2 3 3 2" xfId="13516"/>
    <cellStyle name="Normal 20 2 3 4" xfId="11731"/>
    <cellStyle name="Normal 20 2 4" xfId="5160"/>
    <cellStyle name="Normal 20 2 4 2" xfId="8903"/>
    <cellStyle name="Normal 20 2 4 2 2" xfId="15447"/>
    <cellStyle name="Normal 20 2 4 3" xfId="7184"/>
    <cellStyle name="Normal 20 2 4 3 2" xfId="13866"/>
    <cellStyle name="Normal 20 2 4 4" xfId="12081"/>
    <cellStyle name="Normal 20 2 5" xfId="5593"/>
    <cellStyle name="Normal 20 2 5 2" xfId="9334"/>
    <cellStyle name="Normal 20 2 5 2 2" xfId="15841"/>
    <cellStyle name="Normal 20 2 5 3" xfId="7615"/>
    <cellStyle name="Normal 20 2 5 3 2" xfId="14260"/>
    <cellStyle name="Normal 20 2 5 4" xfId="12486"/>
    <cellStyle name="Normal 20 2 6" xfId="9792"/>
    <cellStyle name="Normal 20 2 6 2" xfId="16283"/>
    <cellStyle name="Normal 20 2 7" xfId="8054"/>
    <cellStyle name="Normal 20 2 7 2" xfId="14654"/>
    <cellStyle name="Normal 20 2 8" xfId="6327"/>
    <cellStyle name="Normal 20 2 8 2" xfId="13050"/>
    <cellStyle name="Normal 20 2 9" xfId="11269"/>
    <cellStyle name="Normal 20 3" xfId="4120"/>
    <cellStyle name="Normal 20 4" xfId="4529"/>
    <cellStyle name="Normal 20 4 2" xfId="4952"/>
    <cellStyle name="Normal 20 4 2 2" xfId="8695"/>
    <cellStyle name="Normal 20 4 2 2 2" xfId="15243"/>
    <cellStyle name="Normal 20 4 2 3" xfId="6976"/>
    <cellStyle name="Normal 20 4 2 3 2" xfId="13662"/>
    <cellStyle name="Normal 20 4 2 4" xfId="11877"/>
    <cellStyle name="Normal 20 4 3" xfId="5356"/>
    <cellStyle name="Normal 20 4 3 2" xfId="9099"/>
    <cellStyle name="Normal 20 4 3 2 2" xfId="15643"/>
    <cellStyle name="Normal 20 4 3 3" xfId="7380"/>
    <cellStyle name="Normal 20 4 3 3 2" xfId="14062"/>
    <cellStyle name="Normal 20 4 3 4" xfId="12277"/>
    <cellStyle name="Normal 20 4 4" xfId="5794"/>
    <cellStyle name="Normal 20 4 4 2" xfId="9535"/>
    <cellStyle name="Normal 20 4 4 2 2" xfId="16037"/>
    <cellStyle name="Normal 20 4 4 3" xfId="7816"/>
    <cellStyle name="Normal 20 4 4 3 2" xfId="14456"/>
    <cellStyle name="Normal 20 4 4 4" xfId="12687"/>
    <cellStyle name="Normal 20 4 5" xfId="9948"/>
    <cellStyle name="Normal 20 4 5 2" xfId="16429"/>
    <cellStyle name="Normal 20 4 6" xfId="8293"/>
    <cellStyle name="Normal 20 4 6 2" xfId="14850"/>
    <cellStyle name="Normal 20 4 7" xfId="6574"/>
    <cellStyle name="Normal 20 4 7 2" xfId="13264"/>
    <cellStyle name="Normal 20 4 8" xfId="11474"/>
    <cellStyle name="Normal 20 5" xfId="4720"/>
    <cellStyle name="Normal 20 5 2" xfId="8464"/>
    <cellStyle name="Normal 20 5 2 2" xfId="15016"/>
    <cellStyle name="Normal 20 5 3" xfId="6745"/>
    <cellStyle name="Normal 20 5 3 2" xfId="13435"/>
    <cellStyle name="Normal 20 5 4" xfId="11649"/>
    <cellStyle name="Normal 20 6" xfId="5159"/>
    <cellStyle name="Normal 20 6 2" xfId="8902"/>
    <cellStyle name="Normal 20 6 2 2" xfId="15446"/>
    <cellStyle name="Normal 20 6 3" xfId="7183"/>
    <cellStyle name="Normal 20 6 3 2" xfId="13865"/>
    <cellStyle name="Normal 20 6 4" xfId="12080"/>
    <cellStyle name="Normal 20 7" xfId="5592"/>
    <cellStyle name="Normal 20 7 2" xfId="9333"/>
    <cellStyle name="Normal 20 7 2 2" xfId="15840"/>
    <cellStyle name="Normal 20 7 3" xfId="7614"/>
    <cellStyle name="Normal 20 7 3 2" xfId="14259"/>
    <cellStyle name="Normal 20 7 4" xfId="12485"/>
    <cellStyle name="Normal 20 8" xfId="9708"/>
    <cellStyle name="Normal 20 8 2" xfId="16201"/>
    <cellStyle name="Normal 20 9" xfId="8053"/>
    <cellStyle name="Normal 20 9 2" xfId="14653"/>
    <cellStyle name="Normal 21" xfId="4121"/>
    <cellStyle name="Normal 21 10" xfId="11270"/>
    <cellStyle name="Normal 21 2" xfId="4122"/>
    <cellStyle name="Normal 21 2 2" xfId="4532"/>
    <cellStyle name="Normal 21 2 2 2" xfId="4953"/>
    <cellStyle name="Normal 21 2 2 2 2" xfId="8696"/>
    <cellStyle name="Normal 21 2 2 2 2 2" xfId="15244"/>
    <cellStyle name="Normal 21 2 2 2 3" xfId="6977"/>
    <cellStyle name="Normal 21 2 2 2 3 2" xfId="13663"/>
    <cellStyle name="Normal 21 2 2 2 4" xfId="11878"/>
    <cellStyle name="Normal 21 2 2 3" xfId="5359"/>
    <cellStyle name="Normal 21 2 2 3 2" xfId="9102"/>
    <cellStyle name="Normal 21 2 2 3 2 2" xfId="15646"/>
    <cellStyle name="Normal 21 2 2 3 3" xfId="7383"/>
    <cellStyle name="Normal 21 2 2 3 3 2" xfId="14065"/>
    <cellStyle name="Normal 21 2 2 3 4" xfId="12280"/>
    <cellStyle name="Normal 21 2 2 4" xfId="5797"/>
    <cellStyle name="Normal 21 2 2 4 2" xfId="9538"/>
    <cellStyle name="Normal 21 2 2 4 2 2" xfId="16040"/>
    <cellStyle name="Normal 21 2 2 4 3" xfId="7819"/>
    <cellStyle name="Normal 21 2 2 4 3 2" xfId="14459"/>
    <cellStyle name="Normal 21 2 2 4 4" xfId="12690"/>
    <cellStyle name="Normal 21 2 2 5" xfId="9949"/>
    <cellStyle name="Normal 21 2 2 5 2" xfId="16430"/>
    <cellStyle name="Normal 21 2 2 6" xfId="8296"/>
    <cellStyle name="Normal 21 2 2 6 2" xfId="14853"/>
    <cellStyle name="Normal 21 2 2 7" xfId="6577"/>
    <cellStyle name="Normal 21 2 2 7 2" xfId="13267"/>
    <cellStyle name="Normal 21 2 2 8" xfId="11477"/>
    <cellStyle name="Normal 21 2 3" xfId="4804"/>
    <cellStyle name="Normal 21 2 3 2" xfId="8547"/>
    <cellStyle name="Normal 21 2 3 2 2" xfId="15099"/>
    <cellStyle name="Normal 21 2 3 3" xfId="6828"/>
    <cellStyle name="Normal 21 2 3 3 2" xfId="13518"/>
    <cellStyle name="Normal 21 2 3 4" xfId="11733"/>
    <cellStyle name="Normal 21 2 4" xfId="5162"/>
    <cellStyle name="Normal 21 2 4 2" xfId="8905"/>
    <cellStyle name="Normal 21 2 4 2 2" xfId="15449"/>
    <cellStyle name="Normal 21 2 4 3" xfId="7186"/>
    <cellStyle name="Normal 21 2 4 3 2" xfId="13868"/>
    <cellStyle name="Normal 21 2 4 4" xfId="12083"/>
    <cellStyle name="Normal 21 2 5" xfId="5595"/>
    <cellStyle name="Normal 21 2 5 2" xfId="9336"/>
    <cellStyle name="Normal 21 2 5 2 2" xfId="15843"/>
    <cellStyle name="Normal 21 2 5 3" xfId="7617"/>
    <cellStyle name="Normal 21 2 5 3 2" xfId="14262"/>
    <cellStyle name="Normal 21 2 5 4" xfId="12488"/>
    <cellStyle name="Normal 21 2 6" xfId="9794"/>
    <cellStyle name="Normal 21 2 6 2" xfId="16285"/>
    <cellStyle name="Normal 21 2 7" xfId="8056"/>
    <cellStyle name="Normal 21 2 7 2" xfId="14656"/>
    <cellStyle name="Normal 21 2 8" xfId="6329"/>
    <cellStyle name="Normal 21 2 8 2" xfId="13052"/>
    <cellStyle name="Normal 21 2 9" xfId="11271"/>
    <cellStyle name="Normal 21 3" xfId="4531"/>
    <cellStyle name="Normal 21 3 2" xfId="4954"/>
    <cellStyle name="Normal 21 3 2 2" xfId="8697"/>
    <cellStyle name="Normal 21 3 2 2 2" xfId="15245"/>
    <cellStyle name="Normal 21 3 2 3" xfId="6978"/>
    <cellStyle name="Normal 21 3 2 3 2" xfId="13664"/>
    <cellStyle name="Normal 21 3 2 4" xfId="11879"/>
    <cellStyle name="Normal 21 3 3" xfId="5358"/>
    <cellStyle name="Normal 21 3 3 2" xfId="9101"/>
    <cellStyle name="Normal 21 3 3 2 2" xfId="15645"/>
    <cellStyle name="Normal 21 3 3 3" xfId="7382"/>
    <cellStyle name="Normal 21 3 3 3 2" xfId="14064"/>
    <cellStyle name="Normal 21 3 3 4" xfId="12279"/>
    <cellStyle name="Normal 21 3 4" xfId="5796"/>
    <cellStyle name="Normal 21 3 4 2" xfId="9537"/>
    <cellStyle name="Normal 21 3 4 2 2" xfId="16039"/>
    <cellStyle name="Normal 21 3 4 3" xfId="7818"/>
    <cellStyle name="Normal 21 3 4 3 2" xfId="14458"/>
    <cellStyle name="Normal 21 3 4 4" xfId="12689"/>
    <cellStyle name="Normal 21 3 5" xfId="9950"/>
    <cellStyle name="Normal 21 3 5 2" xfId="16431"/>
    <cellStyle name="Normal 21 3 6" xfId="8295"/>
    <cellStyle name="Normal 21 3 6 2" xfId="14852"/>
    <cellStyle name="Normal 21 3 7" xfId="6576"/>
    <cellStyle name="Normal 21 3 7 2" xfId="13266"/>
    <cellStyle name="Normal 21 3 8" xfId="11476"/>
    <cellStyle name="Normal 21 4" xfId="4722"/>
    <cellStyle name="Normal 21 4 2" xfId="8466"/>
    <cellStyle name="Normal 21 4 2 2" xfId="15018"/>
    <cellStyle name="Normal 21 4 3" xfId="6747"/>
    <cellStyle name="Normal 21 4 3 2" xfId="13437"/>
    <cellStyle name="Normal 21 4 4" xfId="11651"/>
    <cellStyle name="Normal 21 5" xfId="5161"/>
    <cellStyle name="Normal 21 5 2" xfId="8904"/>
    <cellStyle name="Normal 21 5 2 2" xfId="15448"/>
    <cellStyle name="Normal 21 5 3" xfId="7185"/>
    <cellStyle name="Normal 21 5 3 2" xfId="13867"/>
    <cellStyle name="Normal 21 5 4" xfId="12082"/>
    <cellStyle name="Normal 21 6" xfId="5594"/>
    <cellStyle name="Normal 21 6 2" xfId="9335"/>
    <cellStyle name="Normal 21 6 2 2" xfId="15842"/>
    <cellStyle name="Normal 21 6 3" xfId="7616"/>
    <cellStyle name="Normal 21 6 3 2" xfId="14261"/>
    <cellStyle name="Normal 21 6 4" xfId="12487"/>
    <cellStyle name="Normal 21 7" xfId="9710"/>
    <cellStyle name="Normal 21 7 2" xfId="16203"/>
    <cellStyle name="Normal 21 8" xfId="8055"/>
    <cellStyle name="Normal 21 8 2" xfId="14655"/>
    <cellStyle name="Normal 21 9" xfId="6328"/>
    <cellStyle name="Normal 21 9 2" xfId="13051"/>
    <cellStyle name="Normal 22" xfId="4123"/>
    <cellStyle name="Normal 22 10" xfId="11272"/>
    <cellStyle name="Normal 22 2" xfId="4124"/>
    <cellStyle name="Normal 22 2 2" xfId="4534"/>
    <cellStyle name="Normal 22 2 2 2" xfId="4955"/>
    <cellStyle name="Normal 22 2 2 2 2" xfId="8698"/>
    <cellStyle name="Normal 22 2 2 2 2 2" xfId="15246"/>
    <cellStyle name="Normal 22 2 2 2 3" xfId="6979"/>
    <cellStyle name="Normal 22 2 2 2 3 2" xfId="13665"/>
    <cellStyle name="Normal 22 2 2 2 4" xfId="11880"/>
    <cellStyle name="Normal 22 2 2 3" xfId="5361"/>
    <cellStyle name="Normal 22 2 2 3 2" xfId="9104"/>
    <cellStyle name="Normal 22 2 2 3 2 2" xfId="15648"/>
    <cellStyle name="Normal 22 2 2 3 3" xfId="7385"/>
    <cellStyle name="Normal 22 2 2 3 3 2" xfId="14067"/>
    <cellStyle name="Normal 22 2 2 3 4" xfId="12282"/>
    <cellStyle name="Normal 22 2 2 4" xfId="5799"/>
    <cellStyle name="Normal 22 2 2 4 2" xfId="9540"/>
    <cellStyle name="Normal 22 2 2 4 2 2" xfId="16042"/>
    <cellStyle name="Normal 22 2 2 4 3" xfId="7821"/>
    <cellStyle name="Normal 22 2 2 4 3 2" xfId="14461"/>
    <cellStyle name="Normal 22 2 2 4 4" xfId="12692"/>
    <cellStyle name="Normal 22 2 2 5" xfId="9951"/>
    <cellStyle name="Normal 22 2 2 5 2" xfId="16432"/>
    <cellStyle name="Normal 22 2 2 6" xfId="8298"/>
    <cellStyle name="Normal 22 2 2 6 2" xfId="14855"/>
    <cellStyle name="Normal 22 2 2 7" xfId="6579"/>
    <cellStyle name="Normal 22 2 2 7 2" xfId="13269"/>
    <cellStyle name="Normal 22 2 2 8" xfId="11479"/>
    <cellStyle name="Normal 22 2 3" xfId="4805"/>
    <cellStyle name="Normal 22 2 3 2" xfId="8548"/>
    <cellStyle name="Normal 22 2 3 2 2" xfId="15100"/>
    <cellStyle name="Normal 22 2 3 3" xfId="6829"/>
    <cellStyle name="Normal 22 2 3 3 2" xfId="13519"/>
    <cellStyle name="Normal 22 2 3 4" xfId="11734"/>
    <cellStyle name="Normal 22 2 4" xfId="5164"/>
    <cellStyle name="Normal 22 2 4 2" xfId="8907"/>
    <cellStyle name="Normal 22 2 4 2 2" xfId="15451"/>
    <cellStyle name="Normal 22 2 4 3" xfId="7188"/>
    <cellStyle name="Normal 22 2 4 3 2" xfId="13870"/>
    <cellStyle name="Normal 22 2 4 4" xfId="12085"/>
    <cellStyle name="Normal 22 2 5" xfId="5597"/>
    <cellStyle name="Normal 22 2 5 2" xfId="9338"/>
    <cellStyle name="Normal 22 2 5 2 2" xfId="15845"/>
    <cellStyle name="Normal 22 2 5 3" xfId="7619"/>
    <cellStyle name="Normal 22 2 5 3 2" xfId="14264"/>
    <cellStyle name="Normal 22 2 5 4" xfId="12490"/>
    <cellStyle name="Normal 22 2 6" xfId="9795"/>
    <cellStyle name="Normal 22 2 6 2" xfId="16286"/>
    <cellStyle name="Normal 22 2 7" xfId="8058"/>
    <cellStyle name="Normal 22 2 7 2" xfId="14658"/>
    <cellStyle name="Normal 22 2 8" xfId="6331"/>
    <cellStyle name="Normal 22 2 8 2" xfId="13054"/>
    <cellStyle name="Normal 22 2 9" xfId="11273"/>
    <cellStyle name="Normal 22 3" xfId="4533"/>
    <cellStyle name="Normal 22 3 2" xfId="4956"/>
    <cellStyle name="Normal 22 3 2 2" xfId="8699"/>
    <cellStyle name="Normal 22 3 2 2 2" xfId="15247"/>
    <cellStyle name="Normal 22 3 2 3" xfId="6980"/>
    <cellStyle name="Normal 22 3 2 3 2" xfId="13666"/>
    <cellStyle name="Normal 22 3 2 4" xfId="11881"/>
    <cellStyle name="Normal 22 3 3" xfId="5360"/>
    <cellStyle name="Normal 22 3 3 2" xfId="9103"/>
    <cellStyle name="Normal 22 3 3 2 2" xfId="15647"/>
    <cellStyle name="Normal 22 3 3 3" xfId="7384"/>
    <cellStyle name="Normal 22 3 3 3 2" xfId="14066"/>
    <cellStyle name="Normal 22 3 3 4" xfId="12281"/>
    <cellStyle name="Normal 22 3 4" xfId="5798"/>
    <cellStyle name="Normal 22 3 4 2" xfId="9539"/>
    <cellStyle name="Normal 22 3 4 2 2" xfId="16041"/>
    <cellStyle name="Normal 22 3 4 3" xfId="7820"/>
    <cellStyle name="Normal 22 3 4 3 2" xfId="14460"/>
    <cellStyle name="Normal 22 3 4 4" xfId="12691"/>
    <cellStyle name="Normal 22 3 5" xfId="9952"/>
    <cellStyle name="Normal 22 3 5 2" xfId="16433"/>
    <cellStyle name="Normal 22 3 6" xfId="8297"/>
    <cellStyle name="Normal 22 3 6 2" xfId="14854"/>
    <cellStyle name="Normal 22 3 7" xfId="6578"/>
    <cellStyle name="Normal 22 3 7 2" xfId="13268"/>
    <cellStyle name="Normal 22 3 8" xfId="11478"/>
    <cellStyle name="Normal 22 4" xfId="4723"/>
    <cellStyle name="Normal 22 4 2" xfId="8467"/>
    <cellStyle name="Normal 22 4 2 2" xfId="15019"/>
    <cellStyle name="Normal 22 4 3" xfId="6748"/>
    <cellStyle name="Normal 22 4 3 2" xfId="13438"/>
    <cellStyle name="Normal 22 4 4" xfId="11652"/>
    <cellStyle name="Normal 22 5" xfId="5163"/>
    <cellStyle name="Normal 22 5 2" xfId="8906"/>
    <cellStyle name="Normal 22 5 2 2" xfId="15450"/>
    <cellStyle name="Normal 22 5 3" xfId="7187"/>
    <cellStyle name="Normal 22 5 3 2" xfId="13869"/>
    <cellStyle name="Normal 22 5 4" xfId="12084"/>
    <cellStyle name="Normal 22 6" xfId="5596"/>
    <cellStyle name="Normal 22 6 2" xfId="9337"/>
    <cellStyle name="Normal 22 6 2 2" xfId="15844"/>
    <cellStyle name="Normal 22 6 3" xfId="7618"/>
    <cellStyle name="Normal 22 6 3 2" xfId="14263"/>
    <cellStyle name="Normal 22 6 4" xfId="12489"/>
    <cellStyle name="Normal 22 7" xfId="9711"/>
    <cellStyle name="Normal 22 7 2" xfId="16204"/>
    <cellStyle name="Normal 22 8" xfId="8057"/>
    <cellStyle name="Normal 22 8 2" xfId="14657"/>
    <cellStyle name="Normal 22 9" xfId="6330"/>
    <cellStyle name="Normal 22 9 2" xfId="13053"/>
    <cellStyle name="Normal 23" xfId="4125"/>
    <cellStyle name="Normal 23 10" xfId="11274"/>
    <cellStyle name="Normal 23 2" xfId="4126"/>
    <cellStyle name="Normal 23 2 2" xfId="4536"/>
    <cellStyle name="Normal 23 2 2 2" xfId="4957"/>
    <cellStyle name="Normal 23 2 2 2 2" xfId="8700"/>
    <cellStyle name="Normal 23 2 2 2 2 2" xfId="15248"/>
    <cellStyle name="Normal 23 2 2 2 3" xfId="6981"/>
    <cellStyle name="Normal 23 2 2 2 3 2" xfId="13667"/>
    <cellStyle name="Normal 23 2 2 2 4" xfId="11882"/>
    <cellStyle name="Normal 23 2 2 3" xfId="5363"/>
    <cellStyle name="Normal 23 2 2 3 2" xfId="9106"/>
    <cellStyle name="Normal 23 2 2 3 2 2" xfId="15650"/>
    <cellStyle name="Normal 23 2 2 3 3" xfId="7387"/>
    <cellStyle name="Normal 23 2 2 3 3 2" xfId="14069"/>
    <cellStyle name="Normal 23 2 2 3 4" xfId="12284"/>
    <cellStyle name="Normal 23 2 2 4" xfId="5801"/>
    <cellStyle name="Normal 23 2 2 4 2" xfId="9542"/>
    <cellStyle name="Normal 23 2 2 4 2 2" xfId="16044"/>
    <cellStyle name="Normal 23 2 2 4 3" xfId="7823"/>
    <cellStyle name="Normal 23 2 2 4 3 2" xfId="14463"/>
    <cellStyle name="Normal 23 2 2 4 4" xfId="12694"/>
    <cellStyle name="Normal 23 2 2 5" xfId="9953"/>
    <cellStyle name="Normal 23 2 2 5 2" xfId="16434"/>
    <cellStyle name="Normal 23 2 2 6" xfId="8300"/>
    <cellStyle name="Normal 23 2 2 6 2" xfId="14857"/>
    <cellStyle name="Normal 23 2 2 7" xfId="6581"/>
    <cellStyle name="Normal 23 2 2 7 2" xfId="13271"/>
    <cellStyle name="Normal 23 2 2 8" xfId="11481"/>
    <cellStyle name="Normal 23 2 3" xfId="4808"/>
    <cellStyle name="Normal 23 2 3 2" xfId="8551"/>
    <cellStyle name="Normal 23 2 3 2 2" xfId="15103"/>
    <cellStyle name="Normal 23 2 3 3" xfId="6832"/>
    <cellStyle name="Normal 23 2 3 3 2" xfId="13522"/>
    <cellStyle name="Normal 23 2 3 4" xfId="11737"/>
    <cellStyle name="Normal 23 2 4" xfId="5166"/>
    <cellStyle name="Normal 23 2 4 2" xfId="8909"/>
    <cellStyle name="Normal 23 2 4 2 2" xfId="15453"/>
    <cellStyle name="Normal 23 2 4 3" xfId="7190"/>
    <cellStyle name="Normal 23 2 4 3 2" xfId="13872"/>
    <cellStyle name="Normal 23 2 4 4" xfId="12087"/>
    <cellStyle name="Normal 23 2 5" xfId="5599"/>
    <cellStyle name="Normal 23 2 5 2" xfId="9340"/>
    <cellStyle name="Normal 23 2 5 2 2" xfId="15847"/>
    <cellStyle name="Normal 23 2 5 3" xfId="7621"/>
    <cellStyle name="Normal 23 2 5 3 2" xfId="14266"/>
    <cellStyle name="Normal 23 2 5 4" xfId="12492"/>
    <cellStyle name="Normal 23 2 6" xfId="9798"/>
    <cellStyle name="Normal 23 2 6 2" xfId="16289"/>
    <cellStyle name="Normal 23 2 7" xfId="8060"/>
    <cellStyle name="Normal 23 2 7 2" xfId="14660"/>
    <cellStyle name="Normal 23 2 8" xfId="6333"/>
    <cellStyle name="Normal 23 2 8 2" xfId="13056"/>
    <cellStyle name="Normal 23 2 9" xfId="11275"/>
    <cellStyle name="Normal 23 3" xfId="4535"/>
    <cellStyle name="Normal 23 3 2" xfId="4958"/>
    <cellStyle name="Normal 23 3 2 2" xfId="8701"/>
    <cellStyle name="Normal 23 3 2 2 2" xfId="15249"/>
    <cellStyle name="Normal 23 3 2 3" xfId="6982"/>
    <cellStyle name="Normal 23 3 2 3 2" xfId="13668"/>
    <cellStyle name="Normal 23 3 2 4" xfId="11883"/>
    <cellStyle name="Normal 23 3 3" xfId="5362"/>
    <cellStyle name="Normal 23 3 3 2" xfId="9105"/>
    <cellStyle name="Normal 23 3 3 2 2" xfId="15649"/>
    <cellStyle name="Normal 23 3 3 3" xfId="7386"/>
    <cellStyle name="Normal 23 3 3 3 2" xfId="14068"/>
    <cellStyle name="Normal 23 3 3 4" xfId="12283"/>
    <cellStyle name="Normal 23 3 4" xfId="5800"/>
    <cellStyle name="Normal 23 3 4 2" xfId="9541"/>
    <cellStyle name="Normal 23 3 4 2 2" xfId="16043"/>
    <cellStyle name="Normal 23 3 4 3" xfId="7822"/>
    <cellStyle name="Normal 23 3 4 3 2" xfId="14462"/>
    <cellStyle name="Normal 23 3 4 4" xfId="12693"/>
    <cellStyle name="Normal 23 3 5" xfId="9954"/>
    <cellStyle name="Normal 23 3 5 2" xfId="16435"/>
    <cellStyle name="Normal 23 3 6" xfId="8299"/>
    <cellStyle name="Normal 23 3 6 2" xfId="14856"/>
    <cellStyle name="Normal 23 3 7" xfId="6580"/>
    <cellStyle name="Normal 23 3 7 2" xfId="13270"/>
    <cellStyle name="Normal 23 3 8" xfId="11480"/>
    <cellStyle name="Normal 23 4" xfId="4726"/>
    <cellStyle name="Normal 23 4 2" xfId="8470"/>
    <cellStyle name="Normal 23 4 2 2" xfId="15022"/>
    <cellStyle name="Normal 23 4 3" xfId="6751"/>
    <cellStyle name="Normal 23 4 3 2" xfId="13441"/>
    <cellStyle name="Normal 23 4 4" xfId="11655"/>
    <cellStyle name="Normal 23 5" xfId="5165"/>
    <cellStyle name="Normal 23 5 2" xfId="8908"/>
    <cellStyle name="Normal 23 5 2 2" xfId="15452"/>
    <cellStyle name="Normal 23 5 3" xfId="7189"/>
    <cellStyle name="Normal 23 5 3 2" xfId="13871"/>
    <cellStyle name="Normal 23 5 4" xfId="12086"/>
    <cellStyle name="Normal 23 6" xfId="5598"/>
    <cellStyle name="Normal 23 6 2" xfId="9339"/>
    <cellStyle name="Normal 23 6 2 2" xfId="15846"/>
    <cellStyle name="Normal 23 6 3" xfId="7620"/>
    <cellStyle name="Normal 23 6 3 2" xfId="14265"/>
    <cellStyle name="Normal 23 6 4" xfId="12491"/>
    <cellStyle name="Normal 23 7" xfId="9714"/>
    <cellStyle name="Normal 23 7 2" xfId="16207"/>
    <cellStyle name="Normal 23 8" xfId="8059"/>
    <cellStyle name="Normal 23 8 2" xfId="14659"/>
    <cellStyle name="Normal 23 9" xfId="6332"/>
    <cellStyle name="Normal 23 9 2" xfId="13055"/>
    <cellStyle name="Normal 24" xfId="4127"/>
    <cellStyle name="Normal 24 10" xfId="11276"/>
    <cellStyle name="Normal 24 2" xfId="4128"/>
    <cellStyle name="Normal 24 2 2" xfId="4538"/>
    <cellStyle name="Normal 24 2 2 2" xfId="4959"/>
    <cellStyle name="Normal 24 2 2 2 2" xfId="8702"/>
    <cellStyle name="Normal 24 2 2 2 2 2" xfId="15250"/>
    <cellStyle name="Normal 24 2 2 2 3" xfId="6983"/>
    <cellStyle name="Normal 24 2 2 2 3 2" xfId="13669"/>
    <cellStyle name="Normal 24 2 2 2 4" xfId="11884"/>
    <cellStyle name="Normal 24 2 2 3" xfId="5365"/>
    <cellStyle name="Normal 24 2 2 3 2" xfId="9108"/>
    <cellStyle name="Normal 24 2 2 3 2 2" xfId="15652"/>
    <cellStyle name="Normal 24 2 2 3 3" xfId="7389"/>
    <cellStyle name="Normal 24 2 2 3 3 2" xfId="14071"/>
    <cellStyle name="Normal 24 2 2 3 4" xfId="12286"/>
    <cellStyle name="Normal 24 2 2 4" xfId="5803"/>
    <cellStyle name="Normal 24 2 2 4 2" xfId="9544"/>
    <cellStyle name="Normal 24 2 2 4 2 2" xfId="16046"/>
    <cellStyle name="Normal 24 2 2 4 3" xfId="7825"/>
    <cellStyle name="Normal 24 2 2 4 3 2" xfId="14465"/>
    <cellStyle name="Normal 24 2 2 4 4" xfId="12696"/>
    <cellStyle name="Normal 24 2 2 5" xfId="9955"/>
    <cellStyle name="Normal 24 2 2 5 2" xfId="16436"/>
    <cellStyle name="Normal 24 2 2 6" xfId="8302"/>
    <cellStyle name="Normal 24 2 2 6 2" xfId="14859"/>
    <cellStyle name="Normal 24 2 2 7" xfId="6583"/>
    <cellStyle name="Normal 24 2 2 7 2" xfId="13273"/>
    <cellStyle name="Normal 24 2 2 8" xfId="11483"/>
    <cellStyle name="Normal 24 2 3" xfId="4809"/>
    <cellStyle name="Normal 24 2 3 2" xfId="8552"/>
    <cellStyle name="Normal 24 2 3 2 2" xfId="15104"/>
    <cellStyle name="Normal 24 2 3 3" xfId="6833"/>
    <cellStyle name="Normal 24 2 3 3 2" xfId="13523"/>
    <cellStyle name="Normal 24 2 3 4" xfId="11738"/>
    <cellStyle name="Normal 24 2 4" xfId="5168"/>
    <cellStyle name="Normal 24 2 4 2" xfId="8911"/>
    <cellStyle name="Normal 24 2 4 2 2" xfId="15455"/>
    <cellStyle name="Normal 24 2 4 3" xfId="7192"/>
    <cellStyle name="Normal 24 2 4 3 2" xfId="13874"/>
    <cellStyle name="Normal 24 2 4 4" xfId="12089"/>
    <cellStyle name="Normal 24 2 5" xfId="5601"/>
    <cellStyle name="Normal 24 2 5 2" xfId="9342"/>
    <cellStyle name="Normal 24 2 5 2 2" xfId="15849"/>
    <cellStyle name="Normal 24 2 5 3" xfId="7623"/>
    <cellStyle name="Normal 24 2 5 3 2" xfId="14268"/>
    <cellStyle name="Normal 24 2 5 4" xfId="12494"/>
    <cellStyle name="Normal 24 2 6" xfId="9799"/>
    <cellStyle name="Normal 24 2 6 2" xfId="16290"/>
    <cellStyle name="Normal 24 2 7" xfId="8062"/>
    <cellStyle name="Normal 24 2 7 2" xfId="14662"/>
    <cellStyle name="Normal 24 2 8" xfId="6335"/>
    <cellStyle name="Normal 24 2 8 2" xfId="13058"/>
    <cellStyle name="Normal 24 2 9" xfId="11277"/>
    <cellStyle name="Normal 24 3" xfId="4537"/>
    <cellStyle name="Normal 24 3 2" xfId="4960"/>
    <cellStyle name="Normal 24 3 2 2" xfId="8703"/>
    <cellStyle name="Normal 24 3 2 2 2" xfId="15251"/>
    <cellStyle name="Normal 24 3 2 3" xfId="6984"/>
    <cellStyle name="Normal 24 3 2 3 2" xfId="13670"/>
    <cellStyle name="Normal 24 3 2 4" xfId="11885"/>
    <cellStyle name="Normal 24 3 3" xfId="5364"/>
    <cellStyle name="Normal 24 3 3 2" xfId="9107"/>
    <cellStyle name="Normal 24 3 3 2 2" xfId="15651"/>
    <cellStyle name="Normal 24 3 3 3" xfId="7388"/>
    <cellStyle name="Normal 24 3 3 3 2" xfId="14070"/>
    <cellStyle name="Normal 24 3 3 4" xfId="12285"/>
    <cellStyle name="Normal 24 3 4" xfId="5802"/>
    <cellStyle name="Normal 24 3 4 2" xfId="9543"/>
    <cellStyle name="Normal 24 3 4 2 2" xfId="16045"/>
    <cellStyle name="Normal 24 3 4 3" xfId="7824"/>
    <cellStyle name="Normal 24 3 4 3 2" xfId="14464"/>
    <cellStyle name="Normal 24 3 4 4" xfId="12695"/>
    <cellStyle name="Normal 24 3 5" xfId="9956"/>
    <cellStyle name="Normal 24 3 5 2" xfId="16437"/>
    <cellStyle name="Normal 24 3 6" xfId="8301"/>
    <cellStyle name="Normal 24 3 6 2" xfId="14858"/>
    <cellStyle name="Normal 24 3 7" xfId="6582"/>
    <cellStyle name="Normal 24 3 7 2" xfId="13272"/>
    <cellStyle name="Normal 24 3 8" xfId="11482"/>
    <cellStyle name="Normal 24 4" xfId="4727"/>
    <cellStyle name="Normal 24 4 2" xfId="8471"/>
    <cellStyle name="Normal 24 4 2 2" xfId="15023"/>
    <cellStyle name="Normal 24 4 3" xfId="6752"/>
    <cellStyle name="Normal 24 4 3 2" xfId="13442"/>
    <cellStyle name="Normal 24 4 4" xfId="11656"/>
    <cellStyle name="Normal 24 5" xfId="5167"/>
    <cellStyle name="Normal 24 5 2" xfId="8910"/>
    <cellStyle name="Normal 24 5 2 2" xfId="15454"/>
    <cellStyle name="Normal 24 5 3" xfId="7191"/>
    <cellStyle name="Normal 24 5 3 2" xfId="13873"/>
    <cellStyle name="Normal 24 5 4" xfId="12088"/>
    <cellStyle name="Normal 24 6" xfId="5600"/>
    <cellStyle name="Normal 24 6 2" xfId="9341"/>
    <cellStyle name="Normal 24 6 2 2" xfId="15848"/>
    <cellStyle name="Normal 24 6 3" xfId="7622"/>
    <cellStyle name="Normal 24 6 3 2" xfId="14267"/>
    <cellStyle name="Normal 24 6 4" xfId="12493"/>
    <cellStyle name="Normal 24 7" xfId="9715"/>
    <cellStyle name="Normal 24 7 2" xfId="16208"/>
    <cellStyle name="Normal 24 8" xfId="8061"/>
    <cellStyle name="Normal 24 8 2" xfId="14661"/>
    <cellStyle name="Normal 24 9" xfId="6334"/>
    <cellStyle name="Normal 24 9 2" xfId="13057"/>
    <cellStyle name="Normal 25" xfId="4129"/>
    <cellStyle name="Normal 25 10" xfId="11278"/>
    <cellStyle name="Normal 25 2" xfId="4130"/>
    <cellStyle name="Normal 25 3" xfId="4539"/>
    <cellStyle name="Normal 25 3 2" xfId="4961"/>
    <cellStyle name="Normal 25 3 2 2" xfId="8704"/>
    <cellStyle name="Normal 25 3 2 2 2" xfId="15252"/>
    <cellStyle name="Normal 25 3 2 3" xfId="6985"/>
    <cellStyle name="Normal 25 3 2 3 2" xfId="13671"/>
    <cellStyle name="Normal 25 3 2 4" xfId="11886"/>
    <cellStyle name="Normal 25 3 3" xfId="5366"/>
    <cellStyle name="Normal 25 3 3 2" xfId="9109"/>
    <cellStyle name="Normal 25 3 3 2 2" xfId="15653"/>
    <cellStyle name="Normal 25 3 3 3" xfId="7390"/>
    <cellStyle name="Normal 25 3 3 3 2" xfId="14072"/>
    <cellStyle name="Normal 25 3 3 4" xfId="12287"/>
    <cellStyle name="Normal 25 3 4" xfId="5804"/>
    <cellStyle name="Normal 25 3 4 2" xfId="9545"/>
    <cellStyle name="Normal 25 3 4 2 2" xfId="16047"/>
    <cellStyle name="Normal 25 3 4 3" xfId="7826"/>
    <cellStyle name="Normal 25 3 4 3 2" xfId="14466"/>
    <cellStyle name="Normal 25 3 4 4" xfId="12697"/>
    <cellStyle name="Normal 25 3 5" xfId="9957"/>
    <cellStyle name="Normal 25 3 5 2" xfId="16438"/>
    <cellStyle name="Normal 25 3 6" xfId="8303"/>
    <cellStyle name="Normal 25 3 6 2" xfId="14860"/>
    <cellStyle name="Normal 25 3 7" xfId="6584"/>
    <cellStyle name="Normal 25 3 7 2" xfId="13274"/>
    <cellStyle name="Normal 25 3 8" xfId="11484"/>
    <cellStyle name="Normal 25 4" xfId="4734"/>
    <cellStyle name="Normal 25 4 2" xfId="8477"/>
    <cellStyle name="Normal 25 4 2 2" xfId="15029"/>
    <cellStyle name="Normal 25 4 3" xfId="6758"/>
    <cellStyle name="Normal 25 4 3 2" xfId="13448"/>
    <cellStyle name="Normal 25 4 4" xfId="11663"/>
    <cellStyle name="Normal 25 5" xfId="5169"/>
    <cellStyle name="Normal 25 5 2" xfId="8912"/>
    <cellStyle name="Normal 25 5 2 2" xfId="15456"/>
    <cellStyle name="Normal 25 5 3" xfId="7193"/>
    <cellStyle name="Normal 25 5 3 2" xfId="13875"/>
    <cellStyle name="Normal 25 5 4" xfId="12090"/>
    <cellStyle name="Normal 25 6" xfId="5602"/>
    <cellStyle name="Normal 25 6 2" xfId="9343"/>
    <cellStyle name="Normal 25 6 2 2" xfId="15850"/>
    <cellStyle name="Normal 25 6 3" xfId="7624"/>
    <cellStyle name="Normal 25 6 3 2" xfId="14269"/>
    <cellStyle name="Normal 25 6 4" xfId="12495"/>
    <cellStyle name="Normal 25 7" xfId="9722"/>
    <cellStyle name="Normal 25 7 2" xfId="16215"/>
    <cellStyle name="Normal 25 8" xfId="8063"/>
    <cellStyle name="Normal 25 8 2" xfId="14663"/>
    <cellStyle name="Normal 25 9" xfId="6336"/>
    <cellStyle name="Normal 25 9 2" xfId="13059"/>
    <cellStyle name="Normal 26" xfId="4131"/>
    <cellStyle name="Normal 26 2" xfId="4540"/>
    <cellStyle name="Normal 26 2 2" xfId="4962"/>
    <cellStyle name="Normal 26 2 2 2" xfId="8705"/>
    <cellStyle name="Normal 26 2 2 2 2" xfId="15253"/>
    <cellStyle name="Normal 26 2 2 3" xfId="6986"/>
    <cellStyle name="Normal 26 2 2 3 2" xfId="13672"/>
    <cellStyle name="Normal 26 2 2 4" xfId="11887"/>
    <cellStyle name="Normal 26 2 3" xfId="5367"/>
    <cellStyle name="Normal 26 2 3 2" xfId="9110"/>
    <cellStyle name="Normal 26 2 3 2 2" xfId="15654"/>
    <cellStyle name="Normal 26 2 3 3" xfId="7391"/>
    <cellStyle name="Normal 26 2 3 3 2" xfId="14073"/>
    <cellStyle name="Normal 26 2 3 4" xfId="12288"/>
    <cellStyle name="Normal 26 2 4" xfId="5805"/>
    <cellStyle name="Normal 26 2 4 2" xfId="9546"/>
    <cellStyle name="Normal 26 2 4 2 2" xfId="16048"/>
    <cellStyle name="Normal 26 2 4 3" xfId="7827"/>
    <cellStyle name="Normal 26 2 4 3 2" xfId="14467"/>
    <cellStyle name="Normal 26 2 4 4" xfId="12698"/>
    <cellStyle name="Normal 26 2 5" xfId="9958"/>
    <cellStyle name="Normal 26 2 5 2" xfId="16439"/>
    <cellStyle name="Normal 26 2 6" xfId="8304"/>
    <cellStyle name="Normal 26 2 6 2" xfId="14861"/>
    <cellStyle name="Normal 26 2 7" xfId="6585"/>
    <cellStyle name="Normal 26 2 7 2" xfId="13275"/>
    <cellStyle name="Normal 26 2 8" xfId="11485"/>
    <cellStyle name="Normal 26 3" xfId="4737"/>
    <cellStyle name="Normal 26 3 2" xfId="8480"/>
    <cellStyle name="Normal 26 3 2 2" xfId="15032"/>
    <cellStyle name="Normal 26 3 3" xfId="6761"/>
    <cellStyle name="Normal 26 3 3 2" xfId="13451"/>
    <cellStyle name="Normal 26 3 4" xfId="11666"/>
    <cellStyle name="Normal 26 4" xfId="5170"/>
    <cellStyle name="Normal 26 4 2" xfId="8913"/>
    <cellStyle name="Normal 26 4 2 2" xfId="15457"/>
    <cellStyle name="Normal 26 4 3" xfId="7194"/>
    <cellStyle name="Normal 26 4 3 2" xfId="13876"/>
    <cellStyle name="Normal 26 4 4" xfId="12091"/>
    <cellStyle name="Normal 26 5" xfId="5603"/>
    <cellStyle name="Normal 26 5 2" xfId="9344"/>
    <cellStyle name="Normal 26 5 2 2" xfId="15851"/>
    <cellStyle name="Normal 26 5 3" xfId="7625"/>
    <cellStyle name="Normal 26 5 3 2" xfId="14270"/>
    <cellStyle name="Normal 26 5 4" xfId="12496"/>
    <cellStyle name="Normal 26 6" xfId="9725"/>
    <cellStyle name="Normal 26 6 2" xfId="16218"/>
    <cellStyle name="Normal 26 7" xfId="8064"/>
    <cellStyle name="Normal 26 7 2" xfId="14664"/>
    <cellStyle name="Normal 26 8" xfId="6337"/>
    <cellStyle name="Normal 26 8 2" xfId="13060"/>
    <cellStyle name="Normal 26 9" xfId="11279"/>
    <cellStyle name="Normal 27" xfId="4132"/>
    <cellStyle name="Normal 27 2" xfId="4541"/>
    <cellStyle name="Normal 27 2 2" xfId="4963"/>
    <cellStyle name="Normal 27 2 2 2" xfId="8706"/>
    <cellStyle name="Normal 27 2 2 2 2" xfId="15254"/>
    <cellStyle name="Normal 27 2 2 3" xfId="6987"/>
    <cellStyle name="Normal 27 2 2 3 2" xfId="13673"/>
    <cellStyle name="Normal 27 2 2 4" xfId="11888"/>
    <cellStyle name="Normal 27 2 3" xfId="5368"/>
    <cellStyle name="Normal 27 2 3 2" xfId="9111"/>
    <cellStyle name="Normal 27 2 3 2 2" xfId="15655"/>
    <cellStyle name="Normal 27 2 3 3" xfId="7392"/>
    <cellStyle name="Normal 27 2 3 3 2" xfId="14074"/>
    <cellStyle name="Normal 27 2 3 4" xfId="12289"/>
    <cellStyle name="Normal 27 2 4" xfId="5806"/>
    <cellStyle name="Normal 27 2 4 2" xfId="9547"/>
    <cellStyle name="Normal 27 2 4 2 2" xfId="16049"/>
    <cellStyle name="Normal 27 2 4 3" xfId="7828"/>
    <cellStyle name="Normal 27 2 4 3 2" xfId="14468"/>
    <cellStyle name="Normal 27 2 4 4" xfId="12699"/>
    <cellStyle name="Normal 27 2 5" xfId="9959"/>
    <cellStyle name="Normal 27 2 5 2" xfId="16440"/>
    <cellStyle name="Normal 27 2 6" xfId="8305"/>
    <cellStyle name="Normal 27 2 6 2" xfId="14862"/>
    <cellStyle name="Normal 27 2 7" xfId="6586"/>
    <cellStyle name="Normal 27 2 7 2" xfId="13276"/>
    <cellStyle name="Normal 27 2 8" xfId="11486"/>
    <cellStyle name="Normal 27 3" xfId="4739"/>
    <cellStyle name="Normal 27 3 2" xfId="8482"/>
    <cellStyle name="Normal 27 3 2 2" xfId="15034"/>
    <cellStyle name="Normal 27 3 3" xfId="6763"/>
    <cellStyle name="Normal 27 3 3 2" xfId="13453"/>
    <cellStyle name="Normal 27 3 4" xfId="11668"/>
    <cellStyle name="Normal 27 4" xfId="5171"/>
    <cellStyle name="Normal 27 4 2" xfId="8914"/>
    <cellStyle name="Normal 27 4 2 2" xfId="15458"/>
    <cellStyle name="Normal 27 4 3" xfId="7195"/>
    <cellStyle name="Normal 27 4 3 2" xfId="13877"/>
    <cellStyle name="Normal 27 4 4" xfId="12092"/>
    <cellStyle name="Normal 27 5" xfId="5604"/>
    <cellStyle name="Normal 27 5 2" xfId="9345"/>
    <cellStyle name="Normal 27 5 2 2" xfId="15852"/>
    <cellStyle name="Normal 27 5 3" xfId="7626"/>
    <cellStyle name="Normal 27 5 3 2" xfId="14271"/>
    <cellStyle name="Normal 27 5 4" xfId="12497"/>
    <cellStyle name="Normal 27 6" xfId="9727"/>
    <cellStyle name="Normal 27 6 2" xfId="16220"/>
    <cellStyle name="Normal 27 7" xfId="8065"/>
    <cellStyle name="Normal 27 7 2" xfId="14665"/>
    <cellStyle name="Normal 27 8" xfId="6338"/>
    <cellStyle name="Normal 27 8 2" xfId="13061"/>
    <cellStyle name="Normal 27 9" xfId="11280"/>
    <cellStyle name="Normal 28" xfId="4133"/>
    <cellStyle name="Normal 28 2" xfId="4542"/>
    <cellStyle name="Normal 28 2 2" xfId="4964"/>
    <cellStyle name="Normal 28 2 2 2" xfId="8707"/>
    <cellStyle name="Normal 28 2 2 2 2" xfId="15255"/>
    <cellStyle name="Normal 28 2 2 3" xfId="6988"/>
    <cellStyle name="Normal 28 2 2 3 2" xfId="13674"/>
    <cellStyle name="Normal 28 2 2 4" xfId="11889"/>
    <cellStyle name="Normal 28 2 3" xfId="5369"/>
    <cellStyle name="Normal 28 2 3 2" xfId="9112"/>
    <cellStyle name="Normal 28 2 3 2 2" xfId="15656"/>
    <cellStyle name="Normal 28 2 3 3" xfId="7393"/>
    <cellStyle name="Normal 28 2 3 3 2" xfId="14075"/>
    <cellStyle name="Normal 28 2 3 4" xfId="12290"/>
    <cellStyle name="Normal 28 2 4" xfId="5807"/>
    <cellStyle name="Normal 28 2 4 2" xfId="9548"/>
    <cellStyle name="Normal 28 2 4 2 2" xfId="16050"/>
    <cellStyle name="Normal 28 2 4 3" xfId="7829"/>
    <cellStyle name="Normal 28 2 4 3 2" xfId="14469"/>
    <cellStyle name="Normal 28 2 4 4" xfId="12700"/>
    <cellStyle name="Normal 28 2 5" xfId="9960"/>
    <cellStyle name="Normal 28 2 5 2" xfId="16441"/>
    <cellStyle name="Normal 28 2 6" xfId="8306"/>
    <cellStyle name="Normal 28 2 6 2" xfId="14863"/>
    <cellStyle name="Normal 28 2 7" xfId="6587"/>
    <cellStyle name="Normal 28 2 7 2" xfId="13277"/>
    <cellStyle name="Normal 28 2 8" xfId="11487"/>
    <cellStyle name="Normal 28 3" xfId="4741"/>
    <cellStyle name="Normal 28 3 2" xfId="8484"/>
    <cellStyle name="Normal 28 3 2 2" xfId="15036"/>
    <cellStyle name="Normal 28 3 3" xfId="6765"/>
    <cellStyle name="Normal 28 3 3 2" xfId="13455"/>
    <cellStyle name="Normal 28 3 4" xfId="11670"/>
    <cellStyle name="Normal 28 4" xfId="5172"/>
    <cellStyle name="Normal 28 4 2" xfId="8915"/>
    <cellStyle name="Normal 28 4 2 2" xfId="15459"/>
    <cellStyle name="Normal 28 4 3" xfId="7196"/>
    <cellStyle name="Normal 28 4 3 2" xfId="13878"/>
    <cellStyle name="Normal 28 4 4" xfId="12093"/>
    <cellStyle name="Normal 28 5" xfId="5605"/>
    <cellStyle name="Normal 28 5 2" xfId="9346"/>
    <cellStyle name="Normal 28 5 2 2" xfId="15853"/>
    <cellStyle name="Normal 28 5 3" xfId="7627"/>
    <cellStyle name="Normal 28 5 3 2" xfId="14272"/>
    <cellStyle name="Normal 28 5 4" xfId="12498"/>
    <cellStyle name="Normal 28 6" xfId="9729"/>
    <cellStyle name="Normal 28 6 2" xfId="16222"/>
    <cellStyle name="Normal 28 7" xfId="8066"/>
    <cellStyle name="Normal 28 7 2" xfId="14666"/>
    <cellStyle name="Normal 28 8" xfId="6339"/>
    <cellStyle name="Normal 28 8 2" xfId="13062"/>
    <cellStyle name="Normal 28 9" xfId="11281"/>
    <cellStyle name="Normal 29" xfId="4134"/>
    <cellStyle name="Normal 29 2" xfId="4543"/>
    <cellStyle name="Normal 29 2 2" xfId="4965"/>
    <cellStyle name="Normal 29 2 2 2" xfId="8708"/>
    <cellStyle name="Normal 29 2 2 2 2" xfId="15256"/>
    <cellStyle name="Normal 29 2 2 3" xfId="6989"/>
    <cellStyle name="Normal 29 2 2 3 2" xfId="13675"/>
    <cellStyle name="Normal 29 2 2 4" xfId="11890"/>
    <cellStyle name="Normal 29 2 3" xfId="5370"/>
    <cellStyle name="Normal 29 2 3 2" xfId="9113"/>
    <cellStyle name="Normal 29 2 3 2 2" xfId="15657"/>
    <cellStyle name="Normal 29 2 3 3" xfId="7394"/>
    <cellStyle name="Normal 29 2 3 3 2" xfId="14076"/>
    <cellStyle name="Normal 29 2 3 4" xfId="12291"/>
    <cellStyle name="Normal 29 2 4" xfId="5808"/>
    <cellStyle name="Normal 29 2 4 2" xfId="9549"/>
    <cellStyle name="Normal 29 2 4 2 2" xfId="16051"/>
    <cellStyle name="Normal 29 2 4 3" xfId="7830"/>
    <cellStyle name="Normal 29 2 4 3 2" xfId="14470"/>
    <cellStyle name="Normal 29 2 4 4" xfId="12701"/>
    <cellStyle name="Normal 29 2 5" xfId="9961"/>
    <cellStyle name="Normal 29 2 5 2" xfId="16442"/>
    <cellStyle name="Normal 29 2 6" xfId="8307"/>
    <cellStyle name="Normal 29 2 6 2" xfId="14864"/>
    <cellStyle name="Normal 29 2 7" xfId="6588"/>
    <cellStyle name="Normal 29 2 7 2" xfId="13278"/>
    <cellStyle name="Normal 29 2 8" xfId="11488"/>
    <cellStyle name="Normal 29 3" xfId="4743"/>
    <cellStyle name="Normal 29 3 2" xfId="8486"/>
    <cellStyle name="Normal 29 3 2 2" xfId="15038"/>
    <cellStyle name="Normal 29 3 3" xfId="6767"/>
    <cellStyle name="Normal 29 3 3 2" xfId="13457"/>
    <cellStyle name="Normal 29 3 4" xfId="11672"/>
    <cellStyle name="Normal 29 4" xfId="5173"/>
    <cellStyle name="Normal 29 4 2" xfId="8916"/>
    <cellStyle name="Normal 29 4 2 2" xfId="15460"/>
    <cellStyle name="Normal 29 4 3" xfId="7197"/>
    <cellStyle name="Normal 29 4 3 2" xfId="13879"/>
    <cellStyle name="Normal 29 4 4" xfId="12094"/>
    <cellStyle name="Normal 29 5" xfId="5606"/>
    <cellStyle name="Normal 29 5 2" xfId="9347"/>
    <cellStyle name="Normal 29 5 2 2" xfId="15854"/>
    <cellStyle name="Normal 29 5 3" xfId="7628"/>
    <cellStyle name="Normal 29 5 3 2" xfId="14273"/>
    <cellStyle name="Normal 29 5 4" xfId="12499"/>
    <cellStyle name="Normal 29 6" xfId="9731"/>
    <cellStyle name="Normal 29 6 2" xfId="16224"/>
    <cellStyle name="Normal 29 7" xfId="8067"/>
    <cellStyle name="Normal 29 7 2" xfId="14667"/>
    <cellStyle name="Normal 29 8" xfId="6340"/>
    <cellStyle name="Normal 29 8 2" xfId="13063"/>
    <cellStyle name="Normal 29 9" xfId="11282"/>
    <cellStyle name="Normal 3" xfId="3"/>
    <cellStyle name="Normal 3 2" xfId="23"/>
    <cellStyle name="Normal 3 3" xfId="4135"/>
    <cellStyle name="Normal 3 3 2 5 15 2 4" xfId="4136"/>
    <cellStyle name="Normal 3 5" xfId="4137"/>
    <cellStyle name="Normal 30" xfId="4138"/>
    <cellStyle name="Normal 30 2" xfId="4544"/>
    <cellStyle name="Normal 30 2 2" xfId="4966"/>
    <cellStyle name="Normal 30 2 2 2" xfId="8709"/>
    <cellStyle name="Normal 30 2 2 2 2" xfId="15257"/>
    <cellStyle name="Normal 30 2 2 3" xfId="6990"/>
    <cellStyle name="Normal 30 2 2 3 2" xfId="13676"/>
    <cellStyle name="Normal 30 2 2 4" xfId="11891"/>
    <cellStyle name="Normal 30 2 3" xfId="5371"/>
    <cellStyle name="Normal 30 2 3 2" xfId="9114"/>
    <cellStyle name="Normal 30 2 3 2 2" xfId="15658"/>
    <cellStyle name="Normal 30 2 3 3" xfId="7395"/>
    <cellStyle name="Normal 30 2 3 3 2" xfId="14077"/>
    <cellStyle name="Normal 30 2 3 4" xfId="12292"/>
    <cellStyle name="Normal 30 2 4" xfId="5809"/>
    <cellStyle name="Normal 30 2 4 2" xfId="9550"/>
    <cellStyle name="Normal 30 2 4 2 2" xfId="16052"/>
    <cellStyle name="Normal 30 2 4 3" xfId="7831"/>
    <cellStyle name="Normal 30 2 4 3 2" xfId="14471"/>
    <cellStyle name="Normal 30 2 4 4" xfId="12702"/>
    <cellStyle name="Normal 30 2 5" xfId="9962"/>
    <cellStyle name="Normal 30 2 5 2" xfId="16443"/>
    <cellStyle name="Normal 30 2 6" xfId="8308"/>
    <cellStyle name="Normal 30 2 6 2" xfId="14865"/>
    <cellStyle name="Normal 30 2 7" xfId="6589"/>
    <cellStyle name="Normal 30 2 7 2" xfId="13279"/>
    <cellStyle name="Normal 30 2 8" xfId="11489"/>
    <cellStyle name="Normal 30 3" xfId="4745"/>
    <cellStyle name="Normal 30 3 2" xfId="8488"/>
    <cellStyle name="Normal 30 3 2 2" xfId="15040"/>
    <cellStyle name="Normal 30 3 3" xfId="6769"/>
    <cellStyle name="Normal 30 3 3 2" xfId="13459"/>
    <cellStyle name="Normal 30 3 4" xfId="11674"/>
    <cellStyle name="Normal 30 4" xfId="5174"/>
    <cellStyle name="Normal 30 4 2" xfId="8917"/>
    <cellStyle name="Normal 30 4 2 2" xfId="15461"/>
    <cellStyle name="Normal 30 4 3" xfId="7198"/>
    <cellStyle name="Normal 30 4 3 2" xfId="13880"/>
    <cellStyle name="Normal 30 4 4" xfId="12095"/>
    <cellStyle name="Normal 30 5" xfId="5607"/>
    <cellStyle name="Normal 30 5 2" xfId="9348"/>
    <cellStyle name="Normal 30 5 2 2" xfId="15855"/>
    <cellStyle name="Normal 30 5 3" xfId="7629"/>
    <cellStyle name="Normal 30 5 3 2" xfId="14274"/>
    <cellStyle name="Normal 30 5 4" xfId="12500"/>
    <cellStyle name="Normal 30 6" xfId="9733"/>
    <cellStyle name="Normal 30 6 2" xfId="16226"/>
    <cellStyle name="Normal 30 7" xfId="8068"/>
    <cellStyle name="Normal 30 7 2" xfId="14668"/>
    <cellStyle name="Normal 30 8" xfId="6341"/>
    <cellStyle name="Normal 30 8 2" xfId="13064"/>
    <cellStyle name="Normal 30 9" xfId="11283"/>
    <cellStyle name="Normal 31" xfId="4139"/>
    <cellStyle name="Normal 31 2" xfId="4545"/>
    <cellStyle name="Normal 31 2 2" xfId="4967"/>
    <cellStyle name="Normal 31 2 2 2" xfId="8710"/>
    <cellStyle name="Normal 31 2 2 2 2" xfId="15258"/>
    <cellStyle name="Normal 31 2 2 3" xfId="6991"/>
    <cellStyle name="Normal 31 2 2 3 2" xfId="13677"/>
    <cellStyle name="Normal 31 2 2 4" xfId="11892"/>
    <cellStyle name="Normal 31 2 3" xfId="5372"/>
    <cellStyle name="Normal 31 2 3 2" xfId="9115"/>
    <cellStyle name="Normal 31 2 3 2 2" xfId="15659"/>
    <cellStyle name="Normal 31 2 3 3" xfId="7396"/>
    <cellStyle name="Normal 31 2 3 3 2" xfId="14078"/>
    <cellStyle name="Normal 31 2 3 4" xfId="12293"/>
    <cellStyle name="Normal 31 2 4" xfId="5810"/>
    <cellStyle name="Normal 31 2 4 2" xfId="9551"/>
    <cellStyle name="Normal 31 2 4 2 2" xfId="16053"/>
    <cellStyle name="Normal 31 2 4 3" xfId="7832"/>
    <cellStyle name="Normal 31 2 4 3 2" xfId="14472"/>
    <cellStyle name="Normal 31 2 4 4" xfId="12703"/>
    <cellStyle name="Normal 31 2 5" xfId="9963"/>
    <cellStyle name="Normal 31 2 5 2" xfId="16444"/>
    <cellStyle name="Normal 31 2 6" xfId="8309"/>
    <cellStyle name="Normal 31 2 6 2" xfId="14866"/>
    <cellStyle name="Normal 31 2 7" xfId="6590"/>
    <cellStyle name="Normal 31 2 7 2" xfId="13280"/>
    <cellStyle name="Normal 31 2 8" xfId="11490"/>
    <cellStyle name="Normal 31 3" xfId="4747"/>
    <cellStyle name="Normal 31 3 2" xfId="8490"/>
    <cellStyle name="Normal 31 3 2 2" xfId="15042"/>
    <cellStyle name="Normal 31 3 3" xfId="6771"/>
    <cellStyle name="Normal 31 3 3 2" xfId="13461"/>
    <cellStyle name="Normal 31 3 4" xfId="11676"/>
    <cellStyle name="Normal 31 4" xfId="5175"/>
    <cellStyle name="Normal 31 4 2" xfId="8918"/>
    <cellStyle name="Normal 31 4 2 2" xfId="15462"/>
    <cellStyle name="Normal 31 4 3" xfId="7199"/>
    <cellStyle name="Normal 31 4 3 2" xfId="13881"/>
    <cellStyle name="Normal 31 4 4" xfId="12096"/>
    <cellStyle name="Normal 31 5" xfId="5608"/>
    <cellStyle name="Normal 31 5 2" xfId="9349"/>
    <cellStyle name="Normal 31 5 2 2" xfId="15856"/>
    <cellStyle name="Normal 31 5 3" xfId="7630"/>
    <cellStyle name="Normal 31 5 3 2" xfId="14275"/>
    <cellStyle name="Normal 31 5 4" xfId="12501"/>
    <cellStyle name="Normal 31 6" xfId="9735"/>
    <cellStyle name="Normal 31 6 2" xfId="16228"/>
    <cellStyle name="Normal 31 7" xfId="8069"/>
    <cellStyle name="Normal 31 7 2" xfId="14669"/>
    <cellStyle name="Normal 31 8" xfId="6342"/>
    <cellStyle name="Normal 31 8 2" xfId="13065"/>
    <cellStyle name="Normal 31 9" xfId="11284"/>
    <cellStyle name="Normal 32" xfId="4140"/>
    <cellStyle name="Normal 32 2" xfId="4546"/>
    <cellStyle name="Normal 32 2 2" xfId="4968"/>
    <cellStyle name="Normal 32 2 2 2" xfId="8711"/>
    <cellStyle name="Normal 32 2 2 2 2" xfId="15259"/>
    <cellStyle name="Normal 32 2 2 3" xfId="6992"/>
    <cellStyle name="Normal 32 2 2 3 2" xfId="13678"/>
    <cellStyle name="Normal 32 2 2 4" xfId="11893"/>
    <cellStyle name="Normal 32 2 3" xfId="5373"/>
    <cellStyle name="Normal 32 2 3 2" xfId="9116"/>
    <cellStyle name="Normal 32 2 3 2 2" xfId="15660"/>
    <cellStyle name="Normal 32 2 3 3" xfId="7397"/>
    <cellStyle name="Normal 32 2 3 3 2" xfId="14079"/>
    <cellStyle name="Normal 32 2 3 4" xfId="12294"/>
    <cellStyle name="Normal 32 2 4" xfId="5811"/>
    <cellStyle name="Normal 32 2 4 2" xfId="9552"/>
    <cellStyle name="Normal 32 2 4 2 2" xfId="16054"/>
    <cellStyle name="Normal 32 2 4 3" xfId="7833"/>
    <cellStyle name="Normal 32 2 4 3 2" xfId="14473"/>
    <cellStyle name="Normal 32 2 4 4" xfId="12704"/>
    <cellStyle name="Normal 32 2 5" xfId="9964"/>
    <cellStyle name="Normal 32 2 5 2" xfId="16445"/>
    <cellStyle name="Normal 32 2 6" xfId="8310"/>
    <cellStyle name="Normal 32 2 6 2" xfId="14867"/>
    <cellStyle name="Normal 32 2 7" xfId="6591"/>
    <cellStyle name="Normal 32 2 7 2" xfId="13281"/>
    <cellStyle name="Normal 32 2 8" xfId="11491"/>
    <cellStyle name="Normal 32 3" xfId="4749"/>
    <cellStyle name="Normal 32 3 2" xfId="8492"/>
    <cellStyle name="Normal 32 3 2 2" xfId="15044"/>
    <cellStyle name="Normal 32 3 3" xfId="6773"/>
    <cellStyle name="Normal 32 3 3 2" xfId="13463"/>
    <cellStyle name="Normal 32 3 4" xfId="11678"/>
    <cellStyle name="Normal 32 4" xfId="5176"/>
    <cellStyle name="Normal 32 4 2" xfId="8919"/>
    <cellStyle name="Normal 32 4 2 2" xfId="15463"/>
    <cellStyle name="Normal 32 4 3" xfId="7200"/>
    <cellStyle name="Normal 32 4 3 2" xfId="13882"/>
    <cellStyle name="Normal 32 4 4" xfId="12097"/>
    <cellStyle name="Normal 32 5" xfId="5609"/>
    <cellStyle name="Normal 32 5 2" xfId="9350"/>
    <cellStyle name="Normal 32 5 2 2" xfId="15857"/>
    <cellStyle name="Normal 32 5 3" xfId="7631"/>
    <cellStyle name="Normal 32 5 3 2" xfId="14276"/>
    <cellStyle name="Normal 32 5 4" xfId="12502"/>
    <cellStyle name="Normal 32 6" xfId="9737"/>
    <cellStyle name="Normal 32 6 2" xfId="16230"/>
    <cellStyle name="Normal 32 7" xfId="8070"/>
    <cellStyle name="Normal 32 7 2" xfId="14670"/>
    <cellStyle name="Normal 32 8" xfId="6343"/>
    <cellStyle name="Normal 32 8 2" xfId="13066"/>
    <cellStyle name="Normal 32 9" xfId="11285"/>
    <cellStyle name="Normal 33" xfId="4141"/>
    <cellStyle name="Normal 33 2" xfId="4547"/>
    <cellStyle name="Normal 33 2 2" xfId="4969"/>
    <cellStyle name="Normal 33 2 2 2" xfId="8712"/>
    <cellStyle name="Normal 33 2 2 2 2" xfId="15260"/>
    <cellStyle name="Normal 33 2 2 3" xfId="6993"/>
    <cellStyle name="Normal 33 2 2 3 2" xfId="13679"/>
    <cellStyle name="Normal 33 2 2 4" xfId="11894"/>
    <cellStyle name="Normal 33 2 3" xfId="5374"/>
    <cellStyle name="Normal 33 2 3 2" xfId="9117"/>
    <cellStyle name="Normal 33 2 3 2 2" xfId="15661"/>
    <cellStyle name="Normal 33 2 3 3" xfId="7398"/>
    <cellStyle name="Normal 33 2 3 3 2" xfId="14080"/>
    <cellStyle name="Normal 33 2 3 4" xfId="12295"/>
    <cellStyle name="Normal 33 2 4" xfId="5812"/>
    <cellStyle name="Normal 33 2 4 2" xfId="9553"/>
    <cellStyle name="Normal 33 2 4 2 2" xfId="16055"/>
    <cellStyle name="Normal 33 2 4 3" xfId="7834"/>
    <cellStyle name="Normal 33 2 4 3 2" xfId="14474"/>
    <cellStyle name="Normal 33 2 4 4" xfId="12705"/>
    <cellStyle name="Normal 33 2 5" xfId="9965"/>
    <cellStyle name="Normal 33 2 5 2" xfId="16446"/>
    <cellStyle name="Normal 33 2 6" xfId="8311"/>
    <cellStyle name="Normal 33 2 6 2" xfId="14868"/>
    <cellStyle name="Normal 33 2 7" xfId="6592"/>
    <cellStyle name="Normal 33 2 7 2" xfId="13282"/>
    <cellStyle name="Normal 33 2 8" xfId="11492"/>
    <cellStyle name="Normal 33 3" xfId="4750"/>
    <cellStyle name="Normal 33 3 2" xfId="8493"/>
    <cellStyle name="Normal 33 3 2 2" xfId="15045"/>
    <cellStyle name="Normal 33 3 3" xfId="6774"/>
    <cellStyle name="Normal 33 3 3 2" xfId="13464"/>
    <cellStyle name="Normal 33 3 4" xfId="11679"/>
    <cellStyle name="Normal 33 4" xfId="5177"/>
    <cellStyle name="Normal 33 4 2" xfId="8920"/>
    <cellStyle name="Normal 33 4 2 2" xfId="15464"/>
    <cellStyle name="Normal 33 4 3" xfId="7201"/>
    <cellStyle name="Normal 33 4 3 2" xfId="13883"/>
    <cellStyle name="Normal 33 4 4" xfId="12098"/>
    <cellStyle name="Normal 33 5" xfId="5610"/>
    <cellStyle name="Normal 33 5 2" xfId="9351"/>
    <cellStyle name="Normal 33 5 2 2" xfId="15858"/>
    <cellStyle name="Normal 33 5 3" xfId="7632"/>
    <cellStyle name="Normal 33 5 3 2" xfId="14277"/>
    <cellStyle name="Normal 33 5 4" xfId="12503"/>
    <cellStyle name="Normal 33 6" xfId="9738"/>
    <cellStyle name="Normal 33 6 2" xfId="16231"/>
    <cellStyle name="Normal 33 7" xfId="8071"/>
    <cellStyle name="Normal 33 7 2" xfId="14671"/>
    <cellStyle name="Normal 33 8" xfId="6344"/>
    <cellStyle name="Normal 33 8 2" xfId="13067"/>
    <cellStyle name="Normal 33 9" xfId="11286"/>
    <cellStyle name="Normal 34" xfId="4142"/>
    <cellStyle name="Normal 34 2" xfId="4548"/>
    <cellStyle name="Normal 34 2 2" xfId="4970"/>
    <cellStyle name="Normal 34 2 2 2" xfId="8713"/>
    <cellStyle name="Normal 34 2 2 2 2" xfId="15261"/>
    <cellStyle name="Normal 34 2 2 3" xfId="6994"/>
    <cellStyle name="Normal 34 2 2 3 2" xfId="13680"/>
    <cellStyle name="Normal 34 2 2 4" xfId="11895"/>
    <cellStyle name="Normal 34 2 3" xfId="5375"/>
    <cellStyle name="Normal 34 2 3 2" xfId="9118"/>
    <cellStyle name="Normal 34 2 3 2 2" xfId="15662"/>
    <cellStyle name="Normal 34 2 3 3" xfId="7399"/>
    <cellStyle name="Normal 34 2 3 3 2" xfId="14081"/>
    <cellStyle name="Normal 34 2 3 4" xfId="12296"/>
    <cellStyle name="Normal 34 2 4" xfId="5813"/>
    <cellStyle name="Normal 34 2 4 2" xfId="9554"/>
    <cellStyle name="Normal 34 2 4 2 2" xfId="16056"/>
    <cellStyle name="Normal 34 2 4 3" xfId="7835"/>
    <cellStyle name="Normal 34 2 4 3 2" xfId="14475"/>
    <cellStyle name="Normal 34 2 4 4" xfId="12706"/>
    <cellStyle name="Normal 34 2 5" xfId="9966"/>
    <cellStyle name="Normal 34 2 5 2" xfId="16447"/>
    <cellStyle name="Normal 34 2 6" xfId="8312"/>
    <cellStyle name="Normal 34 2 6 2" xfId="14869"/>
    <cellStyle name="Normal 34 2 7" xfId="6593"/>
    <cellStyle name="Normal 34 2 7 2" xfId="13283"/>
    <cellStyle name="Normal 34 2 8" xfId="11493"/>
    <cellStyle name="Normal 34 3" xfId="4762"/>
    <cellStyle name="Normal 34 3 2" xfId="8505"/>
    <cellStyle name="Normal 34 3 2 2" xfId="15057"/>
    <cellStyle name="Normal 34 3 3" xfId="6786"/>
    <cellStyle name="Normal 34 3 3 2" xfId="13476"/>
    <cellStyle name="Normal 34 3 4" xfId="11691"/>
    <cellStyle name="Normal 34 4" xfId="5178"/>
    <cellStyle name="Normal 34 4 2" xfId="8921"/>
    <cellStyle name="Normal 34 4 2 2" xfId="15465"/>
    <cellStyle name="Normal 34 4 3" xfId="7202"/>
    <cellStyle name="Normal 34 4 3 2" xfId="13884"/>
    <cellStyle name="Normal 34 4 4" xfId="12099"/>
    <cellStyle name="Normal 34 5" xfId="5611"/>
    <cellStyle name="Normal 34 5 2" xfId="9352"/>
    <cellStyle name="Normal 34 5 2 2" xfId="15859"/>
    <cellStyle name="Normal 34 5 3" xfId="7633"/>
    <cellStyle name="Normal 34 5 3 2" xfId="14278"/>
    <cellStyle name="Normal 34 5 4" xfId="12504"/>
    <cellStyle name="Normal 34 6" xfId="9752"/>
    <cellStyle name="Normal 34 6 2" xfId="16243"/>
    <cellStyle name="Normal 34 7" xfId="8072"/>
    <cellStyle name="Normal 34 7 2" xfId="14672"/>
    <cellStyle name="Normal 34 8" xfId="6345"/>
    <cellStyle name="Normal 34 8 2" xfId="13068"/>
    <cellStyle name="Normal 34 9" xfId="11287"/>
    <cellStyle name="Normal 35" xfId="4143"/>
    <cellStyle name="Normal 36" xfId="4144"/>
    <cellStyle name="Normal 37" xfId="4145"/>
    <cellStyle name="Normal 37 2" xfId="4549"/>
    <cellStyle name="Normal 37 2 2" xfId="4971"/>
    <cellStyle name="Normal 37 2 2 2" xfId="8714"/>
    <cellStyle name="Normal 37 2 2 2 2" xfId="15262"/>
    <cellStyle name="Normal 37 2 2 3" xfId="6995"/>
    <cellStyle name="Normal 37 2 2 3 2" xfId="13681"/>
    <cellStyle name="Normal 37 2 2 4" xfId="11896"/>
    <cellStyle name="Normal 37 2 3" xfId="5376"/>
    <cellStyle name="Normal 37 2 3 2" xfId="9119"/>
    <cellStyle name="Normal 37 2 3 2 2" xfId="15663"/>
    <cellStyle name="Normal 37 2 3 3" xfId="7400"/>
    <cellStyle name="Normal 37 2 3 3 2" xfId="14082"/>
    <cellStyle name="Normal 37 2 3 4" xfId="12297"/>
    <cellStyle name="Normal 37 2 4" xfId="5814"/>
    <cellStyle name="Normal 37 2 4 2" xfId="9555"/>
    <cellStyle name="Normal 37 2 4 2 2" xfId="16057"/>
    <cellStyle name="Normal 37 2 4 3" xfId="7836"/>
    <cellStyle name="Normal 37 2 4 3 2" xfId="14476"/>
    <cellStyle name="Normal 37 2 4 4" xfId="12707"/>
    <cellStyle name="Normal 37 2 5" xfId="9967"/>
    <cellStyle name="Normal 37 2 5 2" xfId="16448"/>
    <cellStyle name="Normal 37 2 6" xfId="8313"/>
    <cellStyle name="Normal 37 2 6 2" xfId="14870"/>
    <cellStyle name="Normal 37 2 7" xfId="6594"/>
    <cellStyle name="Normal 37 2 7 2" xfId="13284"/>
    <cellStyle name="Normal 37 2 8" xfId="11494"/>
    <cellStyle name="Normal 37 3" xfId="4754"/>
    <cellStyle name="Normal 37 3 2" xfId="8497"/>
    <cellStyle name="Normal 37 3 2 2" xfId="15049"/>
    <cellStyle name="Normal 37 3 3" xfId="6778"/>
    <cellStyle name="Normal 37 3 3 2" xfId="13468"/>
    <cellStyle name="Normal 37 3 4" xfId="11683"/>
    <cellStyle name="Normal 37 4" xfId="5179"/>
    <cellStyle name="Normal 37 4 2" xfId="8922"/>
    <cellStyle name="Normal 37 4 2 2" xfId="15466"/>
    <cellStyle name="Normal 37 4 3" xfId="7203"/>
    <cellStyle name="Normal 37 4 3 2" xfId="13885"/>
    <cellStyle name="Normal 37 4 4" xfId="12100"/>
    <cellStyle name="Normal 37 5" xfId="5612"/>
    <cellStyle name="Normal 37 5 2" xfId="9353"/>
    <cellStyle name="Normal 37 5 2 2" xfId="15860"/>
    <cellStyle name="Normal 37 5 3" xfId="7634"/>
    <cellStyle name="Normal 37 5 3 2" xfId="14279"/>
    <cellStyle name="Normal 37 5 4" xfId="12505"/>
    <cellStyle name="Normal 37 6" xfId="9742"/>
    <cellStyle name="Normal 37 6 2" xfId="16235"/>
    <cellStyle name="Normal 37 7" xfId="8073"/>
    <cellStyle name="Normal 37 7 2" xfId="14673"/>
    <cellStyle name="Normal 37 8" xfId="6346"/>
    <cellStyle name="Normal 37 8 2" xfId="13069"/>
    <cellStyle name="Normal 37 9" xfId="11288"/>
    <cellStyle name="Normal 38" xfId="4146"/>
    <cellStyle name="Normal 38 2" xfId="4550"/>
    <cellStyle name="Normal 38 2 2" xfId="4972"/>
    <cellStyle name="Normal 38 2 2 2" xfId="8715"/>
    <cellStyle name="Normal 38 2 2 2 2" xfId="15263"/>
    <cellStyle name="Normal 38 2 2 3" xfId="6996"/>
    <cellStyle name="Normal 38 2 2 3 2" xfId="13682"/>
    <cellStyle name="Normal 38 2 2 4" xfId="11897"/>
    <cellStyle name="Normal 38 2 3" xfId="5377"/>
    <cellStyle name="Normal 38 2 3 2" xfId="9120"/>
    <cellStyle name="Normal 38 2 3 2 2" xfId="15664"/>
    <cellStyle name="Normal 38 2 3 3" xfId="7401"/>
    <cellStyle name="Normal 38 2 3 3 2" xfId="14083"/>
    <cellStyle name="Normal 38 2 3 4" xfId="12298"/>
    <cellStyle name="Normal 38 2 4" xfId="5815"/>
    <cellStyle name="Normal 38 2 4 2" xfId="9556"/>
    <cellStyle name="Normal 38 2 4 2 2" xfId="16058"/>
    <cellStyle name="Normal 38 2 4 3" xfId="7837"/>
    <cellStyle name="Normal 38 2 4 3 2" xfId="14477"/>
    <cellStyle name="Normal 38 2 4 4" xfId="12708"/>
    <cellStyle name="Normal 38 2 5" xfId="9968"/>
    <cellStyle name="Normal 38 2 5 2" xfId="16449"/>
    <cellStyle name="Normal 38 2 6" xfId="8314"/>
    <cellStyle name="Normal 38 2 6 2" xfId="14871"/>
    <cellStyle name="Normal 38 2 7" xfId="6595"/>
    <cellStyle name="Normal 38 2 7 2" xfId="13285"/>
    <cellStyle name="Normal 38 2 8" xfId="11495"/>
    <cellStyle name="Normal 38 3" xfId="4821"/>
    <cellStyle name="Normal 38 3 2" xfId="8564"/>
    <cellStyle name="Normal 38 3 2 2" xfId="15112"/>
    <cellStyle name="Normal 38 3 3" xfId="6845"/>
    <cellStyle name="Normal 38 3 3 2" xfId="13531"/>
    <cellStyle name="Normal 38 3 4" xfId="11746"/>
    <cellStyle name="Normal 38 4" xfId="5180"/>
    <cellStyle name="Normal 38 4 2" xfId="8923"/>
    <cellStyle name="Normal 38 4 2 2" xfId="15467"/>
    <cellStyle name="Normal 38 4 3" xfId="7204"/>
    <cellStyle name="Normal 38 4 3 2" xfId="13886"/>
    <cellStyle name="Normal 38 4 4" xfId="12101"/>
    <cellStyle name="Normal 38 5" xfId="5613"/>
    <cellStyle name="Normal 38 5 2" xfId="9354"/>
    <cellStyle name="Normal 38 5 2 2" xfId="15861"/>
    <cellStyle name="Normal 38 5 3" xfId="7635"/>
    <cellStyle name="Normal 38 5 3 2" xfId="14280"/>
    <cellStyle name="Normal 38 5 4" xfId="12506"/>
    <cellStyle name="Normal 38 6" xfId="9812"/>
    <cellStyle name="Normal 38 6 2" xfId="16298"/>
    <cellStyle name="Normal 38 7" xfId="8074"/>
    <cellStyle name="Normal 38 7 2" xfId="14674"/>
    <cellStyle name="Normal 38 8" xfId="6347"/>
    <cellStyle name="Normal 38 8 2" xfId="13070"/>
    <cellStyle name="Normal 38 9" xfId="11289"/>
    <cellStyle name="Normal 39" xfId="4147"/>
    <cellStyle name="Normal 39 2" xfId="4551"/>
    <cellStyle name="Normal 39 2 2" xfId="4973"/>
    <cellStyle name="Normal 39 2 2 2" xfId="8716"/>
    <cellStyle name="Normal 39 2 2 2 2" xfId="15264"/>
    <cellStyle name="Normal 39 2 2 3" xfId="6997"/>
    <cellStyle name="Normal 39 2 2 3 2" xfId="13683"/>
    <cellStyle name="Normal 39 2 2 4" xfId="11898"/>
    <cellStyle name="Normal 39 2 3" xfId="5378"/>
    <cellStyle name="Normal 39 2 3 2" xfId="9121"/>
    <cellStyle name="Normal 39 2 3 2 2" xfId="15665"/>
    <cellStyle name="Normal 39 2 3 3" xfId="7402"/>
    <cellStyle name="Normal 39 2 3 3 2" xfId="14084"/>
    <cellStyle name="Normal 39 2 3 4" xfId="12299"/>
    <cellStyle name="Normal 39 2 4" xfId="5816"/>
    <cellStyle name="Normal 39 2 4 2" xfId="9557"/>
    <cellStyle name="Normal 39 2 4 2 2" xfId="16059"/>
    <cellStyle name="Normal 39 2 4 3" xfId="7838"/>
    <cellStyle name="Normal 39 2 4 3 2" xfId="14478"/>
    <cellStyle name="Normal 39 2 4 4" xfId="12709"/>
    <cellStyle name="Normal 39 2 5" xfId="9969"/>
    <cellStyle name="Normal 39 2 5 2" xfId="16450"/>
    <cellStyle name="Normal 39 2 6" xfId="8315"/>
    <cellStyle name="Normal 39 2 6 2" xfId="14872"/>
    <cellStyle name="Normal 39 2 7" xfId="6596"/>
    <cellStyle name="Normal 39 2 7 2" xfId="13286"/>
    <cellStyle name="Normal 39 2 8" xfId="11496"/>
    <cellStyle name="Normal 39 3" xfId="4819"/>
    <cellStyle name="Normal 39 3 2" xfId="8562"/>
    <cellStyle name="Normal 39 3 2 2" xfId="15110"/>
    <cellStyle name="Normal 39 3 3" xfId="6843"/>
    <cellStyle name="Normal 39 3 3 2" xfId="13529"/>
    <cellStyle name="Normal 39 3 4" xfId="11744"/>
    <cellStyle name="Normal 39 4" xfId="5181"/>
    <cellStyle name="Normal 39 4 2" xfId="8924"/>
    <cellStyle name="Normal 39 4 2 2" xfId="15468"/>
    <cellStyle name="Normal 39 4 3" xfId="7205"/>
    <cellStyle name="Normal 39 4 3 2" xfId="13887"/>
    <cellStyle name="Normal 39 4 4" xfId="12102"/>
    <cellStyle name="Normal 39 5" xfId="5614"/>
    <cellStyle name="Normal 39 5 2" xfId="9355"/>
    <cellStyle name="Normal 39 5 2 2" xfId="15862"/>
    <cellStyle name="Normal 39 5 3" xfId="7636"/>
    <cellStyle name="Normal 39 5 3 2" xfId="14281"/>
    <cellStyle name="Normal 39 5 4" xfId="12507"/>
    <cellStyle name="Normal 39 6" xfId="9810"/>
    <cellStyle name="Normal 39 6 2" xfId="16296"/>
    <cellStyle name="Normal 39 7" xfId="8075"/>
    <cellStyle name="Normal 39 7 2" xfId="14675"/>
    <cellStyle name="Normal 39 8" xfId="6348"/>
    <cellStyle name="Normal 39 8 2" xfId="13071"/>
    <cellStyle name="Normal 39 9" xfId="11290"/>
    <cellStyle name="Normal 4" xfId="8"/>
    <cellStyle name="Normal 4 10" xfId="5078"/>
    <cellStyle name="Normal 4 10 2" xfId="8821"/>
    <cellStyle name="Normal 4 10 2 2" xfId="15369"/>
    <cellStyle name="Normal 4 10 3" xfId="7102"/>
    <cellStyle name="Normal 4 10 3 2" xfId="13788"/>
    <cellStyle name="Normal 4 10 4" xfId="12003"/>
    <cellStyle name="Normal 4 11" xfId="5515"/>
    <cellStyle name="Normal 4 11 2" xfId="9256"/>
    <cellStyle name="Normal 4 11 2 2" xfId="15763"/>
    <cellStyle name="Normal 4 11 3" xfId="7537"/>
    <cellStyle name="Normal 4 11 3 2" xfId="14182"/>
    <cellStyle name="Normal 4 11 4" xfId="12408"/>
    <cellStyle name="Normal 4 12" xfId="9663"/>
    <cellStyle name="Normal 4 12 2" xfId="16165"/>
    <cellStyle name="Normal 4 13" xfId="7936"/>
    <cellStyle name="Normal 4 13 2" xfId="14576"/>
    <cellStyle name="Normal 4 14" xfId="5915"/>
    <cellStyle name="Normal 4 14 2" xfId="12808"/>
    <cellStyle name="Normal 4 15" xfId="10247"/>
    <cellStyle name="Normal 4 2" xfId="18"/>
    <cellStyle name="Normal 4 2 10" xfId="7940"/>
    <cellStyle name="Normal 4 2 10 2" xfId="14580"/>
    <cellStyle name="Normal 4 2 11" xfId="5919"/>
    <cellStyle name="Normal 4 2 11 2" xfId="12812"/>
    <cellStyle name="Normal 4 2 12" xfId="10254"/>
    <cellStyle name="Normal 4 2 2" xfId="40"/>
    <cellStyle name="Normal 4 2 2 10" xfId="5938"/>
    <cellStyle name="Normal 4 2 2 10 2" xfId="12831"/>
    <cellStyle name="Normal 4 2 2 11" xfId="10273"/>
    <cellStyle name="Normal 4 2 2 2" xfId="4148"/>
    <cellStyle name="Normal 4 2 2 2 2" xfId="4552"/>
    <cellStyle name="Normal 4 2 2 2 2 2" xfId="4974"/>
    <cellStyle name="Normal 4 2 2 2 2 2 2" xfId="8717"/>
    <cellStyle name="Normal 4 2 2 2 2 2 2 2" xfId="15265"/>
    <cellStyle name="Normal 4 2 2 2 2 2 3" xfId="6998"/>
    <cellStyle name="Normal 4 2 2 2 2 2 3 2" xfId="13684"/>
    <cellStyle name="Normal 4 2 2 2 2 2 4" xfId="11899"/>
    <cellStyle name="Normal 4 2 2 2 2 3" xfId="5379"/>
    <cellStyle name="Normal 4 2 2 2 2 3 2" xfId="9122"/>
    <cellStyle name="Normal 4 2 2 2 2 3 2 2" xfId="15666"/>
    <cellStyle name="Normal 4 2 2 2 2 3 3" xfId="7403"/>
    <cellStyle name="Normal 4 2 2 2 2 3 3 2" xfId="14085"/>
    <cellStyle name="Normal 4 2 2 2 2 3 4" xfId="12300"/>
    <cellStyle name="Normal 4 2 2 2 2 4" xfId="5817"/>
    <cellStyle name="Normal 4 2 2 2 2 4 2" xfId="9558"/>
    <cellStyle name="Normal 4 2 2 2 2 4 2 2" xfId="16060"/>
    <cellStyle name="Normal 4 2 2 2 2 4 3" xfId="7839"/>
    <cellStyle name="Normal 4 2 2 2 2 4 3 2" xfId="14479"/>
    <cellStyle name="Normal 4 2 2 2 2 4 4" xfId="12710"/>
    <cellStyle name="Normal 4 2 2 2 2 5" xfId="9970"/>
    <cellStyle name="Normal 4 2 2 2 2 5 2" xfId="16451"/>
    <cellStyle name="Normal 4 2 2 2 2 6" xfId="8316"/>
    <cellStyle name="Normal 4 2 2 2 2 6 2" xfId="14873"/>
    <cellStyle name="Normal 4 2 2 2 2 7" xfId="6597"/>
    <cellStyle name="Normal 4 2 2 2 2 7 2" xfId="13287"/>
    <cellStyle name="Normal 4 2 2 2 2 8" xfId="11497"/>
    <cellStyle name="Normal 4 2 2 2 3" xfId="4776"/>
    <cellStyle name="Normal 4 2 2 2 3 2" xfId="8519"/>
    <cellStyle name="Normal 4 2 2 2 3 2 2" xfId="15071"/>
    <cellStyle name="Normal 4 2 2 2 3 3" xfId="6800"/>
    <cellStyle name="Normal 4 2 2 2 3 3 2" xfId="13490"/>
    <cellStyle name="Normal 4 2 2 2 3 4" xfId="11705"/>
    <cellStyle name="Normal 4 2 2 2 4" xfId="5182"/>
    <cellStyle name="Normal 4 2 2 2 4 2" xfId="8925"/>
    <cellStyle name="Normal 4 2 2 2 4 2 2" xfId="15469"/>
    <cellStyle name="Normal 4 2 2 2 4 3" xfId="7206"/>
    <cellStyle name="Normal 4 2 2 2 4 3 2" xfId="13888"/>
    <cellStyle name="Normal 4 2 2 2 4 4" xfId="12103"/>
    <cellStyle name="Normal 4 2 2 2 5" xfId="5615"/>
    <cellStyle name="Normal 4 2 2 2 5 2" xfId="9356"/>
    <cellStyle name="Normal 4 2 2 2 5 2 2" xfId="15863"/>
    <cellStyle name="Normal 4 2 2 2 5 3" xfId="7637"/>
    <cellStyle name="Normal 4 2 2 2 5 3 2" xfId="14282"/>
    <cellStyle name="Normal 4 2 2 2 5 4" xfId="12508"/>
    <cellStyle name="Normal 4 2 2 2 6" xfId="9766"/>
    <cellStyle name="Normal 4 2 2 2 6 2" xfId="16257"/>
    <cellStyle name="Normal 4 2 2 2 7" xfId="8076"/>
    <cellStyle name="Normal 4 2 2 2 7 2" xfId="14676"/>
    <cellStyle name="Normal 4 2 2 2 8" xfId="6349"/>
    <cellStyle name="Normal 4 2 2 2 8 2" xfId="13072"/>
    <cellStyle name="Normal 4 2 2 2 9" xfId="11291"/>
    <cellStyle name="Normal 4 2 2 3" xfId="4149"/>
    <cellStyle name="Normal 4 2 2 3 2" xfId="4553"/>
    <cellStyle name="Normal 4 2 2 3 2 2" xfId="4975"/>
    <cellStyle name="Normal 4 2 2 3 2 2 2" xfId="8718"/>
    <cellStyle name="Normal 4 2 2 3 2 2 2 2" xfId="15266"/>
    <cellStyle name="Normal 4 2 2 3 2 2 3" xfId="6999"/>
    <cellStyle name="Normal 4 2 2 3 2 2 3 2" xfId="13685"/>
    <cellStyle name="Normal 4 2 2 3 2 2 4" xfId="11900"/>
    <cellStyle name="Normal 4 2 2 3 2 3" xfId="5380"/>
    <cellStyle name="Normal 4 2 2 3 2 3 2" xfId="9123"/>
    <cellStyle name="Normal 4 2 2 3 2 3 2 2" xfId="15667"/>
    <cellStyle name="Normal 4 2 2 3 2 3 3" xfId="7404"/>
    <cellStyle name="Normal 4 2 2 3 2 3 3 2" xfId="14086"/>
    <cellStyle name="Normal 4 2 2 3 2 3 4" xfId="12301"/>
    <cellStyle name="Normal 4 2 2 3 2 4" xfId="5818"/>
    <cellStyle name="Normal 4 2 2 3 2 4 2" xfId="9559"/>
    <cellStyle name="Normal 4 2 2 3 2 4 2 2" xfId="16061"/>
    <cellStyle name="Normal 4 2 2 3 2 4 3" xfId="7840"/>
    <cellStyle name="Normal 4 2 2 3 2 4 3 2" xfId="14480"/>
    <cellStyle name="Normal 4 2 2 3 2 4 4" xfId="12711"/>
    <cellStyle name="Normal 4 2 2 3 2 5" xfId="9971"/>
    <cellStyle name="Normal 4 2 2 3 2 5 2" xfId="16452"/>
    <cellStyle name="Normal 4 2 2 3 2 6" xfId="8317"/>
    <cellStyle name="Normal 4 2 2 3 2 6 2" xfId="14874"/>
    <cellStyle name="Normal 4 2 2 3 2 7" xfId="6598"/>
    <cellStyle name="Normal 4 2 2 3 2 7 2" xfId="13288"/>
    <cellStyle name="Normal 4 2 2 3 2 8" xfId="11498"/>
    <cellStyle name="Normal 4 2 2 3 3" xfId="4839"/>
    <cellStyle name="Normal 4 2 2 3 3 2" xfId="8582"/>
    <cellStyle name="Normal 4 2 2 3 3 2 2" xfId="15130"/>
    <cellStyle name="Normal 4 2 2 3 3 3" xfId="6863"/>
    <cellStyle name="Normal 4 2 2 3 3 3 2" xfId="13549"/>
    <cellStyle name="Normal 4 2 2 3 3 4" xfId="11764"/>
    <cellStyle name="Normal 4 2 2 3 4" xfId="5183"/>
    <cellStyle name="Normal 4 2 2 3 4 2" xfId="8926"/>
    <cellStyle name="Normal 4 2 2 3 4 2 2" xfId="15470"/>
    <cellStyle name="Normal 4 2 2 3 4 3" xfId="7207"/>
    <cellStyle name="Normal 4 2 2 3 4 3 2" xfId="13889"/>
    <cellStyle name="Normal 4 2 2 3 4 4" xfId="12104"/>
    <cellStyle name="Normal 4 2 2 3 5" xfId="5616"/>
    <cellStyle name="Normal 4 2 2 3 5 2" xfId="9357"/>
    <cellStyle name="Normal 4 2 2 3 5 2 2" xfId="15864"/>
    <cellStyle name="Normal 4 2 2 3 5 3" xfId="7638"/>
    <cellStyle name="Normal 4 2 2 3 5 3 2" xfId="14283"/>
    <cellStyle name="Normal 4 2 2 3 5 4" xfId="12509"/>
    <cellStyle name="Normal 4 2 2 3 6" xfId="9830"/>
    <cellStyle name="Normal 4 2 2 3 6 2" xfId="16316"/>
    <cellStyle name="Normal 4 2 2 3 7" xfId="8077"/>
    <cellStyle name="Normal 4 2 2 3 7 2" xfId="14677"/>
    <cellStyle name="Normal 4 2 2 3 8" xfId="6350"/>
    <cellStyle name="Normal 4 2 2 3 8 2" xfId="13073"/>
    <cellStyle name="Normal 4 2 2 3 9" xfId="11292"/>
    <cellStyle name="Normal 4 2 2 4" xfId="4474"/>
    <cellStyle name="Normal 4 2 2 4 2" xfId="4976"/>
    <cellStyle name="Normal 4 2 2 4 2 2" xfId="8719"/>
    <cellStyle name="Normal 4 2 2 4 2 2 2" xfId="15267"/>
    <cellStyle name="Normal 4 2 2 4 2 3" xfId="7000"/>
    <cellStyle name="Normal 4 2 2 4 2 3 2" xfId="13686"/>
    <cellStyle name="Normal 4 2 2 4 2 4" xfId="11901"/>
    <cellStyle name="Normal 4 2 2 4 3" xfId="5302"/>
    <cellStyle name="Normal 4 2 2 4 3 2" xfId="9045"/>
    <cellStyle name="Normal 4 2 2 4 3 2 2" xfId="15589"/>
    <cellStyle name="Normal 4 2 2 4 3 3" xfId="7326"/>
    <cellStyle name="Normal 4 2 2 4 3 3 2" xfId="14008"/>
    <cellStyle name="Normal 4 2 2 4 3 4" xfId="12223"/>
    <cellStyle name="Normal 4 2 2 4 4" xfId="5740"/>
    <cellStyle name="Normal 4 2 2 4 4 2" xfId="9481"/>
    <cellStyle name="Normal 4 2 2 4 4 2 2" xfId="15983"/>
    <cellStyle name="Normal 4 2 2 4 4 3" xfId="7762"/>
    <cellStyle name="Normal 4 2 2 4 4 3 2" xfId="14402"/>
    <cellStyle name="Normal 4 2 2 4 4 4" xfId="12633"/>
    <cellStyle name="Normal 4 2 2 4 5" xfId="9972"/>
    <cellStyle name="Normal 4 2 2 4 5 2" xfId="16453"/>
    <cellStyle name="Normal 4 2 2 4 6" xfId="8239"/>
    <cellStyle name="Normal 4 2 2 4 6 2" xfId="14796"/>
    <cellStyle name="Normal 4 2 2 4 7" xfId="6520"/>
    <cellStyle name="Normal 4 2 2 4 7 2" xfId="13210"/>
    <cellStyle name="Normal 4 2 2 4 8" xfId="11419"/>
    <cellStyle name="Normal 4 2 2 5" xfId="4685"/>
    <cellStyle name="Normal 4 2 2 5 2" xfId="8431"/>
    <cellStyle name="Normal 4 2 2 5 2 2" xfId="14983"/>
    <cellStyle name="Normal 4 2 2 5 3" xfId="6712"/>
    <cellStyle name="Normal 4 2 2 5 3 2" xfId="13402"/>
    <cellStyle name="Normal 4 2 2 5 4" xfId="11616"/>
    <cellStyle name="Normal 4 2 2 6" xfId="5101"/>
    <cellStyle name="Normal 4 2 2 6 2" xfId="8844"/>
    <cellStyle name="Normal 4 2 2 6 2 2" xfId="15392"/>
    <cellStyle name="Normal 4 2 2 6 3" xfId="7125"/>
    <cellStyle name="Normal 4 2 2 6 3 2" xfId="13811"/>
    <cellStyle name="Normal 4 2 2 6 4" xfId="12026"/>
    <cellStyle name="Normal 4 2 2 7" xfId="5538"/>
    <cellStyle name="Normal 4 2 2 7 2" xfId="9279"/>
    <cellStyle name="Normal 4 2 2 7 2 2" xfId="15786"/>
    <cellStyle name="Normal 4 2 2 7 3" xfId="7560"/>
    <cellStyle name="Normal 4 2 2 7 3 2" xfId="14205"/>
    <cellStyle name="Normal 4 2 2 7 4" xfId="12431"/>
    <cellStyle name="Normal 4 2 2 8" xfId="9665"/>
    <cellStyle name="Normal 4 2 2 8 2" xfId="16167"/>
    <cellStyle name="Normal 4 2 2 9" xfId="7959"/>
    <cellStyle name="Normal 4 2 2 9 2" xfId="14599"/>
    <cellStyle name="Normal 4 2 3" xfId="29"/>
    <cellStyle name="Normal 4 2 3 2" xfId="4464"/>
    <cellStyle name="Normal 4 2 3 2 2" xfId="4977"/>
    <cellStyle name="Normal 4 2 3 2 2 2" xfId="8720"/>
    <cellStyle name="Normal 4 2 3 2 2 2 2" xfId="15268"/>
    <cellStyle name="Normal 4 2 3 2 2 3" xfId="7001"/>
    <cellStyle name="Normal 4 2 3 2 2 3 2" xfId="13687"/>
    <cellStyle name="Normal 4 2 3 2 2 4" xfId="11902"/>
    <cellStyle name="Normal 4 2 3 2 3" xfId="5292"/>
    <cellStyle name="Normal 4 2 3 2 3 2" xfId="9035"/>
    <cellStyle name="Normal 4 2 3 2 3 2 2" xfId="15579"/>
    <cellStyle name="Normal 4 2 3 2 3 3" xfId="7316"/>
    <cellStyle name="Normal 4 2 3 2 3 3 2" xfId="13998"/>
    <cellStyle name="Normal 4 2 3 2 3 4" xfId="12213"/>
    <cellStyle name="Normal 4 2 3 2 4" xfId="5730"/>
    <cellStyle name="Normal 4 2 3 2 4 2" xfId="9471"/>
    <cellStyle name="Normal 4 2 3 2 4 2 2" xfId="15973"/>
    <cellStyle name="Normal 4 2 3 2 4 3" xfId="7752"/>
    <cellStyle name="Normal 4 2 3 2 4 3 2" xfId="14392"/>
    <cellStyle name="Normal 4 2 3 2 4 4" xfId="12623"/>
    <cellStyle name="Normal 4 2 3 2 5" xfId="9973"/>
    <cellStyle name="Normal 4 2 3 2 5 2" xfId="16454"/>
    <cellStyle name="Normal 4 2 3 2 6" xfId="8229"/>
    <cellStyle name="Normal 4 2 3 2 6 2" xfId="14786"/>
    <cellStyle name="Normal 4 2 3 2 7" xfId="6510"/>
    <cellStyle name="Normal 4 2 3 2 7 2" xfId="13200"/>
    <cellStyle name="Normal 4 2 3 2 8" xfId="11409"/>
    <cellStyle name="Normal 4 2 3 3" xfId="4775"/>
    <cellStyle name="Normal 4 2 3 3 2" xfId="8518"/>
    <cellStyle name="Normal 4 2 3 3 2 2" xfId="15070"/>
    <cellStyle name="Normal 4 2 3 3 3" xfId="6799"/>
    <cellStyle name="Normal 4 2 3 3 3 2" xfId="13489"/>
    <cellStyle name="Normal 4 2 3 3 4" xfId="11704"/>
    <cellStyle name="Normal 4 2 3 4" xfId="5091"/>
    <cellStyle name="Normal 4 2 3 4 2" xfId="8834"/>
    <cellStyle name="Normal 4 2 3 4 2 2" xfId="15382"/>
    <cellStyle name="Normal 4 2 3 4 3" xfId="7115"/>
    <cellStyle name="Normal 4 2 3 4 3 2" xfId="13801"/>
    <cellStyle name="Normal 4 2 3 4 4" xfId="12016"/>
    <cellStyle name="Normal 4 2 3 5" xfId="5528"/>
    <cellStyle name="Normal 4 2 3 5 2" xfId="9269"/>
    <cellStyle name="Normal 4 2 3 5 2 2" xfId="15776"/>
    <cellStyle name="Normal 4 2 3 5 3" xfId="7550"/>
    <cellStyle name="Normal 4 2 3 5 3 2" xfId="14195"/>
    <cellStyle name="Normal 4 2 3 5 4" xfId="12421"/>
    <cellStyle name="Normal 4 2 3 6" xfId="9765"/>
    <cellStyle name="Normal 4 2 3 6 2" xfId="16256"/>
    <cellStyle name="Normal 4 2 3 7" xfId="7949"/>
    <cellStyle name="Normal 4 2 3 7 2" xfId="14589"/>
    <cellStyle name="Normal 4 2 3 8" xfId="5928"/>
    <cellStyle name="Normal 4 2 3 8 2" xfId="12821"/>
    <cellStyle name="Normal 4 2 3 9" xfId="10263"/>
    <cellStyle name="Normal 4 2 4" xfId="4150"/>
    <cellStyle name="Normal 4 2 4 2" xfId="4554"/>
    <cellStyle name="Normal 4 2 4 2 2" xfId="4978"/>
    <cellStyle name="Normal 4 2 4 2 2 2" xfId="8721"/>
    <cellStyle name="Normal 4 2 4 2 2 2 2" xfId="15269"/>
    <cellStyle name="Normal 4 2 4 2 2 3" xfId="7002"/>
    <cellStyle name="Normal 4 2 4 2 2 3 2" xfId="13688"/>
    <cellStyle name="Normal 4 2 4 2 2 4" xfId="11903"/>
    <cellStyle name="Normal 4 2 4 2 3" xfId="5381"/>
    <cellStyle name="Normal 4 2 4 2 3 2" xfId="9124"/>
    <cellStyle name="Normal 4 2 4 2 3 2 2" xfId="15668"/>
    <cellStyle name="Normal 4 2 4 2 3 3" xfId="7405"/>
    <cellStyle name="Normal 4 2 4 2 3 3 2" xfId="14087"/>
    <cellStyle name="Normal 4 2 4 2 3 4" xfId="12302"/>
    <cellStyle name="Normal 4 2 4 2 4" xfId="5819"/>
    <cellStyle name="Normal 4 2 4 2 4 2" xfId="9560"/>
    <cellStyle name="Normal 4 2 4 2 4 2 2" xfId="16062"/>
    <cellStyle name="Normal 4 2 4 2 4 3" xfId="7841"/>
    <cellStyle name="Normal 4 2 4 2 4 3 2" xfId="14481"/>
    <cellStyle name="Normal 4 2 4 2 4 4" xfId="12712"/>
    <cellStyle name="Normal 4 2 4 2 5" xfId="9974"/>
    <cellStyle name="Normal 4 2 4 2 5 2" xfId="16455"/>
    <cellStyle name="Normal 4 2 4 2 6" xfId="8318"/>
    <cellStyle name="Normal 4 2 4 2 6 2" xfId="14875"/>
    <cellStyle name="Normal 4 2 4 2 7" xfId="6599"/>
    <cellStyle name="Normal 4 2 4 2 7 2" xfId="13289"/>
    <cellStyle name="Normal 4 2 4 2 8" xfId="11499"/>
    <cellStyle name="Normal 4 2 4 3" xfId="4829"/>
    <cellStyle name="Normal 4 2 4 3 2" xfId="8572"/>
    <cellStyle name="Normal 4 2 4 3 2 2" xfId="15120"/>
    <cellStyle name="Normal 4 2 4 3 3" xfId="6853"/>
    <cellStyle name="Normal 4 2 4 3 3 2" xfId="13539"/>
    <cellStyle name="Normal 4 2 4 3 4" xfId="11754"/>
    <cellStyle name="Normal 4 2 4 4" xfId="5184"/>
    <cellStyle name="Normal 4 2 4 4 2" xfId="8927"/>
    <cellStyle name="Normal 4 2 4 4 2 2" xfId="15471"/>
    <cellStyle name="Normal 4 2 4 4 3" xfId="7208"/>
    <cellStyle name="Normal 4 2 4 4 3 2" xfId="13890"/>
    <cellStyle name="Normal 4 2 4 4 4" xfId="12105"/>
    <cellStyle name="Normal 4 2 4 5" xfId="5617"/>
    <cellStyle name="Normal 4 2 4 5 2" xfId="9358"/>
    <cellStyle name="Normal 4 2 4 5 2 2" xfId="15865"/>
    <cellStyle name="Normal 4 2 4 5 3" xfId="7639"/>
    <cellStyle name="Normal 4 2 4 5 3 2" xfId="14284"/>
    <cellStyle name="Normal 4 2 4 5 4" xfId="12510"/>
    <cellStyle name="Normal 4 2 4 6" xfId="9820"/>
    <cellStyle name="Normal 4 2 4 6 2" xfId="16306"/>
    <cellStyle name="Normal 4 2 4 7" xfId="8078"/>
    <cellStyle name="Normal 4 2 4 7 2" xfId="14678"/>
    <cellStyle name="Normal 4 2 4 8" xfId="6351"/>
    <cellStyle name="Normal 4 2 4 8 2" xfId="13074"/>
    <cellStyle name="Normal 4 2 4 9" xfId="11293"/>
    <cellStyle name="Normal 4 2 5" xfId="4455"/>
    <cellStyle name="Normal 4 2 5 2" xfId="4979"/>
    <cellStyle name="Normal 4 2 5 2 2" xfId="8722"/>
    <cellStyle name="Normal 4 2 5 2 2 2" xfId="15270"/>
    <cellStyle name="Normal 4 2 5 2 3" xfId="7003"/>
    <cellStyle name="Normal 4 2 5 2 3 2" xfId="13689"/>
    <cellStyle name="Normal 4 2 5 2 4" xfId="11904"/>
    <cellStyle name="Normal 4 2 5 3" xfId="5283"/>
    <cellStyle name="Normal 4 2 5 3 2" xfId="9026"/>
    <cellStyle name="Normal 4 2 5 3 2 2" xfId="15570"/>
    <cellStyle name="Normal 4 2 5 3 3" xfId="7307"/>
    <cellStyle name="Normal 4 2 5 3 3 2" xfId="13989"/>
    <cellStyle name="Normal 4 2 5 3 4" xfId="12204"/>
    <cellStyle name="Normal 4 2 5 4" xfId="5721"/>
    <cellStyle name="Normal 4 2 5 4 2" xfId="9462"/>
    <cellStyle name="Normal 4 2 5 4 2 2" xfId="15964"/>
    <cellStyle name="Normal 4 2 5 4 3" xfId="7743"/>
    <cellStyle name="Normal 4 2 5 4 3 2" xfId="14383"/>
    <cellStyle name="Normal 4 2 5 4 4" xfId="12614"/>
    <cellStyle name="Normal 4 2 5 5" xfId="9975"/>
    <cellStyle name="Normal 4 2 5 5 2" xfId="16456"/>
    <cellStyle name="Normal 4 2 5 6" xfId="8220"/>
    <cellStyle name="Normal 4 2 5 6 2" xfId="14777"/>
    <cellStyle name="Normal 4 2 5 7" xfId="6501"/>
    <cellStyle name="Normal 4 2 5 7 2" xfId="13191"/>
    <cellStyle name="Normal 4 2 5 8" xfId="11400"/>
    <cellStyle name="Normal 4 2 6" xfId="4684"/>
    <cellStyle name="Normal 4 2 6 2" xfId="8430"/>
    <cellStyle name="Normal 4 2 6 2 2" xfId="14982"/>
    <cellStyle name="Normal 4 2 6 3" xfId="6711"/>
    <cellStyle name="Normal 4 2 6 3 2" xfId="13401"/>
    <cellStyle name="Normal 4 2 6 4" xfId="11615"/>
    <cellStyle name="Normal 4 2 7" xfId="5082"/>
    <cellStyle name="Normal 4 2 7 2" xfId="8825"/>
    <cellStyle name="Normal 4 2 7 2 2" xfId="15373"/>
    <cellStyle name="Normal 4 2 7 3" xfId="7106"/>
    <cellStyle name="Normal 4 2 7 3 2" xfId="13792"/>
    <cellStyle name="Normal 4 2 7 4" xfId="12007"/>
    <cellStyle name="Normal 4 2 8" xfId="5519"/>
    <cellStyle name="Normal 4 2 8 2" xfId="9260"/>
    <cellStyle name="Normal 4 2 8 2 2" xfId="15767"/>
    <cellStyle name="Normal 4 2 8 3" xfId="7541"/>
    <cellStyle name="Normal 4 2 8 3 2" xfId="14186"/>
    <cellStyle name="Normal 4 2 8 4" xfId="12412"/>
    <cellStyle name="Normal 4 2 9" xfId="9664"/>
    <cellStyle name="Normal 4 2 9 2" xfId="16166"/>
    <cellStyle name="Normal 4 3" xfId="35"/>
    <cellStyle name="Normal 4 3 10" xfId="5934"/>
    <cellStyle name="Normal 4 3 10 2" xfId="12827"/>
    <cellStyle name="Normal 4 3 11" xfId="10269"/>
    <cellStyle name="Normal 4 3 2" xfId="4151"/>
    <cellStyle name="Normal 4 3 2 2" xfId="4555"/>
    <cellStyle name="Normal 4 3 2 2 2" xfId="4980"/>
    <cellStyle name="Normal 4 3 2 2 2 2" xfId="8723"/>
    <cellStyle name="Normal 4 3 2 2 2 2 2" xfId="15271"/>
    <cellStyle name="Normal 4 3 2 2 2 3" xfId="7004"/>
    <cellStyle name="Normal 4 3 2 2 2 3 2" xfId="13690"/>
    <cellStyle name="Normal 4 3 2 2 2 4" xfId="11905"/>
    <cellStyle name="Normal 4 3 2 2 3" xfId="5382"/>
    <cellStyle name="Normal 4 3 2 2 3 2" xfId="9125"/>
    <cellStyle name="Normal 4 3 2 2 3 2 2" xfId="15669"/>
    <cellStyle name="Normal 4 3 2 2 3 3" xfId="7406"/>
    <cellStyle name="Normal 4 3 2 2 3 3 2" xfId="14088"/>
    <cellStyle name="Normal 4 3 2 2 3 4" xfId="12303"/>
    <cellStyle name="Normal 4 3 2 2 4" xfId="5820"/>
    <cellStyle name="Normal 4 3 2 2 4 2" xfId="9561"/>
    <cellStyle name="Normal 4 3 2 2 4 2 2" xfId="16063"/>
    <cellStyle name="Normal 4 3 2 2 4 3" xfId="7842"/>
    <cellStyle name="Normal 4 3 2 2 4 3 2" xfId="14482"/>
    <cellStyle name="Normal 4 3 2 2 4 4" xfId="12713"/>
    <cellStyle name="Normal 4 3 2 2 5" xfId="9976"/>
    <cellStyle name="Normal 4 3 2 2 5 2" xfId="16457"/>
    <cellStyle name="Normal 4 3 2 2 6" xfId="8319"/>
    <cellStyle name="Normal 4 3 2 2 6 2" xfId="14876"/>
    <cellStyle name="Normal 4 3 2 2 7" xfId="6600"/>
    <cellStyle name="Normal 4 3 2 2 7 2" xfId="13290"/>
    <cellStyle name="Normal 4 3 2 2 8" xfId="11500"/>
    <cellStyle name="Normal 4 3 2 3" xfId="4777"/>
    <cellStyle name="Normal 4 3 2 3 2" xfId="8520"/>
    <cellStyle name="Normal 4 3 2 3 2 2" xfId="15072"/>
    <cellStyle name="Normal 4 3 2 3 3" xfId="6801"/>
    <cellStyle name="Normal 4 3 2 3 3 2" xfId="13491"/>
    <cellStyle name="Normal 4 3 2 3 4" xfId="11706"/>
    <cellStyle name="Normal 4 3 2 4" xfId="5185"/>
    <cellStyle name="Normal 4 3 2 4 2" xfId="8928"/>
    <cellStyle name="Normal 4 3 2 4 2 2" xfId="15472"/>
    <cellStyle name="Normal 4 3 2 4 3" xfId="7209"/>
    <cellStyle name="Normal 4 3 2 4 3 2" xfId="13891"/>
    <cellStyle name="Normal 4 3 2 4 4" xfId="12106"/>
    <cellStyle name="Normal 4 3 2 5" xfId="5618"/>
    <cellStyle name="Normal 4 3 2 5 2" xfId="9359"/>
    <cellStyle name="Normal 4 3 2 5 2 2" xfId="15866"/>
    <cellStyle name="Normal 4 3 2 5 3" xfId="7640"/>
    <cellStyle name="Normal 4 3 2 5 3 2" xfId="14285"/>
    <cellStyle name="Normal 4 3 2 5 4" xfId="12511"/>
    <cellStyle name="Normal 4 3 2 6" xfId="9767"/>
    <cellStyle name="Normal 4 3 2 6 2" xfId="16258"/>
    <cellStyle name="Normal 4 3 2 7" xfId="8079"/>
    <cellStyle name="Normal 4 3 2 7 2" xfId="14679"/>
    <cellStyle name="Normal 4 3 2 8" xfId="6352"/>
    <cellStyle name="Normal 4 3 2 8 2" xfId="13075"/>
    <cellStyle name="Normal 4 3 2 9" xfId="11294"/>
    <cellStyle name="Normal 4 3 3" xfId="4152"/>
    <cellStyle name="Normal 4 3 3 2" xfId="4556"/>
    <cellStyle name="Normal 4 3 3 2 2" xfId="4981"/>
    <cellStyle name="Normal 4 3 3 2 2 2" xfId="8724"/>
    <cellStyle name="Normal 4 3 3 2 2 2 2" xfId="15272"/>
    <cellStyle name="Normal 4 3 3 2 2 3" xfId="7005"/>
    <cellStyle name="Normal 4 3 3 2 2 3 2" xfId="13691"/>
    <cellStyle name="Normal 4 3 3 2 2 4" xfId="11906"/>
    <cellStyle name="Normal 4 3 3 2 3" xfId="5383"/>
    <cellStyle name="Normal 4 3 3 2 3 2" xfId="9126"/>
    <cellStyle name="Normal 4 3 3 2 3 2 2" xfId="15670"/>
    <cellStyle name="Normal 4 3 3 2 3 3" xfId="7407"/>
    <cellStyle name="Normal 4 3 3 2 3 3 2" xfId="14089"/>
    <cellStyle name="Normal 4 3 3 2 3 4" xfId="12304"/>
    <cellStyle name="Normal 4 3 3 2 4" xfId="5821"/>
    <cellStyle name="Normal 4 3 3 2 4 2" xfId="9562"/>
    <cellStyle name="Normal 4 3 3 2 4 2 2" xfId="16064"/>
    <cellStyle name="Normal 4 3 3 2 4 3" xfId="7843"/>
    <cellStyle name="Normal 4 3 3 2 4 3 2" xfId="14483"/>
    <cellStyle name="Normal 4 3 3 2 4 4" xfId="12714"/>
    <cellStyle name="Normal 4 3 3 2 5" xfId="9977"/>
    <cellStyle name="Normal 4 3 3 2 5 2" xfId="16458"/>
    <cellStyle name="Normal 4 3 3 2 6" xfId="8320"/>
    <cellStyle name="Normal 4 3 3 2 6 2" xfId="14877"/>
    <cellStyle name="Normal 4 3 3 2 7" xfId="6601"/>
    <cellStyle name="Normal 4 3 3 2 7 2" xfId="13291"/>
    <cellStyle name="Normal 4 3 3 2 8" xfId="11501"/>
    <cellStyle name="Normal 4 3 3 3" xfId="4835"/>
    <cellStyle name="Normal 4 3 3 3 2" xfId="8578"/>
    <cellStyle name="Normal 4 3 3 3 2 2" xfId="15126"/>
    <cellStyle name="Normal 4 3 3 3 3" xfId="6859"/>
    <cellStyle name="Normal 4 3 3 3 3 2" xfId="13545"/>
    <cellStyle name="Normal 4 3 3 3 4" xfId="11760"/>
    <cellStyle name="Normal 4 3 3 4" xfId="5186"/>
    <cellStyle name="Normal 4 3 3 4 2" xfId="8929"/>
    <cellStyle name="Normal 4 3 3 4 2 2" xfId="15473"/>
    <cellStyle name="Normal 4 3 3 4 3" xfId="7210"/>
    <cellStyle name="Normal 4 3 3 4 3 2" xfId="13892"/>
    <cellStyle name="Normal 4 3 3 4 4" xfId="12107"/>
    <cellStyle name="Normal 4 3 3 5" xfId="5619"/>
    <cellStyle name="Normal 4 3 3 5 2" xfId="9360"/>
    <cellStyle name="Normal 4 3 3 5 2 2" xfId="15867"/>
    <cellStyle name="Normal 4 3 3 5 3" xfId="7641"/>
    <cellStyle name="Normal 4 3 3 5 3 2" xfId="14286"/>
    <cellStyle name="Normal 4 3 3 5 4" xfId="12512"/>
    <cellStyle name="Normal 4 3 3 6" xfId="9826"/>
    <cellStyle name="Normal 4 3 3 6 2" xfId="16312"/>
    <cellStyle name="Normal 4 3 3 7" xfId="8080"/>
    <cellStyle name="Normal 4 3 3 7 2" xfId="14680"/>
    <cellStyle name="Normal 4 3 3 8" xfId="6353"/>
    <cellStyle name="Normal 4 3 3 8 2" xfId="13076"/>
    <cellStyle name="Normal 4 3 3 9" xfId="11295"/>
    <cellStyle name="Normal 4 3 4" xfId="4470"/>
    <cellStyle name="Normal 4 3 4 2" xfId="4982"/>
    <cellStyle name="Normal 4 3 4 2 2" xfId="8725"/>
    <cellStyle name="Normal 4 3 4 2 2 2" xfId="15273"/>
    <cellStyle name="Normal 4 3 4 2 3" xfId="7006"/>
    <cellStyle name="Normal 4 3 4 2 3 2" xfId="13692"/>
    <cellStyle name="Normal 4 3 4 2 4" xfId="11907"/>
    <cellStyle name="Normal 4 3 4 3" xfId="5298"/>
    <cellStyle name="Normal 4 3 4 3 2" xfId="9041"/>
    <cellStyle name="Normal 4 3 4 3 2 2" xfId="15585"/>
    <cellStyle name="Normal 4 3 4 3 3" xfId="7322"/>
    <cellStyle name="Normal 4 3 4 3 3 2" xfId="14004"/>
    <cellStyle name="Normal 4 3 4 3 4" xfId="12219"/>
    <cellStyle name="Normal 4 3 4 4" xfId="5736"/>
    <cellStyle name="Normal 4 3 4 4 2" xfId="9477"/>
    <cellStyle name="Normal 4 3 4 4 2 2" xfId="15979"/>
    <cellStyle name="Normal 4 3 4 4 3" xfId="7758"/>
    <cellStyle name="Normal 4 3 4 4 3 2" xfId="14398"/>
    <cellStyle name="Normal 4 3 4 4 4" xfId="12629"/>
    <cellStyle name="Normal 4 3 4 5" xfId="9978"/>
    <cellStyle name="Normal 4 3 4 5 2" xfId="16459"/>
    <cellStyle name="Normal 4 3 4 6" xfId="8235"/>
    <cellStyle name="Normal 4 3 4 6 2" xfId="14792"/>
    <cellStyle name="Normal 4 3 4 7" xfId="6516"/>
    <cellStyle name="Normal 4 3 4 7 2" xfId="13206"/>
    <cellStyle name="Normal 4 3 4 8" xfId="11415"/>
    <cellStyle name="Normal 4 3 5" xfId="4686"/>
    <cellStyle name="Normal 4 3 5 2" xfId="8432"/>
    <cellStyle name="Normal 4 3 5 2 2" xfId="14984"/>
    <cellStyle name="Normal 4 3 5 3" xfId="6713"/>
    <cellStyle name="Normal 4 3 5 3 2" xfId="13403"/>
    <cellStyle name="Normal 4 3 5 4" xfId="11617"/>
    <cellStyle name="Normal 4 3 6" xfId="5097"/>
    <cellStyle name="Normal 4 3 6 2" xfId="8840"/>
    <cellStyle name="Normal 4 3 6 2 2" xfId="15388"/>
    <cellStyle name="Normal 4 3 6 3" xfId="7121"/>
    <cellStyle name="Normal 4 3 6 3 2" xfId="13807"/>
    <cellStyle name="Normal 4 3 6 4" xfId="12022"/>
    <cellStyle name="Normal 4 3 7" xfId="5534"/>
    <cellStyle name="Normal 4 3 7 2" xfId="9275"/>
    <cellStyle name="Normal 4 3 7 2 2" xfId="15782"/>
    <cellStyle name="Normal 4 3 7 3" xfId="7556"/>
    <cellStyle name="Normal 4 3 7 3 2" xfId="14201"/>
    <cellStyle name="Normal 4 3 7 4" xfId="12427"/>
    <cellStyle name="Normal 4 3 8" xfId="9666"/>
    <cellStyle name="Normal 4 3 8 2" xfId="16168"/>
    <cellStyle name="Normal 4 3 9" xfId="7955"/>
    <cellStyle name="Normal 4 3 9 2" xfId="14595"/>
    <cellStyle name="Normal 4 4" xfId="24"/>
    <cellStyle name="Normal 4 4 2" xfId="4459"/>
    <cellStyle name="Normal 4 4 2 2" xfId="4983"/>
    <cellStyle name="Normal 4 4 2 2 2" xfId="8726"/>
    <cellStyle name="Normal 4 4 2 2 2 2" xfId="15274"/>
    <cellStyle name="Normal 4 4 2 2 3" xfId="7007"/>
    <cellStyle name="Normal 4 4 2 2 3 2" xfId="13693"/>
    <cellStyle name="Normal 4 4 2 2 4" xfId="11908"/>
    <cellStyle name="Normal 4 4 2 3" xfId="5287"/>
    <cellStyle name="Normal 4 4 2 3 2" xfId="9030"/>
    <cellStyle name="Normal 4 4 2 3 2 2" xfId="15574"/>
    <cellStyle name="Normal 4 4 2 3 3" xfId="7311"/>
    <cellStyle name="Normal 4 4 2 3 3 2" xfId="13993"/>
    <cellStyle name="Normal 4 4 2 3 4" xfId="12208"/>
    <cellStyle name="Normal 4 4 2 4" xfId="5725"/>
    <cellStyle name="Normal 4 4 2 4 2" xfId="9466"/>
    <cellStyle name="Normal 4 4 2 4 2 2" xfId="15968"/>
    <cellStyle name="Normal 4 4 2 4 3" xfId="7747"/>
    <cellStyle name="Normal 4 4 2 4 3 2" xfId="14387"/>
    <cellStyle name="Normal 4 4 2 4 4" xfId="12618"/>
    <cellStyle name="Normal 4 4 2 5" xfId="9979"/>
    <cellStyle name="Normal 4 4 2 5 2" xfId="16460"/>
    <cellStyle name="Normal 4 4 2 6" xfId="8224"/>
    <cellStyle name="Normal 4 4 2 6 2" xfId="14781"/>
    <cellStyle name="Normal 4 4 2 7" xfId="6505"/>
    <cellStyle name="Normal 4 4 2 7 2" xfId="13195"/>
    <cellStyle name="Normal 4 4 2 8" xfId="11404"/>
    <cellStyle name="Normal 4 4 3" xfId="4774"/>
    <cellStyle name="Normal 4 4 3 2" xfId="8517"/>
    <cellStyle name="Normal 4 4 3 2 2" xfId="15069"/>
    <cellStyle name="Normal 4 4 3 3" xfId="6798"/>
    <cellStyle name="Normal 4 4 3 3 2" xfId="13488"/>
    <cellStyle name="Normal 4 4 3 4" xfId="11703"/>
    <cellStyle name="Normal 4 4 4" xfId="5086"/>
    <cellStyle name="Normal 4 4 4 2" xfId="8829"/>
    <cellStyle name="Normal 4 4 4 2 2" xfId="15377"/>
    <cellStyle name="Normal 4 4 4 3" xfId="7110"/>
    <cellStyle name="Normal 4 4 4 3 2" xfId="13796"/>
    <cellStyle name="Normal 4 4 4 4" xfId="12011"/>
    <cellStyle name="Normal 4 4 5" xfId="5523"/>
    <cellStyle name="Normal 4 4 5 2" xfId="9264"/>
    <cellStyle name="Normal 4 4 5 2 2" xfId="15771"/>
    <cellStyle name="Normal 4 4 5 3" xfId="7545"/>
    <cellStyle name="Normal 4 4 5 3 2" xfId="14190"/>
    <cellStyle name="Normal 4 4 5 4" xfId="12416"/>
    <cellStyle name="Normal 4 4 6" xfId="9764"/>
    <cellStyle name="Normal 4 4 6 2" xfId="16255"/>
    <cellStyle name="Normal 4 4 7" xfId="7944"/>
    <cellStyle name="Normal 4 4 7 2" xfId="14584"/>
    <cellStyle name="Normal 4 4 8" xfId="5923"/>
    <cellStyle name="Normal 4 4 8 2" xfId="12816"/>
    <cellStyle name="Normal 4 4 9" xfId="10258"/>
    <cellStyle name="Normal 4 5" xfId="4153"/>
    <cellStyle name="Normal 4 5 2" xfId="4557"/>
    <cellStyle name="Normal 4 5 2 2" xfId="4984"/>
    <cellStyle name="Normal 4 5 2 2 2" xfId="8727"/>
    <cellStyle name="Normal 4 5 2 2 2 2" xfId="15275"/>
    <cellStyle name="Normal 4 5 2 2 3" xfId="7008"/>
    <cellStyle name="Normal 4 5 2 2 3 2" xfId="13694"/>
    <cellStyle name="Normal 4 5 2 2 4" xfId="11909"/>
    <cellStyle name="Normal 4 5 2 3" xfId="5384"/>
    <cellStyle name="Normal 4 5 2 3 2" xfId="9127"/>
    <cellStyle name="Normal 4 5 2 3 2 2" xfId="15671"/>
    <cellStyle name="Normal 4 5 2 3 3" xfId="7408"/>
    <cellStyle name="Normal 4 5 2 3 3 2" xfId="14090"/>
    <cellStyle name="Normal 4 5 2 3 4" xfId="12305"/>
    <cellStyle name="Normal 4 5 2 4" xfId="5822"/>
    <cellStyle name="Normal 4 5 2 4 2" xfId="9563"/>
    <cellStyle name="Normal 4 5 2 4 2 2" xfId="16065"/>
    <cellStyle name="Normal 4 5 2 4 3" xfId="7844"/>
    <cellStyle name="Normal 4 5 2 4 3 2" xfId="14484"/>
    <cellStyle name="Normal 4 5 2 4 4" xfId="12715"/>
    <cellStyle name="Normal 4 5 2 5" xfId="9980"/>
    <cellStyle name="Normal 4 5 2 5 2" xfId="16461"/>
    <cellStyle name="Normal 4 5 2 6" xfId="8321"/>
    <cellStyle name="Normal 4 5 2 6 2" xfId="14878"/>
    <cellStyle name="Normal 4 5 2 7" xfId="6602"/>
    <cellStyle name="Normal 4 5 2 7 2" xfId="13292"/>
    <cellStyle name="Normal 4 5 2 8" xfId="11502"/>
    <cellStyle name="Normal 4 5 3" xfId="4824"/>
    <cellStyle name="Normal 4 5 3 2" xfId="8567"/>
    <cellStyle name="Normal 4 5 3 2 2" xfId="15115"/>
    <cellStyle name="Normal 4 5 3 3" xfId="6848"/>
    <cellStyle name="Normal 4 5 3 3 2" xfId="13534"/>
    <cellStyle name="Normal 4 5 3 4" xfId="11749"/>
    <cellStyle name="Normal 4 5 4" xfId="5187"/>
    <cellStyle name="Normal 4 5 4 2" xfId="8930"/>
    <cellStyle name="Normal 4 5 4 2 2" xfId="15474"/>
    <cellStyle name="Normal 4 5 4 3" xfId="7211"/>
    <cellStyle name="Normal 4 5 4 3 2" xfId="13893"/>
    <cellStyle name="Normal 4 5 4 4" xfId="12108"/>
    <cellStyle name="Normal 4 5 5" xfId="5620"/>
    <cellStyle name="Normal 4 5 5 2" xfId="9361"/>
    <cellStyle name="Normal 4 5 5 2 2" xfId="15868"/>
    <cellStyle name="Normal 4 5 5 3" xfId="7642"/>
    <cellStyle name="Normal 4 5 5 3 2" xfId="14287"/>
    <cellStyle name="Normal 4 5 5 4" xfId="12513"/>
    <cellStyle name="Normal 4 5 6" xfId="9815"/>
    <cellStyle name="Normal 4 5 6 2" xfId="16301"/>
    <cellStyle name="Normal 4 5 7" xfId="8081"/>
    <cellStyle name="Normal 4 5 7 2" xfId="14681"/>
    <cellStyle name="Normal 4 5 8" xfId="6354"/>
    <cellStyle name="Normal 4 5 8 2" xfId="13077"/>
    <cellStyle name="Normal 4 5 9" xfId="11296"/>
    <cellStyle name="Normal 4 6" xfId="4407"/>
    <cellStyle name="Normal 4 6 2" xfId="4621"/>
    <cellStyle name="Normal 4 6 2 2" xfId="4986"/>
    <cellStyle name="Normal 4 6 2 2 2" xfId="8729"/>
    <cellStyle name="Normal 4 6 2 2 2 2" xfId="15277"/>
    <cellStyle name="Normal 4 6 2 2 3" xfId="7010"/>
    <cellStyle name="Normal 4 6 2 2 3 2" xfId="13696"/>
    <cellStyle name="Normal 4 6 2 2 4" xfId="11911"/>
    <cellStyle name="Normal 4 6 2 3" xfId="5448"/>
    <cellStyle name="Normal 4 6 2 3 2" xfId="9191"/>
    <cellStyle name="Normal 4 6 2 3 2 2" xfId="15735"/>
    <cellStyle name="Normal 4 6 2 3 3" xfId="7472"/>
    <cellStyle name="Normal 4 6 2 3 3 2" xfId="14154"/>
    <cellStyle name="Normal 4 6 2 3 4" xfId="12369"/>
    <cellStyle name="Normal 4 6 2 4" xfId="5886"/>
    <cellStyle name="Normal 4 6 2 4 2" xfId="9627"/>
    <cellStyle name="Normal 4 6 2 4 2 2" xfId="16129"/>
    <cellStyle name="Normal 4 6 2 4 3" xfId="7908"/>
    <cellStyle name="Normal 4 6 2 4 3 2" xfId="14548"/>
    <cellStyle name="Normal 4 6 2 4 4" xfId="12779"/>
    <cellStyle name="Normal 4 6 2 5" xfId="9982"/>
    <cellStyle name="Normal 4 6 2 5 2" xfId="16463"/>
    <cellStyle name="Normal 4 6 2 6" xfId="8385"/>
    <cellStyle name="Normal 4 6 2 6 2" xfId="14942"/>
    <cellStyle name="Normal 4 6 2 7" xfId="6666"/>
    <cellStyle name="Normal 4 6 2 7 2" xfId="13356"/>
    <cellStyle name="Normal 4 6 2 8" xfId="11566"/>
    <cellStyle name="Normal 4 6 3" xfId="4985"/>
    <cellStyle name="Normal 4 6 3 2" xfId="8728"/>
    <cellStyle name="Normal 4 6 3 2 2" xfId="15276"/>
    <cellStyle name="Normal 4 6 3 3" xfId="7009"/>
    <cellStyle name="Normal 4 6 3 3 2" xfId="13695"/>
    <cellStyle name="Normal 4 6 3 4" xfId="11910"/>
    <cellStyle name="Normal 4 6 4" xfId="5251"/>
    <cellStyle name="Normal 4 6 4 2" xfId="8994"/>
    <cellStyle name="Normal 4 6 4 2 2" xfId="15538"/>
    <cellStyle name="Normal 4 6 4 3" xfId="7275"/>
    <cellStyle name="Normal 4 6 4 3 2" xfId="13957"/>
    <cellStyle name="Normal 4 6 4 4" xfId="12172"/>
    <cellStyle name="Normal 4 6 5" xfId="5689"/>
    <cellStyle name="Normal 4 6 5 2" xfId="9430"/>
    <cellStyle name="Normal 4 6 5 2 2" xfId="15932"/>
    <cellStyle name="Normal 4 6 5 3" xfId="7711"/>
    <cellStyle name="Normal 4 6 5 3 2" xfId="14351"/>
    <cellStyle name="Normal 4 6 5 4" xfId="12582"/>
    <cellStyle name="Normal 4 6 6" xfId="9981"/>
    <cellStyle name="Normal 4 6 6 2" xfId="16462"/>
    <cellStyle name="Normal 4 6 7" xfId="8188"/>
    <cellStyle name="Normal 4 6 7 2" xfId="14745"/>
    <cellStyle name="Normal 4 6 8" xfId="6469"/>
    <cellStyle name="Normal 4 6 8 2" xfId="13159"/>
    <cellStyle name="Normal 4 6 9" xfId="11365"/>
    <cellStyle name="Normal 4 7" xfId="4424"/>
    <cellStyle name="Normal 4 7 2" xfId="4633"/>
    <cellStyle name="Normal 4 7 2 2" xfId="4988"/>
    <cellStyle name="Normal 4 7 2 2 2" xfId="8731"/>
    <cellStyle name="Normal 4 7 2 2 2 2" xfId="15279"/>
    <cellStyle name="Normal 4 7 2 2 3" xfId="7012"/>
    <cellStyle name="Normal 4 7 2 2 3 2" xfId="13698"/>
    <cellStyle name="Normal 4 7 2 2 4" xfId="11913"/>
    <cellStyle name="Normal 4 7 2 3" xfId="5460"/>
    <cellStyle name="Normal 4 7 2 3 2" xfId="9203"/>
    <cellStyle name="Normal 4 7 2 3 2 2" xfId="15747"/>
    <cellStyle name="Normal 4 7 2 3 3" xfId="7484"/>
    <cellStyle name="Normal 4 7 2 3 3 2" xfId="14166"/>
    <cellStyle name="Normal 4 7 2 3 4" xfId="12381"/>
    <cellStyle name="Normal 4 7 2 4" xfId="5898"/>
    <cellStyle name="Normal 4 7 2 4 2" xfId="9639"/>
    <cellStyle name="Normal 4 7 2 4 2 2" xfId="16141"/>
    <cellStyle name="Normal 4 7 2 4 3" xfId="7920"/>
    <cellStyle name="Normal 4 7 2 4 3 2" xfId="14560"/>
    <cellStyle name="Normal 4 7 2 4 4" xfId="12791"/>
    <cellStyle name="Normal 4 7 2 5" xfId="9984"/>
    <cellStyle name="Normal 4 7 2 5 2" xfId="16465"/>
    <cellStyle name="Normal 4 7 2 6" xfId="8397"/>
    <cellStyle name="Normal 4 7 2 6 2" xfId="14954"/>
    <cellStyle name="Normal 4 7 2 7" xfId="6678"/>
    <cellStyle name="Normal 4 7 2 7 2" xfId="13368"/>
    <cellStyle name="Normal 4 7 2 8" xfId="11578"/>
    <cellStyle name="Normal 4 7 3" xfId="4987"/>
    <cellStyle name="Normal 4 7 3 2" xfId="8730"/>
    <cellStyle name="Normal 4 7 3 2 2" xfId="15278"/>
    <cellStyle name="Normal 4 7 3 3" xfId="7011"/>
    <cellStyle name="Normal 4 7 3 3 2" xfId="13697"/>
    <cellStyle name="Normal 4 7 3 4" xfId="11912"/>
    <cellStyle name="Normal 4 7 4" xfId="5263"/>
    <cellStyle name="Normal 4 7 4 2" xfId="9006"/>
    <cellStyle name="Normal 4 7 4 2 2" xfId="15550"/>
    <cellStyle name="Normal 4 7 4 3" xfId="7287"/>
    <cellStyle name="Normal 4 7 4 3 2" xfId="13969"/>
    <cellStyle name="Normal 4 7 4 4" xfId="12184"/>
    <cellStyle name="Normal 4 7 5" xfId="5701"/>
    <cellStyle name="Normal 4 7 5 2" xfId="9442"/>
    <cellStyle name="Normal 4 7 5 2 2" xfId="15944"/>
    <cellStyle name="Normal 4 7 5 3" xfId="7723"/>
    <cellStyle name="Normal 4 7 5 3 2" xfId="14363"/>
    <cellStyle name="Normal 4 7 5 4" xfId="12594"/>
    <cellStyle name="Normal 4 7 6" xfId="9983"/>
    <cellStyle name="Normal 4 7 6 2" xfId="16464"/>
    <cellStyle name="Normal 4 7 7" xfId="8200"/>
    <cellStyle name="Normal 4 7 7 2" xfId="14757"/>
    <cellStyle name="Normal 4 7 8" xfId="6481"/>
    <cellStyle name="Normal 4 7 8 2" xfId="13171"/>
    <cellStyle name="Normal 4 7 9" xfId="11379"/>
    <cellStyle name="Normal 4 8" xfId="4451"/>
    <cellStyle name="Normal 4 8 2" xfId="4989"/>
    <cellStyle name="Normal 4 8 2 2" xfId="8732"/>
    <cellStyle name="Normal 4 8 2 2 2" xfId="15280"/>
    <cellStyle name="Normal 4 8 2 3" xfId="7013"/>
    <cellStyle name="Normal 4 8 2 3 2" xfId="13699"/>
    <cellStyle name="Normal 4 8 2 4" xfId="11914"/>
    <cellStyle name="Normal 4 8 3" xfId="5279"/>
    <cellStyle name="Normal 4 8 3 2" xfId="9022"/>
    <cellStyle name="Normal 4 8 3 2 2" xfId="15566"/>
    <cellStyle name="Normal 4 8 3 3" xfId="7303"/>
    <cellStyle name="Normal 4 8 3 3 2" xfId="13985"/>
    <cellStyle name="Normal 4 8 3 4" xfId="12200"/>
    <cellStyle name="Normal 4 8 4" xfId="5717"/>
    <cellStyle name="Normal 4 8 4 2" xfId="9458"/>
    <cellStyle name="Normal 4 8 4 2 2" xfId="15960"/>
    <cellStyle name="Normal 4 8 4 3" xfId="7739"/>
    <cellStyle name="Normal 4 8 4 3 2" xfId="14379"/>
    <cellStyle name="Normal 4 8 4 4" xfId="12610"/>
    <cellStyle name="Normal 4 8 5" xfId="9985"/>
    <cellStyle name="Normal 4 8 5 2" xfId="16466"/>
    <cellStyle name="Normal 4 8 6" xfId="8216"/>
    <cellStyle name="Normal 4 8 6 2" xfId="14773"/>
    <cellStyle name="Normal 4 8 7" xfId="6497"/>
    <cellStyle name="Normal 4 8 7 2" xfId="13187"/>
    <cellStyle name="Normal 4 8 8" xfId="11396"/>
    <cellStyle name="Normal 4 9" xfId="4683"/>
    <cellStyle name="Normal 4 9 2" xfId="8429"/>
    <cellStyle name="Normal 4 9 2 2" xfId="14981"/>
    <cellStyle name="Normal 4 9 3" xfId="6710"/>
    <cellStyle name="Normal 4 9 3 2" xfId="13400"/>
    <cellStyle name="Normal 4 9 4" xfId="11614"/>
    <cellStyle name="Normal 40" xfId="4154"/>
    <cellStyle name="Normal 40 2" xfId="4558"/>
    <cellStyle name="Normal 40 2 2" xfId="4990"/>
    <cellStyle name="Normal 40 2 2 2" xfId="8733"/>
    <cellStyle name="Normal 40 2 2 2 2" xfId="15281"/>
    <cellStyle name="Normal 40 2 2 3" xfId="7014"/>
    <cellStyle name="Normal 40 2 2 3 2" xfId="13700"/>
    <cellStyle name="Normal 40 2 2 4" xfId="11915"/>
    <cellStyle name="Normal 40 2 3" xfId="5385"/>
    <cellStyle name="Normal 40 2 3 2" xfId="9128"/>
    <cellStyle name="Normal 40 2 3 2 2" xfId="15672"/>
    <cellStyle name="Normal 40 2 3 3" xfId="7409"/>
    <cellStyle name="Normal 40 2 3 3 2" xfId="14091"/>
    <cellStyle name="Normal 40 2 3 4" xfId="12306"/>
    <cellStyle name="Normal 40 2 4" xfId="5823"/>
    <cellStyle name="Normal 40 2 4 2" xfId="9564"/>
    <cellStyle name="Normal 40 2 4 2 2" xfId="16066"/>
    <cellStyle name="Normal 40 2 4 3" xfId="7845"/>
    <cellStyle name="Normal 40 2 4 3 2" xfId="14485"/>
    <cellStyle name="Normal 40 2 4 4" xfId="12716"/>
    <cellStyle name="Normal 40 2 5" xfId="9986"/>
    <cellStyle name="Normal 40 2 5 2" xfId="16467"/>
    <cellStyle name="Normal 40 2 6" xfId="8322"/>
    <cellStyle name="Normal 40 2 6 2" xfId="14879"/>
    <cellStyle name="Normal 40 2 7" xfId="6603"/>
    <cellStyle name="Normal 40 2 7 2" xfId="13293"/>
    <cellStyle name="Normal 40 2 8" xfId="11503"/>
    <cellStyle name="Normal 40 3" xfId="4753"/>
    <cellStyle name="Normal 40 3 2" xfId="8496"/>
    <cellStyle name="Normal 40 3 2 2" xfId="15048"/>
    <cellStyle name="Normal 40 3 3" xfId="6777"/>
    <cellStyle name="Normal 40 3 3 2" xfId="13467"/>
    <cellStyle name="Normal 40 3 4" xfId="11682"/>
    <cellStyle name="Normal 40 4" xfId="5188"/>
    <cellStyle name="Normal 40 4 2" xfId="8931"/>
    <cellStyle name="Normal 40 4 2 2" xfId="15475"/>
    <cellStyle name="Normal 40 4 3" xfId="7212"/>
    <cellStyle name="Normal 40 4 3 2" xfId="13894"/>
    <cellStyle name="Normal 40 4 4" xfId="12109"/>
    <cellStyle name="Normal 40 5" xfId="5621"/>
    <cellStyle name="Normal 40 5 2" xfId="9362"/>
    <cellStyle name="Normal 40 5 2 2" xfId="15869"/>
    <cellStyle name="Normal 40 5 3" xfId="7643"/>
    <cellStyle name="Normal 40 5 3 2" xfId="14288"/>
    <cellStyle name="Normal 40 5 4" xfId="12514"/>
    <cellStyle name="Normal 40 6" xfId="9741"/>
    <cellStyle name="Normal 40 6 2" xfId="16234"/>
    <cellStyle name="Normal 40 7" xfId="8082"/>
    <cellStyle name="Normal 40 7 2" xfId="14682"/>
    <cellStyle name="Normal 40 8" xfId="6355"/>
    <cellStyle name="Normal 40 8 2" xfId="13078"/>
    <cellStyle name="Normal 40 9" xfId="11297"/>
    <cellStyle name="Normal 41" xfId="4155"/>
    <cellStyle name="Normal 42" xfId="4156"/>
    <cellStyle name="Normal 42 2" xfId="4559"/>
    <cellStyle name="Normal 42 2 2" xfId="4991"/>
    <cellStyle name="Normal 42 2 2 2" xfId="8734"/>
    <cellStyle name="Normal 42 2 2 2 2" xfId="15282"/>
    <cellStyle name="Normal 42 2 2 3" xfId="7015"/>
    <cellStyle name="Normal 42 2 2 3 2" xfId="13701"/>
    <cellStyle name="Normal 42 2 2 4" xfId="11916"/>
    <cellStyle name="Normal 42 2 3" xfId="5386"/>
    <cellStyle name="Normal 42 2 3 2" xfId="9129"/>
    <cellStyle name="Normal 42 2 3 2 2" xfId="15673"/>
    <cellStyle name="Normal 42 2 3 3" xfId="7410"/>
    <cellStyle name="Normal 42 2 3 3 2" xfId="14092"/>
    <cellStyle name="Normal 42 2 3 4" xfId="12307"/>
    <cellStyle name="Normal 42 2 4" xfId="5824"/>
    <cellStyle name="Normal 42 2 4 2" xfId="9565"/>
    <cellStyle name="Normal 42 2 4 2 2" xfId="16067"/>
    <cellStyle name="Normal 42 2 4 3" xfId="7846"/>
    <cellStyle name="Normal 42 2 4 3 2" xfId="14486"/>
    <cellStyle name="Normal 42 2 4 4" xfId="12717"/>
    <cellStyle name="Normal 42 2 5" xfId="9987"/>
    <cellStyle name="Normal 42 2 5 2" xfId="16468"/>
    <cellStyle name="Normal 42 2 6" xfId="8323"/>
    <cellStyle name="Normal 42 2 6 2" xfId="14880"/>
    <cellStyle name="Normal 42 2 7" xfId="6604"/>
    <cellStyle name="Normal 42 2 7 2" xfId="13294"/>
    <cellStyle name="Normal 42 2 8" xfId="11504"/>
    <cellStyle name="Normal 42 3" xfId="4841"/>
    <cellStyle name="Normal 42 3 2" xfId="8584"/>
    <cellStyle name="Normal 42 3 2 2" xfId="15132"/>
    <cellStyle name="Normal 42 3 3" xfId="6865"/>
    <cellStyle name="Normal 42 3 3 2" xfId="13551"/>
    <cellStyle name="Normal 42 3 4" xfId="11766"/>
    <cellStyle name="Normal 42 4" xfId="5189"/>
    <cellStyle name="Normal 42 4 2" xfId="8932"/>
    <cellStyle name="Normal 42 4 2 2" xfId="15476"/>
    <cellStyle name="Normal 42 4 3" xfId="7213"/>
    <cellStyle name="Normal 42 4 3 2" xfId="13895"/>
    <cellStyle name="Normal 42 4 4" xfId="12110"/>
    <cellStyle name="Normal 42 5" xfId="5622"/>
    <cellStyle name="Normal 42 5 2" xfId="9363"/>
    <cellStyle name="Normal 42 5 2 2" xfId="15870"/>
    <cellStyle name="Normal 42 5 3" xfId="7644"/>
    <cellStyle name="Normal 42 5 3 2" xfId="14289"/>
    <cellStyle name="Normal 42 5 4" xfId="12515"/>
    <cellStyle name="Normal 42 6" xfId="9832"/>
    <cellStyle name="Normal 42 6 2" xfId="16318"/>
    <cellStyle name="Normal 42 7" xfId="8083"/>
    <cellStyle name="Normal 42 7 2" xfId="14683"/>
    <cellStyle name="Normal 42 8" xfId="6356"/>
    <cellStyle name="Normal 42 8 2" xfId="13079"/>
    <cellStyle name="Normal 42 9" xfId="11298"/>
    <cellStyle name="Normal 43" xfId="4402"/>
    <cellStyle name="Normal 43 2" xfId="4644"/>
    <cellStyle name="Normal 43 2 2" xfId="4848"/>
    <cellStyle name="Normal 43 2 2 2" xfId="8591"/>
    <cellStyle name="Normal 43 2 2 2 2" xfId="15139"/>
    <cellStyle name="Normal 43 2 2 3" xfId="6872"/>
    <cellStyle name="Normal 43 2 2 3 2" xfId="13558"/>
    <cellStyle name="Normal 43 2 2 4" xfId="11773"/>
    <cellStyle name="Normal 43 2 3" xfId="5471"/>
    <cellStyle name="Normal 43 2 3 2" xfId="9214"/>
    <cellStyle name="Normal 43 2 3 2 2" xfId="15758"/>
    <cellStyle name="Normal 43 2 3 3" xfId="7495"/>
    <cellStyle name="Normal 43 2 3 3 2" xfId="14177"/>
    <cellStyle name="Normal 43 2 3 4" xfId="12392"/>
    <cellStyle name="Normal 43 2 4" xfId="5909"/>
    <cellStyle name="Normal 43 2 4 2" xfId="9650"/>
    <cellStyle name="Normal 43 2 4 2 2" xfId="16152"/>
    <cellStyle name="Normal 43 2 4 3" xfId="7931"/>
    <cellStyle name="Normal 43 2 4 3 2" xfId="14571"/>
    <cellStyle name="Normal 43 2 4 4" xfId="12802"/>
    <cellStyle name="Normal 43 2 5" xfId="9839"/>
    <cellStyle name="Normal 43 2 5 2" xfId="16325"/>
    <cellStyle name="Normal 43 2 6" xfId="8408"/>
    <cellStyle name="Normal 43 2 6 2" xfId="14965"/>
    <cellStyle name="Normal 43 2 7" xfId="6689"/>
    <cellStyle name="Normal 43 2 7 2" xfId="13379"/>
    <cellStyle name="Normal 43 2 8" xfId="11589"/>
    <cellStyle name="Normal 43 3" xfId="4846"/>
    <cellStyle name="Normal 43 3 2" xfId="8589"/>
    <cellStyle name="Normal 43 3 2 2" xfId="15137"/>
    <cellStyle name="Normal 43 3 3" xfId="6870"/>
    <cellStyle name="Normal 43 3 3 2" xfId="13556"/>
    <cellStyle name="Normal 43 3 4" xfId="11771"/>
    <cellStyle name="Normal 43 4" xfId="9837"/>
    <cellStyle name="Normal 43 4 2" xfId="16323"/>
    <cellStyle name="Normal 44" xfId="4403"/>
    <cellStyle name="Normal 45" xfId="4409"/>
    <cellStyle name="Normal 46" xfId="4420"/>
    <cellStyle name="Normal 47" xfId="4410"/>
    <cellStyle name="Normal 48" xfId="4435"/>
    <cellStyle name="Normal 49" xfId="4438"/>
    <cellStyle name="Normal 5" xfId="4157"/>
    <cellStyle name="Normal 5 10" xfId="9679"/>
    <cellStyle name="Normal 5 10 2" xfId="16179"/>
    <cellStyle name="Normal 5 11" xfId="4158"/>
    <cellStyle name="Normal 5 12" xfId="8084"/>
    <cellStyle name="Normal 5 12 2" xfId="14684"/>
    <cellStyle name="Normal 5 13" xfId="6357"/>
    <cellStyle name="Normal 5 13 2" xfId="13080"/>
    <cellStyle name="Normal 5 14" xfId="11299"/>
    <cellStyle name="Normal 5 2" xfId="4159"/>
    <cellStyle name="Normal 5 2 2" xfId="4561"/>
    <cellStyle name="Normal 5 2 2 2" xfId="4992"/>
    <cellStyle name="Normal 5 2 2 2 2" xfId="8735"/>
    <cellStyle name="Normal 5 2 2 2 2 2" xfId="15283"/>
    <cellStyle name="Normal 5 2 2 2 3" xfId="7016"/>
    <cellStyle name="Normal 5 2 2 2 3 2" xfId="13702"/>
    <cellStyle name="Normal 5 2 2 2 4" xfId="11917"/>
    <cellStyle name="Normal 5 2 2 3" xfId="5388"/>
    <cellStyle name="Normal 5 2 2 3 2" xfId="9131"/>
    <cellStyle name="Normal 5 2 2 3 2 2" xfId="15675"/>
    <cellStyle name="Normal 5 2 2 3 3" xfId="7412"/>
    <cellStyle name="Normal 5 2 2 3 3 2" xfId="14094"/>
    <cellStyle name="Normal 5 2 2 3 4" xfId="12309"/>
    <cellStyle name="Normal 5 2 2 4" xfId="5826"/>
    <cellStyle name="Normal 5 2 2 4 2" xfId="9567"/>
    <cellStyle name="Normal 5 2 2 4 2 2" xfId="16069"/>
    <cellStyle name="Normal 5 2 2 4 3" xfId="7848"/>
    <cellStyle name="Normal 5 2 2 4 3 2" xfId="14488"/>
    <cellStyle name="Normal 5 2 2 4 4" xfId="12719"/>
    <cellStyle name="Normal 5 2 2 5" xfId="9988"/>
    <cellStyle name="Normal 5 2 2 5 2" xfId="16469"/>
    <cellStyle name="Normal 5 2 2 6" xfId="8325"/>
    <cellStyle name="Normal 5 2 2 6 2" xfId="14882"/>
    <cellStyle name="Normal 5 2 2 7" xfId="6606"/>
    <cellStyle name="Normal 5 2 2 7 2" xfId="13296"/>
    <cellStyle name="Normal 5 2 2 8" xfId="11506"/>
    <cellStyle name="Normal 5 2 3" xfId="4782"/>
    <cellStyle name="Normal 5 2 3 2" xfId="8525"/>
    <cellStyle name="Normal 5 2 3 2 2" xfId="15077"/>
    <cellStyle name="Normal 5 2 3 3" xfId="6806"/>
    <cellStyle name="Normal 5 2 3 3 2" xfId="13496"/>
    <cellStyle name="Normal 5 2 3 4" xfId="11711"/>
    <cellStyle name="Normal 5 2 4" xfId="5191"/>
    <cellStyle name="Normal 5 2 4 2" xfId="8934"/>
    <cellStyle name="Normal 5 2 4 2 2" xfId="15478"/>
    <cellStyle name="Normal 5 2 4 3" xfId="7215"/>
    <cellStyle name="Normal 5 2 4 3 2" xfId="13897"/>
    <cellStyle name="Normal 5 2 4 4" xfId="12112"/>
    <cellStyle name="Normal 5 2 5" xfId="5624"/>
    <cellStyle name="Normal 5 2 5 2" xfId="9365"/>
    <cellStyle name="Normal 5 2 5 2 2" xfId="15872"/>
    <cellStyle name="Normal 5 2 5 3" xfId="7646"/>
    <cellStyle name="Normal 5 2 5 3 2" xfId="14291"/>
    <cellStyle name="Normal 5 2 5 4" xfId="12517"/>
    <cellStyle name="Normal 5 2 6" xfId="9772"/>
    <cellStyle name="Normal 5 2 6 2" xfId="16263"/>
    <cellStyle name="Normal 5 2 7" xfId="8085"/>
    <cellStyle name="Normal 5 2 7 2" xfId="14685"/>
    <cellStyle name="Normal 5 2 8" xfId="6358"/>
    <cellStyle name="Normal 5 2 8 2" xfId="13081"/>
    <cellStyle name="Normal 5 2 9" xfId="11300"/>
    <cellStyle name="Normal 5 3" xfId="4160"/>
    <cellStyle name="Normal 5 4" xfId="4417"/>
    <cellStyle name="Normal 5 4 2" xfId="4627"/>
    <cellStyle name="Normal 5 4 2 2" xfId="4994"/>
    <cellStyle name="Normal 5 4 2 2 2" xfId="8737"/>
    <cellStyle name="Normal 5 4 2 2 2 2" xfId="15285"/>
    <cellStyle name="Normal 5 4 2 2 3" xfId="7018"/>
    <cellStyle name="Normal 5 4 2 2 3 2" xfId="13704"/>
    <cellStyle name="Normal 5 4 2 2 4" xfId="11919"/>
    <cellStyle name="Normal 5 4 2 3" xfId="5454"/>
    <cellStyle name="Normal 5 4 2 3 2" xfId="9197"/>
    <cellStyle name="Normal 5 4 2 3 2 2" xfId="15741"/>
    <cellStyle name="Normal 5 4 2 3 3" xfId="7478"/>
    <cellStyle name="Normal 5 4 2 3 3 2" xfId="14160"/>
    <cellStyle name="Normal 5 4 2 3 4" xfId="12375"/>
    <cellStyle name="Normal 5 4 2 4" xfId="5892"/>
    <cellStyle name="Normal 5 4 2 4 2" xfId="9633"/>
    <cellStyle name="Normal 5 4 2 4 2 2" xfId="16135"/>
    <cellStyle name="Normal 5 4 2 4 3" xfId="7914"/>
    <cellStyle name="Normal 5 4 2 4 3 2" xfId="14554"/>
    <cellStyle name="Normal 5 4 2 4 4" xfId="12785"/>
    <cellStyle name="Normal 5 4 2 5" xfId="9990"/>
    <cellStyle name="Normal 5 4 2 5 2" xfId="16471"/>
    <cellStyle name="Normal 5 4 2 6" xfId="8391"/>
    <cellStyle name="Normal 5 4 2 6 2" xfId="14948"/>
    <cellStyle name="Normal 5 4 2 7" xfId="6672"/>
    <cellStyle name="Normal 5 4 2 7 2" xfId="13362"/>
    <cellStyle name="Normal 5 4 2 8" xfId="11572"/>
    <cellStyle name="Normal 5 4 3" xfId="4993"/>
    <cellStyle name="Normal 5 4 3 2" xfId="8736"/>
    <cellStyle name="Normal 5 4 3 2 2" xfId="15284"/>
    <cellStyle name="Normal 5 4 3 3" xfId="7017"/>
    <cellStyle name="Normal 5 4 3 3 2" xfId="13703"/>
    <cellStyle name="Normal 5 4 3 4" xfId="11918"/>
    <cellStyle name="Normal 5 4 4" xfId="5257"/>
    <cellStyle name="Normal 5 4 4 2" xfId="9000"/>
    <cellStyle name="Normal 5 4 4 2 2" xfId="15544"/>
    <cellStyle name="Normal 5 4 4 3" xfId="7281"/>
    <cellStyle name="Normal 5 4 4 3 2" xfId="13963"/>
    <cellStyle name="Normal 5 4 4 4" xfId="12178"/>
    <cellStyle name="Normal 5 4 5" xfId="5695"/>
    <cellStyle name="Normal 5 4 5 2" xfId="9436"/>
    <cellStyle name="Normal 5 4 5 2 2" xfId="15938"/>
    <cellStyle name="Normal 5 4 5 3" xfId="7717"/>
    <cellStyle name="Normal 5 4 5 3 2" xfId="14357"/>
    <cellStyle name="Normal 5 4 5 4" xfId="12588"/>
    <cellStyle name="Normal 5 4 6" xfId="9989"/>
    <cellStyle name="Normal 5 4 6 2" xfId="16470"/>
    <cellStyle name="Normal 5 4 7" xfId="8194"/>
    <cellStyle name="Normal 5 4 7 2" xfId="14751"/>
    <cellStyle name="Normal 5 4 8" xfId="6475"/>
    <cellStyle name="Normal 5 4 8 2" xfId="13165"/>
    <cellStyle name="Normal 5 4 9" xfId="11373"/>
    <cellStyle name="Normal 5 5" xfId="4430"/>
    <cellStyle name="Normal 5 5 2" xfId="4639"/>
    <cellStyle name="Normal 5 5 2 2" xfId="4996"/>
    <cellStyle name="Normal 5 5 2 2 2" xfId="8739"/>
    <cellStyle name="Normal 5 5 2 2 2 2" xfId="15287"/>
    <cellStyle name="Normal 5 5 2 2 3" xfId="7020"/>
    <cellStyle name="Normal 5 5 2 2 3 2" xfId="13706"/>
    <cellStyle name="Normal 5 5 2 2 4" xfId="11921"/>
    <cellStyle name="Normal 5 5 2 3" xfId="5466"/>
    <cellStyle name="Normal 5 5 2 3 2" xfId="9209"/>
    <cellStyle name="Normal 5 5 2 3 2 2" xfId="15753"/>
    <cellStyle name="Normal 5 5 2 3 3" xfId="7490"/>
    <cellStyle name="Normal 5 5 2 3 3 2" xfId="14172"/>
    <cellStyle name="Normal 5 5 2 3 4" xfId="12387"/>
    <cellStyle name="Normal 5 5 2 4" xfId="5904"/>
    <cellStyle name="Normal 5 5 2 4 2" xfId="9645"/>
    <cellStyle name="Normal 5 5 2 4 2 2" xfId="16147"/>
    <cellStyle name="Normal 5 5 2 4 3" xfId="7926"/>
    <cellStyle name="Normal 5 5 2 4 3 2" xfId="14566"/>
    <cellStyle name="Normal 5 5 2 4 4" xfId="12797"/>
    <cellStyle name="Normal 5 5 2 5" xfId="9992"/>
    <cellStyle name="Normal 5 5 2 5 2" xfId="16473"/>
    <cellStyle name="Normal 5 5 2 6" xfId="8403"/>
    <cellStyle name="Normal 5 5 2 6 2" xfId="14960"/>
    <cellStyle name="Normal 5 5 2 7" xfId="6684"/>
    <cellStyle name="Normal 5 5 2 7 2" xfId="13374"/>
    <cellStyle name="Normal 5 5 2 8" xfId="11584"/>
    <cellStyle name="Normal 5 5 3" xfId="4995"/>
    <cellStyle name="Normal 5 5 3 2" xfId="8738"/>
    <cellStyle name="Normal 5 5 3 2 2" xfId="15286"/>
    <cellStyle name="Normal 5 5 3 3" xfId="7019"/>
    <cellStyle name="Normal 5 5 3 3 2" xfId="13705"/>
    <cellStyle name="Normal 5 5 3 4" xfId="11920"/>
    <cellStyle name="Normal 5 5 4" xfId="5269"/>
    <cellStyle name="Normal 5 5 4 2" xfId="9012"/>
    <cellStyle name="Normal 5 5 4 2 2" xfId="15556"/>
    <cellStyle name="Normal 5 5 4 3" xfId="7293"/>
    <cellStyle name="Normal 5 5 4 3 2" xfId="13975"/>
    <cellStyle name="Normal 5 5 4 4" xfId="12190"/>
    <cellStyle name="Normal 5 5 5" xfId="5707"/>
    <cellStyle name="Normal 5 5 5 2" xfId="9448"/>
    <cellStyle name="Normal 5 5 5 2 2" xfId="15950"/>
    <cellStyle name="Normal 5 5 5 3" xfId="7729"/>
    <cellStyle name="Normal 5 5 5 3 2" xfId="14369"/>
    <cellStyle name="Normal 5 5 5 4" xfId="12600"/>
    <cellStyle name="Normal 5 5 6" xfId="9991"/>
    <cellStyle name="Normal 5 5 6 2" xfId="16472"/>
    <cellStyle name="Normal 5 5 7" xfId="8206"/>
    <cellStyle name="Normal 5 5 7 2" xfId="14763"/>
    <cellStyle name="Normal 5 5 8" xfId="6487"/>
    <cellStyle name="Normal 5 5 8 2" xfId="13177"/>
    <cellStyle name="Normal 5 5 9" xfId="11385"/>
    <cellStyle name="Normal 5 6" xfId="4560"/>
    <cellStyle name="Normal 5 6 2" xfId="4997"/>
    <cellStyle name="Normal 5 6 2 2" xfId="8740"/>
    <cellStyle name="Normal 5 6 2 2 2" xfId="15288"/>
    <cellStyle name="Normal 5 6 2 3" xfId="7021"/>
    <cellStyle name="Normal 5 6 2 3 2" xfId="13707"/>
    <cellStyle name="Normal 5 6 2 4" xfId="11922"/>
    <cellStyle name="Normal 5 6 3" xfId="5387"/>
    <cellStyle name="Normal 5 6 3 2" xfId="9130"/>
    <cellStyle name="Normal 5 6 3 2 2" xfId="15674"/>
    <cellStyle name="Normal 5 6 3 3" xfId="7411"/>
    <cellStyle name="Normal 5 6 3 3 2" xfId="14093"/>
    <cellStyle name="Normal 5 6 3 4" xfId="12308"/>
    <cellStyle name="Normal 5 6 4" xfId="5825"/>
    <cellStyle name="Normal 5 6 4 2" xfId="9566"/>
    <cellStyle name="Normal 5 6 4 2 2" xfId="16068"/>
    <cellStyle name="Normal 5 6 4 3" xfId="7847"/>
    <cellStyle name="Normal 5 6 4 3 2" xfId="14487"/>
    <cellStyle name="Normal 5 6 4 4" xfId="12718"/>
    <cellStyle name="Normal 5 6 5" xfId="9993"/>
    <cellStyle name="Normal 5 6 5 2" xfId="16474"/>
    <cellStyle name="Normal 5 6 6" xfId="8324"/>
    <cellStyle name="Normal 5 6 6 2" xfId="14881"/>
    <cellStyle name="Normal 5 6 7" xfId="6605"/>
    <cellStyle name="Normal 5 6 7 2" xfId="13295"/>
    <cellStyle name="Normal 5 6 8" xfId="11505"/>
    <cellStyle name="Normal 5 7" xfId="4697"/>
    <cellStyle name="Normal 5 7 2" xfId="8442"/>
    <cellStyle name="Normal 5 7 2 2" xfId="14994"/>
    <cellStyle name="Normal 5 7 3" xfId="6723"/>
    <cellStyle name="Normal 5 7 3 2" xfId="13413"/>
    <cellStyle name="Normal 5 7 4" xfId="11627"/>
    <cellStyle name="Normal 5 8" xfId="5190"/>
    <cellStyle name="Normal 5 8 2" xfId="8933"/>
    <cellStyle name="Normal 5 8 2 2" xfId="15477"/>
    <cellStyle name="Normal 5 8 3" xfId="7214"/>
    <cellStyle name="Normal 5 8 3 2" xfId="13896"/>
    <cellStyle name="Normal 5 8 4" xfId="12111"/>
    <cellStyle name="Normal 5 9" xfId="5623"/>
    <cellStyle name="Normal 5 9 2" xfId="9364"/>
    <cellStyle name="Normal 5 9 2 2" xfId="15871"/>
    <cellStyle name="Normal 5 9 3" xfId="7645"/>
    <cellStyle name="Normal 5 9 3 2" xfId="14290"/>
    <cellStyle name="Normal 5 9 4" xfId="12516"/>
    <cellStyle name="Normal 50" xfId="4437"/>
    <cellStyle name="Normal 51" xfId="4443"/>
    <cellStyle name="Normal 52" xfId="4440"/>
    <cellStyle name="Normal 53" xfId="4442"/>
    <cellStyle name="Normal 54" xfId="4436"/>
    <cellStyle name="Normal 55" xfId="4439"/>
    <cellStyle name="Normal 56" xfId="4441"/>
    <cellStyle name="Normal 57" xfId="4444"/>
    <cellStyle name="Normal 58" xfId="4446"/>
    <cellStyle name="Normal 58 2" xfId="4998"/>
    <cellStyle name="Normal 58 2 2" xfId="8741"/>
    <cellStyle name="Normal 58 2 2 2" xfId="15289"/>
    <cellStyle name="Normal 58 2 3" xfId="7022"/>
    <cellStyle name="Normal 58 2 3 2" xfId="13708"/>
    <cellStyle name="Normal 58 2 4" xfId="11923"/>
    <cellStyle name="Normal 58 3" xfId="5274"/>
    <cellStyle name="Normal 58 3 2" xfId="9017"/>
    <cellStyle name="Normal 58 3 2 2" xfId="15561"/>
    <cellStyle name="Normal 58 3 3" xfId="7298"/>
    <cellStyle name="Normal 58 3 3 2" xfId="13980"/>
    <cellStyle name="Normal 58 3 4" xfId="12195"/>
    <cellStyle name="Normal 58 4" xfId="5712"/>
    <cellStyle name="Normal 58 4 2" xfId="9453"/>
    <cellStyle name="Normal 58 4 2 2" xfId="15955"/>
    <cellStyle name="Normal 58 4 3" xfId="7734"/>
    <cellStyle name="Normal 58 4 3 2" xfId="14374"/>
    <cellStyle name="Normal 58 4 4" xfId="12605"/>
    <cellStyle name="Normal 58 5" xfId="9994"/>
    <cellStyle name="Normal 58 5 2" xfId="16475"/>
    <cellStyle name="Normal 58 6" xfId="8211"/>
    <cellStyle name="Normal 58 6 2" xfId="14768"/>
    <cellStyle name="Normal 58 7" xfId="6492"/>
    <cellStyle name="Normal 58 7 2" xfId="13182"/>
    <cellStyle name="Normal 58 8" xfId="11391"/>
    <cellStyle name="Normal 59" xfId="4668"/>
    <cellStyle name="Normal 59 2" xfId="5072"/>
    <cellStyle name="Normal 59 2 2" xfId="8815"/>
    <cellStyle name="Normal 59 2 2 2" xfId="15363"/>
    <cellStyle name="Normal 59 2 3" xfId="7096"/>
    <cellStyle name="Normal 59 2 3 2" xfId="13782"/>
    <cellStyle name="Normal 59 2 4" xfId="11997"/>
    <cellStyle name="Normal 59 3" xfId="10068"/>
    <cellStyle name="Normal 59 3 2" xfId="16549"/>
    <cellStyle name="Normal 59 4" xfId="8415"/>
    <cellStyle name="Normal 59 4 2" xfId="14967"/>
    <cellStyle name="Normal 59 5" xfId="6696"/>
    <cellStyle name="Normal 59 5 2" xfId="13386"/>
    <cellStyle name="Normal 59 6" xfId="11600"/>
    <cellStyle name="Normal 6" xfId="4161"/>
    <cellStyle name="Normal 6 10" xfId="8086"/>
    <cellStyle name="Normal 6 10 2" xfId="14686"/>
    <cellStyle name="Normal 6 11" xfId="6359"/>
    <cellStyle name="Normal 6 11 2" xfId="13082"/>
    <cellStyle name="Normal 6 12" xfId="11301"/>
    <cellStyle name="Normal 6 2" xfId="4162"/>
    <cellStyle name="Normal 6 2 2" xfId="4563"/>
    <cellStyle name="Normal 6 2 2 2" xfId="4999"/>
    <cellStyle name="Normal 6 2 2 2 2" xfId="8742"/>
    <cellStyle name="Normal 6 2 2 2 2 2" xfId="15290"/>
    <cellStyle name="Normal 6 2 2 2 3" xfId="7023"/>
    <cellStyle name="Normal 6 2 2 2 3 2" xfId="13709"/>
    <cellStyle name="Normal 6 2 2 2 4" xfId="11924"/>
    <cellStyle name="Normal 6 2 2 3" xfId="5390"/>
    <cellStyle name="Normal 6 2 2 3 2" xfId="9133"/>
    <cellStyle name="Normal 6 2 2 3 2 2" xfId="15677"/>
    <cellStyle name="Normal 6 2 2 3 3" xfId="7414"/>
    <cellStyle name="Normal 6 2 2 3 3 2" xfId="14096"/>
    <cellStyle name="Normal 6 2 2 3 4" xfId="12311"/>
    <cellStyle name="Normal 6 2 2 4" xfId="5828"/>
    <cellStyle name="Normal 6 2 2 4 2" xfId="9569"/>
    <cellStyle name="Normal 6 2 2 4 2 2" xfId="16071"/>
    <cellStyle name="Normal 6 2 2 4 3" xfId="7850"/>
    <cellStyle name="Normal 6 2 2 4 3 2" xfId="14490"/>
    <cellStyle name="Normal 6 2 2 4 4" xfId="12721"/>
    <cellStyle name="Normal 6 2 2 5" xfId="9995"/>
    <cellStyle name="Normal 6 2 2 5 2" xfId="16476"/>
    <cellStyle name="Normal 6 2 2 6" xfId="8327"/>
    <cellStyle name="Normal 6 2 2 6 2" xfId="14884"/>
    <cellStyle name="Normal 6 2 2 7" xfId="6608"/>
    <cellStyle name="Normal 6 2 2 7 2" xfId="13298"/>
    <cellStyle name="Normal 6 2 2 8" xfId="11508"/>
    <cellStyle name="Normal 6 2 3" xfId="4810"/>
    <cellStyle name="Normal 6 2 3 2" xfId="8553"/>
    <cellStyle name="Normal 6 2 3 2 2" xfId="15105"/>
    <cellStyle name="Normal 6 2 3 3" xfId="6834"/>
    <cellStyle name="Normal 6 2 3 3 2" xfId="13524"/>
    <cellStyle name="Normal 6 2 3 4" xfId="11739"/>
    <cellStyle name="Normal 6 2 4" xfId="5193"/>
    <cellStyle name="Normal 6 2 4 2" xfId="8936"/>
    <cellStyle name="Normal 6 2 4 2 2" xfId="15480"/>
    <cellStyle name="Normal 6 2 4 3" xfId="7217"/>
    <cellStyle name="Normal 6 2 4 3 2" xfId="13899"/>
    <cellStyle name="Normal 6 2 4 4" xfId="12114"/>
    <cellStyle name="Normal 6 2 5" xfId="5626"/>
    <cellStyle name="Normal 6 2 5 2" xfId="9367"/>
    <cellStyle name="Normal 6 2 5 2 2" xfId="15874"/>
    <cellStyle name="Normal 6 2 5 3" xfId="7648"/>
    <cellStyle name="Normal 6 2 5 3 2" xfId="14293"/>
    <cellStyle name="Normal 6 2 5 4" xfId="12519"/>
    <cellStyle name="Normal 6 2 6" xfId="9800"/>
    <cellStyle name="Normal 6 2 6 2" xfId="16291"/>
    <cellStyle name="Normal 6 2 7" xfId="8087"/>
    <cellStyle name="Normal 6 2 7 2" xfId="14687"/>
    <cellStyle name="Normal 6 2 8" xfId="6360"/>
    <cellStyle name="Normal 6 2 8 2" xfId="13083"/>
    <cellStyle name="Normal 6 2 9" xfId="11302"/>
    <cellStyle name="Normal 6 3" xfId="4418"/>
    <cellStyle name="Normal 6 3 2" xfId="4628"/>
    <cellStyle name="Normal 6 3 2 2" xfId="5001"/>
    <cellStyle name="Normal 6 3 2 2 2" xfId="8744"/>
    <cellStyle name="Normal 6 3 2 2 2 2" xfId="15292"/>
    <cellStyle name="Normal 6 3 2 2 3" xfId="7025"/>
    <cellStyle name="Normal 6 3 2 2 3 2" xfId="13711"/>
    <cellStyle name="Normal 6 3 2 2 4" xfId="11926"/>
    <cellStyle name="Normal 6 3 2 3" xfId="5455"/>
    <cellStyle name="Normal 6 3 2 3 2" xfId="9198"/>
    <cellStyle name="Normal 6 3 2 3 2 2" xfId="15742"/>
    <cellStyle name="Normal 6 3 2 3 3" xfId="7479"/>
    <cellStyle name="Normal 6 3 2 3 3 2" xfId="14161"/>
    <cellStyle name="Normal 6 3 2 3 4" xfId="12376"/>
    <cellStyle name="Normal 6 3 2 4" xfId="5893"/>
    <cellStyle name="Normal 6 3 2 4 2" xfId="9634"/>
    <cellStyle name="Normal 6 3 2 4 2 2" xfId="16136"/>
    <cellStyle name="Normal 6 3 2 4 3" xfId="7915"/>
    <cellStyle name="Normal 6 3 2 4 3 2" xfId="14555"/>
    <cellStyle name="Normal 6 3 2 4 4" xfId="12786"/>
    <cellStyle name="Normal 6 3 2 5" xfId="9997"/>
    <cellStyle name="Normal 6 3 2 5 2" xfId="16478"/>
    <cellStyle name="Normal 6 3 2 6" xfId="8392"/>
    <cellStyle name="Normal 6 3 2 6 2" xfId="14949"/>
    <cellStyle name="Normal 6 3 2 7" xfId="6673"/>
    <cellStyle name="Normal 6 3 2 7 2" xfId="13363"/>
    <cellStyle name="Normal 6 3 2 8" xfId="11573"/>
    <cellStyle name="Normal 6 3 3" xfId="5000"/>
    <cellStyle name="Normal 6 3 3 2" xfId="8743"/>
    <cellStyle name="Normal 6 3 3 2 2" xfId="15291"/>
    <cellStyle name="Normal 6 3 3 3" xfId="7024"/>
    <cellStyle name="Normal 6 3 3 3 2" xfId="13710"/>
    <cellStyle name="Normal 6 3 3 4" xfId="11925"/>
    <cellStyle name="Normal 6 3 4" xfId="5258"/>
    <cellStyle name="Normal 6 3 4 2" xfId="9001"/>
    <cellStyle name="Normal 6 3 4 2 2" xfId="15545"/>
    <cellStyle name="Normal 6 3 4 3" xfId="7282"/>
    <cellStyle name="Normal 6 3 4 3 2" xfId="13964"/>
    <cellStyle name="Normal 6 3 4 4" xfId="12179"/>
    <cellStyle name="Normal 6 3 5" xfId="5696"/>
    <cellStyle name="Normal 6 3 5 2" xfId="9437"/>
    <cellStyle name="Normal 6 3 5 2 2" xfId="15939"/>
    <cellStyle name="Normal 6 3 5 3" xfId="7718"/>
    <cellStyle name="Normal 6 3 5 3 2" xfId="14358"/>
    <cellStyle name="Normal 6 3 5 4" xfId="12589"/>
    <cellStyle name="Normal 6 3 6" xfId="9996"/>
    <cellStyle name="Normal 6 3 6 2" xfId="16477"/>
    <cellStyle name="Normal 6 3 7" xfId="8195"/>
    <cellStyle name="Normal 6 3 7 2" xfId="14752"/>
    <cellStyle name="Normal 6 3 8" xfId="6476"/>
    <cellStyle name="Normal 6 3 8 2" xfId="13166"/>
    <cellStyle name="Normal 6 3 9" xfId="11374"/>
    <cellStyle name="Normal 6 4" xfId="4431"/>
    <cellStyle name="Normal 6 4 2" xfId="4640"/>
    <cellStyle name="Normal 6 4 2 2" xfId="5003"/>
    <cellStyle name="Normal 6 4 2 2 2" xfId="8746"/>
    <cellStyle name="Normal 6 4 2 2 2 2" xfId="15294"/>
    <cellStyle name="Normal 6 4 2 2 3" xfId="7027"/>
    <cellStyle name="Normal 6 4 2 2 3 2" xfId="13713"/>
    <cellStyle name="Normal 6 4 2 2 4" xfId="11928"/>
    <cellStyle name="Normal 6 4 2 3" xfId="5467"/>
    <cellStyle name="Normal 6 4 2 3 2" xfId="9210"/>
    <cellStyle name="Normal 6 4 2 3 2 2" xfId="15754"/>
    <cellStyle name="Normal 6 4 2 3 3" xfId="7491"/>
    <cellStyle name="Normal 6 4 2 3 3 2" xfId="14173"/>
    <cellStyle name="Normal 6 4 2 3 4" xfId="12388"/>
    <cellStyle name="Normal 6 4 2 4" xfId="5905"/>
    <cellStyle name="Normal 6 4 2 4 2" xfId="9646"/>
    <cellStyle name="Normal 6 4 2 4 2 2" xfId="16148"/>
    <cellStyle name="Normal 6 4 2 4 3" xfId="7927"/>
    <cellStyle name="Normal 6 4 2 4 3 2" xfId="14567"/>
    <cellStyle name="Normal 6 4 2 4 4" xfId="12798"/>
    <cellStyle name="Normal 6 4 2 5" xfId="9999"/>
    <cellStyle name="Normal 6 4 2 5 2" xfId="16480"/>
    <cellStyle name="Normal 6 4 2 6" xfId="8404"/>
    <cellStyle name="Normal 6 4 2 6 2" xfId="14961"/>
    <cellStyle name="Normal 6 4 2 7" xfId="6685"/>
    <cellStyle name="Normal 6 4 2 7 2" xfId="13375"/>
    <cellStyle name="Normal 6 4 2 8" xfId="11585"/>
    <cellStyle name="Normal 6 4 3" xfId="5002"/>
    <cellStyle name="Normal 6 4 3 2" xfId="8745"/>
    <cellStyle name="Normal 6 4 3 2 2" xfId="15293"/>
    <cellStyle name="Normal 6 4 3 3" xfId="7026"/>
    <cellStyle name="Normal 6 4 3 3 2" xfId="13712"/>
    <cellStyle name="Normal 6 4 3 4" xfId="11927"/>
    <cellStyle name="Normal 6 4 4" xfId="5270"/>
    <cellStyle name="Normal 6 4 4 2" xfId="9013"/>
    <cellStyle name="Normal 6 4 4 2 2" xfId="15557"/>
    <cellStyle name="Normal 6 4 4 3" xfId="7294"/>
    <cellStyle name="Normal 6 4 4 3 2" xfId="13976"/>
    <cellStyle name="Normal 6 4 4 4" xfId="12191"/>
    <cellStyle name="Normal 6 4 5" xfId="5708"/>
    <cellStyle name="Normal 6 4 5 2" xfId="9449"/>
    <cellStyle name="Normal 6 4 5 2 2" xfId="15951"/>
    <cellStyle name="Normal 6 4 5 3" xfId="7730"/>
    <cellStyle name="Normal 6 4 5 3 2" xfId="14370"/>
    <cellStyle name="Normal 6 4 5 4" xfId="12601"/>
    <cellStyle name="Normal 6 4 6" xfId="9998"/>
    <cellStyle name="Normal 6 4 6 2" xfId="16479"/>
    <cellStyle name="Normal 6 4 7" xfId="8207"/>
    <cellStyle name="Normal 6 4 7 2" xfId="14764"/>
    <cellStyle name="Normal 6 4 8" xfId="6488"/>
    <cellStyle name="Normal 6 4 8 2" xfId="13178"/>
    <cellStyle name="Normal 6 4 9" xfId="11386"/>
    <cellStyle name="Normal 6 5" xfId="4562"/>
    <cellStyle name="Normal 6 5 2" xfId="5004"/>
    <cellStyle name="Normal 6 5 2 2" xfId="8747"/>
    <cellStyle name="Normal 6 5 2 2 2" xfId="15295"/>
    <cellStyle name="Normal 6 5 2 3" xfId="7028"/>
    <cellStyle name="Normal 6 5 2 3 2" xfId="13714"/>
    <cellStyle name="Normal 6 5 2 4" xfId="11929"/>
    <cellStyle name="Normal 6 5 3" xfId="5389"/>
    <cellStyle name="Normal 6 5 3 2" xfId="9132"/>
    <cellStyle name="Normal 6 5 3 2 2" xfId="15676"/>
    <cellStyle name="Normal 6 5 3 3" xfId="7413"/>
    <cellStyle name="Normal 6 5 3 3 2" xfId="14095"/>
    <cellStyle name="Normal 6 5 3 4" xfId="12310"/>
    <cellStyle name="Normal 6 5 4" xfId="5827"/>
    <cellStyle name="Normal 6 5 4 2" xfId="9568"/>
    <cellStyle name="Normal 6 5 4 2 2" xfId="16070"/>
    <cellStyle name="Normal 6 5 4 3" xfId="7849"/>
    <cellStyle name="Normal 6 5 4 3 2" xfId="14489"/>
    <cellStyle name="Normal 6 5 4 4" xfId="12720"/>
    <cellStyle name="Normal 6 5 5" xfId="10000"/>
    <cellStyle name="Normal 6 5 5 2" xfId="16481"/>
    <cellStyle name="Normal 6 5 6" xfId="8326"/>
    <cellStyle name="Normal 6 5 6 2" xfId="14883"/>
    <cellStyle name="Normal 6 5 7" xfId="6607"/>
    <cellStyle name="Normal 6 5 7 2" xfId="13297"/>
    <cellStyle name="Normal 6 5 8" xfId="11507"/>
    <cellStyle name="Normal 6 6" xfId="4728"/>
    <cellStyle name="Normal 6 6 2" xfId="8472"/>
    <cellStyle name="Normal 6 6 2 2" xfId="15024"/>
    <cellStyle name="Normal 6 6 3" xfId="6753"/>
    <cellStyle name="Normal 6 6 3 2" xfId="13443"/>
    <cellStyle name="Normal 6 6 4" xfId="11657"/>
    <cellStyle name="Normal 6 7" xfId="5192"/>
    <cellStyle name="Normal 6 7 2" xfId="8935"/>
    <cellStyle name="Normal 6 7 2 2" xfId="15479"/>
    <cellStyle name="Normal 6 7 3" xfId="7216"/>
    <cellStyle name="Normal 6 7 3 2" xfId="13898"/>
    <cellStyle name="Normal 6 7 4" xfId="12113"/>
    <cellStyle name="Normal 6 8" xfId="5625"/>
    <cellStyle name="Normal 6 8 2" xfId="9366"/>
    <cellStyle name="Normal 6 8 2 2" xfId="15873"/>
    <cellStyle name="Normal 6 8 3" xfId="7647"/>
    <cellStyle name="Normal 6 8 3 2" xfId="14292"/>
    <cellStyle name="Normal 6 8 4" xfId="12518"/>
    <cellStyle name="Normal 6 9" xfId="9716"/>
    <cellStyle name="Normal 6 9 2" xfId="16209"/>
    <cellStyle name="Normal 60" xfId="4671"/>
    <cellStyle name="Normal 61" xfId="5511"/>
    <cellStyle name="Normal 62" xfId="10172"/>
    <cellStyle name="Normal 7" xfId="19"/>
    <cellStyle name="Normal 7 2" xfId="4163"/>
    <cellStyle name="Normal 7 3" xfId="4164"/>
    <cellStyle name="Normal 7 4" xfId="4433"/>
    <cellStyle name="Normal 7 4 2" xfId="4642"/>
    <cellStyle name="Normal 7 4 2 2" xfId="5006"/>
    <cellStyle name="Normal 7 4 2 2 2" xfId="8749"/>
    <cellStyle name="Normal 7 4 2 2 2 2" xfId="15297"/>
    <cellStyle name="Normal 7 4 2 2 3" xfId="7030"/>
    <cellStyle name="Normal 7 4 2 2 3 2" xfId="13716"/>
    <cellStyle name="Normal 7 4 2 2 4" xfId="11931"/>
    <cellStyle name="Normal 7 4 2 3" xfId="5469"/>
    <cellStyle name="Normal 7 4 2 3 2" xfId="9212"/>
    <cellStyle name="Normal 7 4 2 3 2 2" xfId="15756"/>
    <cellStyle name="Normal 7 4 2 3 3" xfId="7493"/>
    <cellStyle name="Normal 7 4 2 3 3 2" xfId="14175"/>
    <cellStyle name="Normal 7 4 2 3 4" xfId="12390"/>
    <cellStyle name="Normal 7 4 2 4" xfId="5907"/>
    <cellStyle name="Normal 7 4 2 4 2" xfId="9648"/>
    <cellStyle name="Normal 7 4 2 4 2 2" xfId="16150"/>
    <cellStyle name="Normal 7 4 2 4 3" xfId="7929"/>
    <cellStyle name="Normal 7 4 2 4 3 2" xfId="14569"/>
    <cellStyle name="Normal 7 4 2 4 4" xfId="12800"/>
    <cellStyle name="Normal 7 4 2 5" xfId="10002"/>
    <cellStyle name="Normal 7 4 2 5 2" xfId="16483"/>
    <cellStyle name="Normal 7 4 2 6" xfId="8406"/>
    <cellStyle name="Normal 7 4 2 6 2" xfId="14963"/>
    <cellStyle name="Normal 7 4 2 7" xfId="6687"/>
    <cellStyle name="Normal 7 4 2 7 2" xfId="13377"/>
    <cellStyle name="Normal 7 4 2 8" xfId="11587"/>
    <cellStyle name="Normal 7 4 3" xfId="5005"/>
    <cellStyle name="Normal 7 4 3 2" xfId="8748"/>
    <cellStyle name="Normal 7 4 3 2 2" xfId="15296"/>
    <cellStyle name="Normal 7 4 3 3" xfId="7029"/>
    <cellStyle name="Normal 7 4 3 3 2" xfId="13715"/>
    <cellStyle name="Normal 7 4 3 4" xfId="11930"/>
    <cellStyle name="Normal 7 4 4" xfId="5272"/>
    <cellStyle name="Normal 7 4 4 2" xfId="9015"/>
    <cellStyle name="Normal 7 4 4 2 2" xfId="15559"/>
    <cellStyle name="Normal 7 4 4 3" xfId="7296"/>
    <cellStyle name="Normal 7 4 4 3 2" xfId="13978"/>
    <cellStyle name="Normal 7 4 4 4" xfId="12193"/>
    <cellStyle name="Normal 7 4 5" xfId="5710"/>
    <cellStyle name="Normal 7 4 5 2" xfId="9451"/>
    <cellStyle name="Normal 7 4 5 2 2" xfId="15953"/>
    <cellStyle name="Normal 7 4 5 3" xfId="7732"/>
    <cellStyle name="Normal 7 4 5 3 2" xfId="14372"/>
    <cellStyle name="Normal 7 4 5 4" xfId="12603"/>
    <cellStyle name="Normal 7 4 6" xfId="10001"/>
    <cellStyle name="Normal 7 4 6 2" xfId="16482"/>
    <cellStyle name="Normal 7 4 7" xfId="8209"/>
    <cellStyle name="Normal 7 4 7 2" xfId="14766"/>
    <cellStyle name="Normal 7 4 8" xfId="6490"/>
    <cellStyle name="Normal 7 4 8 2" xfId="13180"/>
    <cellStyle name="Normal 7 4 9" xfId="11388"/>
    <cellStyle name="Normal 7 5 2" xfId="4165"/>
    <cellStyle name="Normal 77" xfId="4166"/>
    <cellStyle name="Normal 78" xfId="4167"/>
    <cellStyle name="Normal 78 10" xfId="11303"/>
    <cellStyle name="Normal 78 2" xfId="4168"/>
    <cellStyle name="Normal 78 2 2" xfId="4565"/>
    <cellStyle name="Normal 78 2 2 2" xfId="5007"/>
    <cellStyle name="Normal 78 2 2 2 2" xfId="8750"/>
    <cellStyle name="Normal 78 2 2 2 2 2" xfId="15298"/>
    <cellStyle name="Normal 78 2 2 2 3" xfId="7031"/>
    <cellStyle name="Normal 78 2 2 2 3 2" xfId="13717"/>
    <cellStyle name="Normal 78 2 2 2 4" xfId="11932"/>
    <cellStyle name="Normal 78 2 2 3" xfId="5392"/>
    <cellStyle name="Normal 78 2 2 3 2" xfId="9135"/>
    <cellStyle name="Normal 78 2 2 3 2 2" xfId="15679"/>
    <cellStyle name="Normal 78 2 2 3 3" xfId="7416"/>
    <cellStyle name="Normal 78 2 2 3 3 2" xfId="14098"/>
    <cellStyle name="Normal 78 2 2 3 4" xfId="12313"/>
    <cellStyle name="Normal 78 2 2 4" xfId="5830"/>
    <cellStyle name="Normal 78 2 2 4 2" xfId="9571"/>
    <cellStyle name="Normal 78 2 2 4 2 2" xfId="16073"/>
    <cellStyle name="Normal 78 2 2 4 3" xfId="7852"/>
    <cellStyle name="Normal 78 2 2 4 3 2" xfId="14492"/>
    <cellStyle name="Normal 78 2 2 4 4" xfId="12723"/>
    <cellStyle name="Normal 78 2 2 5" xfId="10003"/>
    <cellStyle name="Normal 78 2 2 5 2" xfId="16484"/>
    <cellStyle name="Normal 78 2 2 6" xfId="8329"/>
    <cellStyle name="Normal 78 2 2 6 2" xfId="14886"/>
    <cellStyle name="Normal 78 2 2 7" xfId="6610"/>
    <cellStyle name="Normal 78 2 2 7 2" xfId="13300"/>
    <cellStyle name="Normal 78 2 2 8" xfId="11510"/>
    <cellStyle name="Normal 78 2 3" xfId="4761"/>
    <cellStyle name="Normal 78 2 3 2" xfId="8504"/>
    <cellStyle name="Normal 78 2 3 2 2" xfId="15056"/>
    <cellStyle name="Normal 78 2 3 3" xfId="6785"/>
    <cellStyle name="Normal 78 2 3 3 2" xfId="13475"/>
    <cellStyle name="Normal 78 2 3 4" xfId="11690"/>
    <cellStyle name="Normal 78 2 4" xfId="5195"/>
    <cellStyle name="Normal 78 2 4 2" xfId="8938"/>
    <cellStyle name="Normal 78 2 4 2 2" xfId="15482"/>
    <cellStyle name="Normal 78 2 4 3" xfId="7219"/>
    <cellStyle name="Normal 78 2 4 3 2" xfId="13901"/>
    <cellStyle name="Normal 78 2 4 4" xfId="12116"/>
    <cellStyle name="Normal 78 2 5" xfId="5628"/>
    <cellStyle name="Normal 78 2 5 2" xfId="9369"/>
    <cellStyle name="Normal 78 2 5 2 2" xfId="15876"/>
    <cellStyle name="Normal 78 2 5 3" xfId="7650"/>
    <cellStyle name="Normal 78 2 5 3 2" xfId="14295"/>
    <cellStyle name="Normal 78 2 5 4" xfId="12521"/>
    <cellStyle name="Normal 78 2 6" xfId="9751"/>
    <cellStyle name="Normal 78 2 6 2" xfId="16242"/>
    <cellStyle name="Normal 78 2 7" xfId="8089"/>
    <cellStyle name="Normal 78 2 7 2" xfId="14689"/>
    <cellStyle name="Normal 78 2 8" xfId="6362"/>
    <cellStyle name="Normal 78 2 8 2" xfId="13085"/>
    <cellStyle name="Normal 78 2 9" xfId="11304"/>
    <cellStyle name="Normal 78 3" xfId="4564"/>
    <cellStyle name="Normal 78 3 2" xfId="5008"/>
    <cellStyle name="Normal 78 3 2 2" xfId="8751"/>
    <cellStyle name="Normal 78 3 2 2 2" xfId="15299"/>
    <cellStyle name="Normal 78 3 2 3" xfId="7032"/>
    <cellStyle name="Normal 78 3 2 3 2" xfId="13718"/>
    <cellStyle name="Normal 78 3 2 4" xfId="11933"/>
    <cellStyle name="Normal 78 3 3" xfId="5391"/>
    <cellStyle name="Normal 78 3 3 2" xfId="9134"/>
    <cellStyle name="Normal 78 3 3 2 2" xfId="15678"/>
    <cellStyle name="Normal 78 3 3 3" xfId="7415"/>
    <cellStyle name="Normal 78 3 3 3 2" xfId="14097"/>
    <cellStyle name="Normal 78 3 3 4" xfId="12312"/>
    <cellStyle name="Normal 78 3 4" xfId="5829"/>
    <cellStyle name="Normal 78 3 4 2" xfId="9570"/>
    <cellStyle name="Normal 78 3 4 2 2" xfId="16072"/>
    <cellStyle name="Normal 78 3 4 3" xfId="7851"/>
    <cellStyle name="Normal 78 3 4 3 2" xfId="14491"/>
    <cellStyle name="Normal 78 3 4 4" xfId="12722"/>
    <cellStyle name="Normal 78 3 5" xfId="10004"/>
    <cellStyle name="Normal 78 3 5 2" xfId="16485"/>
    <cellStyle name="Normal 78 3 6" xfId="8328"/>
    <cellStyle name="Normal 78 3 6 2" xfId="14885"/>
    <cellStyle name="Normal 78 3 7" xfId="6609"/>
    <cellStyle name="Normal 78 3 7 2" xfId="13299"/>
    <cellStyle name="Normal 78 3 8" xfId="11509"/>
    <cellStyle name="Normal 78 4" xfId="4699"/>
    <cellStyle name="Normal 78 4 2" xfId="8444"/>
    <cellStyle name="Normal 78 4 2 2" xfId="14996"/>
    <cellStyle name="Normal 78 4 3" xfId="6725"/>
    <cellStyle name="Normal 78 4 3 2" xfId="13415"/>
    <cellStyle name="Normal 78 4 4" xfId="11629"/>
    <cellStyle name="Normal 78 5" xfId="5194"/>
    <cellStyle name="Normal 78 5 2" xfId="8937"/>
    <cellStyle name="Normal 78 5 2 2" xfId="15481"/>
    <cellStyle name="Normal 78 5 3" xfId="7218"/>
    <cellStyle name="Normal 78 5 3 2" xfId="13900"/>
    <cellStyle name="Normal 78 5 4" xfId="12115"/>
    <cellStyle name="Normal 78 6" xfId="5627"/>
    <cellStyle name="Normal 78 6 2" xfId="9368"/>
    <cellStyle name="Normal 78 6 2 2" xfId="15875"/>
    <cellStyle name="Normal 78 6 3" xfId="7649"/>
    <cellStyle name="Normal 78 6 3 2" xfId="14294"/>
    <cellStyle name="Normal 78 6 4" xfId="12520"/>
    <cellStyle name="Normal 78 7" xfId="9681"/>
    <cellStyle name="Normal 78 7 2" xfId="16181"/>
    <cellStyle name="Normal 78 8" xfId="8088"/>
    <cellStyle name="Normal 78 8 2" xfId="14688"/>
    <cellStyle name="Normal 78 9" xfId="6361"/>
    <cellStyle name="Normal 78 9 2" xfId="13084"/>
    <cellStyle name="Normal 8" xfId="4169"/>
    <cellStyle name="Normal 84" xfId="4170"/>
    <cellStyle name="Normal 84 2" xfId="4566"/>
    <cellStyle name="Normal 84 2 2" xfId="5009"/>
    <cellStyle name="Normal 84 2 2 2" xfId="8752"/>
    <cellStyle name="Normal 84 2 2 2 2" xfId="15300"/>
    <cellStyle name="Normal 84 2 2 3" xfId="7033"/>
    <cellStyle name="Normal 84 2 2 3 2" xfId="13719"/>
    <cellStyle name="Normal 84 2 2 4" xfId="11934"/>
    <cellStyle name="Normal 84 2 3" xfId="5393"/>
    <cellStyle name="Normal 84 2 3 2" xfId="9136"/>
    <cellStyle name="Normal 84 2 3 2 2" xfId="15680"/>
    <cellStyle name="Normal 84 2 3 3" xfId="7417"/>
    <cellStyle name="Normal 84 2 3 3 2" xfId="14099"/>
    <cellStyle name="Normal 84 2 3 4" xfId="12314"/>
    <cellStyle name="Normal 84 2 4" xfId="5831"/>
    <cellStyle name="Normal 84 2 4 2" xfId="9572"/>
    <cellStyle name="Normal 84 2 4 2 2" xfId="16074"/>
    <cellStyle name="Normal 84 2 4 3" xfId="7853"/>
    <cellStyle name="Normal 84 2 4 3 2" xfId="14493"/>
    <cellStyle name="Normal 84 2 4 4" xfId="12724"/>
    <cellStyle name="Normal 84 2 5" xfId="10005"/>
    <cellStyle name="Normal 84 2 5 2" xfId="16486"/>
    <cellStyle name="Normal 84 2 6" xfId="8330"/>
    <cellStyle name="Normal 84 2 6 2" xfId="14887"/>
    <cellStyle name="Normal 84 2 7" xfId="6611"/>
    <cellStyle name="Normal 84 2 7 2" xfId="13301"/>
    <cellStyle name="Normal 84 2 8" xfId="11511"/>
    <cellStyle name="Normal 84 3" xfId="4844"/>
    <cellStyle name="Normal 84 3 2" xfId="8587"/>
    <cellStyle name="Normal 84 3 2 2" xfId="15135"/>
    <cellStyle name="Normal 84 3 3" xfId="6868"/>
    <cellStyle name="Normal 84 3 3 2" xfId="13554"/>
    <cellStyle name="Normal 84 3 4" xfId="11769"/>
    <cellStyle name="Normal 84 4" xfId="5196"/>
    <cellStyle name="Normal 84 4 2" xfId="8939"/>
    <cellStyle name="Normal 84 4 2 2" xfId="15483"/>
    <cellStyle name="Normal 84 4 3" xfId="7220"/>
    <cellStyle name="Normal 84 4 3 2" xfId="13902"/>
    <cellStyle name="Normal 84 4 4" xfId="12117"/>
    <cellStyle name="Normal 84 5" xfId="5629"/>
    <cellStyle name="Normal 84 5 2" xfId="9370"/>
    <cellStyle name="Normal 84 5 2 2" xfId="15877"/>
    <cellStyle name="Normal 84 5 3" xfId="7651"/>
    <cellStyle name="Normal 84 5 3 2" xfId="14296"/>
    <cellStyle name="Normal 84 5 4" xfId="12522"/>
    <cellStyle name="Normal 84 6" xfId="9835"/>
    <cellStyle name="Normal 84 6 2" xfId="16321"/>
    <cellStyle name="Normal 84 7" xfId="8090"/>
    <cellStyle name="Normal 84 7 2" xfId="14690"/>
    <cellStyle name="Normal 84 8" xfId="6363"/>
    <cellStyle name="Normal 84 8 2" xfId="13086"/>
    <cellStyle name="Normal 84 9" xfId="11305"/>
    <cellStyle name="Normal 86" xfId="4171"/>
    <cellStyle name="Normal 86 2" xfId="4567"/>
    <cellStyle name="Normal 86 2 2" xfId="5010"/>
    <cellStyle name="Normal 86 2 2 2" xfId="8753"/>
    <cellStyle name="Normal 86 2 2 2 2" xfId="15301"/>
    <cellStyle name="Normal 86 2 2 3" xfId="7034"/>
    <cellStyle name="Normal 86 2 2 3 2" xfId="13720"/>
    <cellStyle name="Normal 86 2 2 4" xfId="11935"/>
    <cellStyle name="Normal 86 2 3" xfId="5394"/>
    <cellStyle name="Normal 86 2 3 2" xfId="9137"/>
    <cellStyle name="Normal 86 2 3 2 2" xfId="15681"/>
    <cellStyle name="Normal 86 2 3 3" xfId="7418"/>
    <cellStyle name="Normal 86 2 3 3 2" xfId="14100"/>
    <cellStyle name="Normal 86 2 3 4" xfId="12315"/>
    <cellStyle name="Normal 86 2 4" xfId="5832"/>
    <cellStyle name="Normal 86 2 4 2" xfId="9573"/>
    <cellStyle name="Normal 86 2 4 2 2" xfId="16075"/>
    <cellStyle name="Normal 86 2 4 3" xfId="7854"/>
    <cellStyle name="Normal 86 2 4 3 2" xfId="14494"/>
    <cellStyle name="Normal 86 2 4 4" xfId="12725"/>
    <cellStyle name="Normal 86 2 5" xfId="10006"/>
    <cellStyle name="Normal 86 2 5 2" xfId="16487"/>
    <cellStyle name="Normal 86 2 6" xfId="8331"/>
    <cellStyle name="Normal 86 2 6 2" xfId="14888"/>
    <cellStyle name="Normal 86 2 7" xfId="6612"/>
    <cellStyle name="Normal 86 2 7 2" xfId="13302"/>
    <cellStyle name="Normal 86 2 8" xfId="11512"/>
    <cellStyle name="Normal 86 3" xfId="4845"/>
    <cellStyle name="Normal 86 3 2" xfId="8588"/>
    <cellStyle name="Normal 86 3 2 2" xfId="15136"/>
    <cellStyle name="Normal 86 3 3" xfId="6869"/>
    <cellStyle name="Normal 86 3 3 2" xfId="13555"/>
    <cellStyle name="Normal 86 3 4" xfId="11770"/>
    <cellStyle name="Normal 86 4" xfId="5197"/>
    <cellStyle name="Normal 86 4 2" xfId="8940"/>
    <cellStyle name="Normal 86 4 2 2" xfId="15484"/>
    <cellStyle name="Normal 86 4 3" xfId="7221"/>
    <cellStyle name="Normal 86 4 3 2" xfId="13903"/>
    <cellStyle name="Normal 86 4 4" xfId="12118"/>
    <cellStyle name="Normal 86 5" xfId="5630"/>
    <cellStyle name="Normal 86 5 2" xfId="9371"/>
    <cellStyle name="Normal 86 5 2 2" xfId="15878"/>
    <cellStyle name="Normal 86 5 3" xfId="7652"/>
    <cellStyle name="Normal 86 5 3 2" xfId="14297"/>
    <cellStyle name="Normal 86 5 4" xfId="12523"/>
    <cellStyle name="Normal 86 6" xfId="9836"/>
    <cellStyle name="Normal 86 6 2" xfId="16322"/>
    <cellStyle name="Normal 86 7" xfId="8091"/>
    <cellStyle name="Normal 86 7 2" xfId="14691"/>
    <cellStyle name="Normal 86 8" xfId="6364"/>
    <cellStyle name="Normal 86 8 2" xfId="13087"/>
    <cellStyle name="Normal 86 9" xfId="11306"/>
    <cellStyle name="Normal 9" xfId="4172"/>
    <cellStyle name="Normal 9 10" xfId="4173"/>
    <cellStyle name="Normal 9 11" xfId="11307"/>
    <cellStyle name="Normal 9 2" xfId="4174"/>
    <cellStyle name="Normal 9 2 10" xfId="11308"/>
    <cellStyle name="Normal 9 2 2" xfId="4175"/>
    <cellStyle name="Normal 9 2 3" xfId="4569"/>
    <cellStyle name="Normal 9 2 3 2" xfId="5011"/>
    <cellStyle name="Normal 9 2 3 2 2" xfId="8754"/>
    <cellStyle name="Normal 9 2 3 2 2 2" xfId="15302"/>
    <cellStyle name="Normal 9 2 3 2 3" xfId="7035"/>
    <cellStyle name="Normal 9 2 3 2 3 2" xfId="13721"/>
    <cellStyle name="Normal 9 2 3 2 4" xfId="11936"/>
    <cellStyle name="Normal 9 2 3 3" xfId="5396"/>
    <cellStyle name="Normal 9 2 3 3 2" xfId="9139"/>
    <cellStyle name="Normal 9 2 3 3 2 2" xfId="15683"/>
    <cellStyle name="Normal 9 2 3 3 3" xfId="7420"/>
    <cellStyle name="Normal 9 2 3 3 3 2" xfId="14102"/>
    <cellStyle name="Normal 9 2 3 3 4" xfId="12317"/>
    <cellStyle name="Normal 9 2 3 4" xfId="5834"/>
    <cellStyle name="Normal 9 2 3 4 2" xfId="9575"/>
    <cellStyle name="Normal 9 2 3 4 2 2" xfId="16077"/>
    <cellStyle name="Normal 9 2 3 4 3" xfId="7856"/>
    <cellStyle name="Normal 9 2 3 4 3 2" xfId="14496"/>
    <cellStyle name="Normal 9 2 3 4 4" xfId="12727"/>
    <cellStyle name="Normal 9 2 3 5" xfId="10007"/>
    <cellStyle name="Normal 9 2 3 5 2" xfId="16488"/>
    <cellStyle name="Normal 9 2 3 6" xfId="8333"/>
    <cellStyle name="Normal 9 2 3 6 2" xfId="14890"/>
    <cellStyle name="Normal 9 2 3 7" xfId="6614"/>
    <cellStyle name="Normal 9 2 3 7 2" xfId="13304"/>
    <cellStyle name="Normal 9 2 3 8" xfId="11514"/>
    <cellStyle name="Normal 9 2 4" xfId="4814"/>
    <cellStyle name="Normal 9 2 4 2" xfId="8557"/>
    <cellStyle name="Normal 9 2 4 2 2" xfId="15109"/>
    <cellStyle name="Normal 9 2 4 3" xfId="6838"/>
    <cellStyle name="Normal 9 2 4 3 2" xfId="13528"/>
    <cellStyle name="Normal 9 2 4 4" xfId="11743"/>
    <cellStyle name="Normal 9 2 5" xfId="5199"/>
    <cellStyle name="Normal 9 2 5 2" xfId="8942"/>
    <cellStyle name="Normal 9 2 5 2 2" xfId="15486"/>
    <cellStyle name="Normal 9 2 5 3" xfId="7223"/>
    <cellStyle name="Normal 9 2 5 3 2" xfId="13905"/>
    <cellStyle name="Normal 9 2 5 4" xfId="12120"/>
    <cellStyle name="Normal 9 2 6" xfId="5632"/>
    <cellStyle name="Normal 9 2 6 2" xfId="9373"/>
    <cellStyle name="Normal 9 2 6 2 2" xfId="15880"/>
    <cellStyle name="Normal 9 2 6 3" xfId="7654"/>
    <cellStyle name="Normal 9 2 6 3 2" xfId="14299"/>
    <cellStyle name="Normal 9 2 6 4" xfId="12525"/>
    <cellStyle name="Normal 9 2 7" xfId="9804"/>
    <cellStyle name="Normal 9 2 7 2" xfId="16295"/>
    <cellStyle name="Normal 9 2 8" xfId="8093"/>
    <cellStyle name="Normal 9 2 8 2" xfId="14693"/>
    <cellStyle name="Normal 9 2 9" xfId="6366"/>
    <cellStyle name="Normal 9 2 9 2" xfId="13089"/>
    <cellStyle name="Normal 9 3" xfId="4568"/>
    <cellStyle name="Normal 9 3 2" xfId="5012"/>
    <cellStyle name="Normal 9 3 2 2" xfId="8755"/>
    <cellStyle name="Normal 9 3 2 2 2" xfId="15303"/>
    <cellStyle name="Normal 9 3 2 3" xfId="7036"/>
    <cellStyle name="Normal 9 3 2 3 2" xfId="13722"/>
    <cellStyle name="Normal 9 3 2 4" xfId="11937"/>
    <cellStyle name="Normal 9 3 3" xfId="5395"/>
    <cellStyle name="Normal 9 3 3 2" xfId="9138"/>
    <cellStyle name="Normal 9 3 3 2 2" xfId="15682"/>
    <cellStyle name="Normal 9 3 3 3" xfId="7419"/>
    <cellStyle name="Normal 9 3 3 3 2" xfId="14101"/>
    <cellStyle name="Normal 9 3 3 4" xfId="12316"/>
    <cellStyle name="Normal 9 3 4" xfId="5833"/>
    <cellStyle name="Normal 9 3 4 2" xfId="9574"/>
    <cellStyle name="Normal 9 3 4 2 2" xfId="16076"/>
    <cellStyle name="Normal 9 3 4 3" xfId="7855"/>
    <cellStyle name="Normal 9 3 4 3 2" xfId="14495"/>
    <cellStyle name="Normal 9 3 4 4" xfId="12726"/>
    <cellStyle name="Normal 9 3 5" xfId="10008"/>
    <cellStyle name="Normal 9 3 5 2" xfId="16489"/>
    <cellStyle name="Normal 9 3 6" xfId="8332"/>
    <cellStyle name="Normal 9 3 6 2" xfId="14889"/>
    <cellStyle name="Normal 9 3 7" xfId="6613"/>
    <cellStyle name="Normal 9 3 7 2" xfId="13303"/>
    <cellStyle name="Normal 9 3 8" xfId="11513"/>
    <cellStyle name="Normal 9 4" xfId="4732"/>
    <cellStyle name="Normal 9 4 2" xfId="8476"/>
    <cellStyle name="Normal 9 4 2 2" xfId="15028"/>
    <cellStyle name="Normal 9 4 3" xfId="6757"/>
    <cellStyle name="Normal 9 4 3 2" xfId="13447"/>
    <cellStyle name="Normal 9 4 4" xfId="11661"/>
    <cellStyle name="Normal 9 5" xfId="5198"/>
    <cellStyle name="Normal 9 5 2" xfId="8941"/>
    <cellStyle name="Normal 9 5 2 2" xfId="15485"/>
    <cellStyle name="Normal 9 5 3" xfId="7222"/>
    <cellStyle name="Normal 9 5 3 2" xfId="13904"/>
    <cellStyle name="Normal 9 5 4" xfId="12119"/>
    <cellStyle name="Normal 9 6" xfId="5631"/>
    <cellStyle name="Normal 9 6 2" xfId="9372"/>
    <cellStyle name="Normal 9 6 2 2" xfId="15879"/>
    <cellStyle name="Normal 9 6 3" xfId="7653"/>
    <cellStyle name="Normal 9 6 3 2" xfId="14298"/>
    <cellStyle name="Normal 9 6 4" xfId="12524"/>
    <cellStyle name="Normal 9 7" xfId="9720"/>
    <cellStyle name="Normal 9 7 2" xfId="16213"/>
    <cellStyle name="Normal 9 8" xfId="8092"/>
    <cellStyle name="Normal 9 8 2" xfId="14692"/>
    <cellStyle name="Normal 9 9" xfId="6365"/>
    <cellStyle name="Normal 9 9 2" xfId="13088"/>
    <cellStyle name="Normal U" xfId="4176"/>
    <cellStyle name="Normale_Foglio1" xfId="4177"/>
    <cellStyle name="Num_Inputs" xfId="4178"/>
    <cellStyle name="Num1_Inputs" xfId="4179"/>
    <cellStyle name="Num3_Input" xfId="4180"/>
    <cellStyle name="Number" xfId="4181"/>
    <cellStyle name="Numeric point input" xfId="4182"/>
    <cellStyle name="OLELink" xfId="4183"/>
    <cellStyle name="Operis comma" xfId="4184"/>
    <cellStyle name="Operis date" xfId="4185"/>
    <cellStyle name="Operis documentation item" xfId="4186"/>
    <cellStyle name="Operis documentation item 2" xfId="4187"/>
    <cellStyle name="Operis heading" xfId="4188"/>
    <cellStyle name="Operis heading 1" xfId="4189"/>
    <cellStyle name="Operis heading 2" xfId="4190"/>
    <cellStyle name="Operis Heading Centered" xfId="4191"/>
    <cellStyle name="Operis million" xfId="4192"/>
    <cellStyle name="Operis million currency" xfId="4193"/>
    <cellStyle name="Operis million, 3dp" xfId="4194"/>
    <cellStyle name="Operis money" xfId="4195"/>
    <cellStyle name="Operis names" xfId="4196"/>
    <cellStyle name="Operis output" xfId="4197"/>
    <cellStyle name="Operis Percent" xfId="4198"/>
    <cellStyle name="Operis Proforma" xfId="4199"/>
    <cellStyle name="Operis ratio" xfId="4200"/>
    <cellStyle name="Operis ratio 2" xfId="4201"/>
    <cellStyle name="Operis ratio 2 2" xfId="5103"/>
    <cellStyle name="Operis ratio 2 2 2" xfId="8846"/>
    <cellStyle name="Operis ratio 2 2 2 2" xfId="6221"/>
    <cellStyle name="Operis ratio 2 2 2 2 2" xfId="12946"/>
    <cellStyle name="Operis ratio 2 2 3" xfId="7127"/>
    <cellStyle name="Operis ratio 2 3" xfId="8095"/>
    <cellStyle name="Operis ratio 2 3 2" xfId="6166"/>
    <cellStyle name="Operis ratio 2 3 2 2" xfId="12891"/>
    <cellStyle name="Operis ratio 2 4" xfId="6373"/>
    <cellStyle name="Operis ratio 3" xfId="5104"/>
    <cellStyle name="Operis ratio 3 2" xfId="8847"/>
    <cellStyle name="Operis ratio 3 2 2" xfId="6222"/>
    <cellStyle name="Operis ratio 3 2 2 2" xfId="12947"/>
    <cellStyle name="Operis ratio 3 3" xfId="7128"/>
    <cellStyle name="Operis ratio 4" xfId="8094"/>
    <cellStyle name="Operis ratio 4 2" xfId="6165"/>
    <cellStyle name="Operis ratio 4 2 2" xfId="12890"/>
    <cellStyle name="Operis ratio 5" xfId="6372"/>
    <cellStyle name="OperisAuditSections" xfId="4202"/>
    <cellStyle name="OperisBase" xfId="4203"/>
    <cellStyle name="OperisDateMonthly" xfId="4204"/>
    <cellStyle name="OperisDatePeriodic" xfId="4205"/>
    <cellStyle name="OperisGroups" xfId="4206"/>
    <cellStyle name="OperisMoney" xfId="4207"/>
    <cellStyle name="OperisNames" xfId="4208"/>
    <cellStyle name="OperisOutputTitles" xfId="4209"/>
    <cellStyle name="OperisOutputTotals" xfId="4210"/>
    <cellStyle name="OperisPercent" xfId="4211"/>
    <cellStyle name="OperisRatio" xfId="4212"/>
    <cellStyle name="Out%2" xfId="4213"/>
    <cellStyle name="Out0" xfId="4214"/>
    <cellStyle name="Out1" xfId="4215"/>
    <cellStyle name="Out2" xfId="4216"/>
    <cellStyle name="OutputCurrency" xfId="4217"/>
    <cellStyle name="OutputText" xfId="4218"/>
    <cellStyle name="overheads" xfId="4219"/>
    <cellStyle name="Percent" xfId="4" builtinId="5"/>
    <cellStyle name="Percent (2dp)" xfId="4220"/>
    <cellStyle name="Percent [0%]" xfId="4221"/>
    <cellStyle name="Percent [0.00%]" xfId="4222"/>
    <cellStyle name="Percent [2]" xfId="4223"/>
    <cellStyle name="Percent [2] U" xfId="4224"/>
    <cellStyle name="Percent 10" xfId="4225"/>
    <cellStyle name="Percent 10 10" xfId="11309"/>
    <cellStyle name="Percent 10 2" xfId="4226"/>
    <cellStyle name="Percent 10 2 2" xfId="4571"/>
    <cellStyle name="Percent 10 2 2 2" xfId="5013"/>
    <cellStyle name="Percent 10 2 2 2 2" xfId="8756"/>
    <cellStyle name="Percent 10 2 2 2 2 2" xfId="15304"/>
    <cellStyle name="Percent 10 2 2 2 3" xfId="7037"/>
    <cellStyle name="Percent 10 2 2 2 3 2" xfId="13723"/>
    <cellStyle name="Percent 10 2 2 2 4" xfId="11938"/>
    <cellStyle name="Percent 10 2 2 3" xfId="5398"/>
    <cellStyle name="Percent 10 2 2 3 2" xfId="9141"/>
    <cellStyle name="Percent 10 2 2 3 2 2" xfId="15685"/>
    <cellStyle name="Percent 10 2 2 3 3" xfId="7422"/>
    <cellStyle name="Percent 10 2 2 3 3 2" xfId="14104"/>
    <cellStyle name="Percent 10 2 2 3 4" xfId="12319"/>
    <cellStyle name="Percent 10 2 2 4" xfId="5836"/>
    <cellStyle name="Percent 10 2 2 4 2" xfId="9577"/>
    <cellStyle name="Percent 10 2 2 4 2 2" xfId="16079"/>
    <cellStyle name="Percent 10 2 2 4 3" xfId="7858"/>
    <cellStyle name="Percent 10 2 2 4 3 2" xfId="14498"/>
    <cellStyle name="Percent 10 2 2 4 4" xfId="12729"/>
    <cellStyle name="Percent 10 2 2 5" xfId="10009"/>
    <cellStyle name="Percent 10 2 2 5 2" xfId="16490"/>
    <cellStyle name="Percent 10 2 2 6" xfId="8335"/>
    <cellStyle name="Percent 10 2 2 6 2" xfId="14892"/>
    <cellStyle name="Percent 10 2 2 7" xfId="6616"/>
    <cellStyle name="Percent 10 2 2 7 2" xfId="13306"/>
    <cellStyle name="Percent 10 2 2 8" xfId="11516"/>
    <cellStyle name="Percent 10 2 3" xfId="4791"/>
    <cellStyle name="Percent 10 2 3 2" xfId="8534"/>
    <cellStyle name="Percent 10 2 3 2 2" xfId="15086"/>
    <cellStyle name="Percent 10 2 3 3" xfId="6815"/>
    <cellStyle name="Percent 10 2 3 3 2" xfId="13505"/>
    <cellStyle name="Percent 10 2 3 4" xfId="11720"/>
    <cellStyle name="Percent 10 2 4" xfId="5201"/>
    <cellStyle name="Percent 10 2 4 2" xfId="8944"/>
    <cellStyle name="Percent 10 2 4 2 2" xfId="15488"/>
    <cellStyle name="Percent 10 2 4 3" xfId="7225"/>
    <cellStyle name="Percent 10 2 4 3 2" xfId="13907"/>
    <cellStyle name="Percent 10 2 4 4" xfId="12122"/>
    <cellStyle name="Percent 10 2 5" xfId="5634"/>
    <cellStyle name="Percent 10 2 5 2" xfId="9375"/>
    <cellStyle name="Percent 10 2 5 2 2" xfId="15882"/>
    <cellStyle name="Percent 10 2 5 3" xfId="7656"/>
    <cellStyle name="Percent 10 2 5 3 2" xfId="14301"/>
    <cellStyle name="Percent 10 2 5 4" xfId="12527"/>
    <cellStyle name="Percent 10 2 6" xfId="9781"/>
    <cellStyle name="Percent 10 2 6 2" xfId="16272"/>
    <cellStyle name="Percent 10 2 7" xfId="8097"/>
    <cellStyle name="Percent 10 2 7 2" xfId="14695"/>
    <cellStyle name="Percent 10 2 8" xfId="6379"/>
    <cellStyle name="Percent 10 2 8 2" xfId="13100"/>
    <cellStyle name="Percent 10 2 9" xfId="11310"/>
    <cellStyle name="Percent 10 3" xfId="4570"/>
    <cellStyle name="Percent 10 3 2" xfId="5014"/>
    <cellStyle name="Percent 10 3 2 2" xfId="8757"/>
    <cellStyle name="Percent 10 3 2 2 2" xfId="15305"/>
    <cellStyle name="Percent 10 3 2 3" xfId="7038"/>
    <cellStyle name="Percent 10 3 2 3 2" xfId="13724"/>
    <cellStyle name="Percent 10 3 2 4" xfId="11939"/>
    <cellStyle name="Percent 10 3 3" xfId="5397"/>
    <cellStyle name="Percent 10 3 3 2" xfId="9140"/>
    <cellStyle name="Percent 10 3 3 2 2" xfId="15684"/>
    <cellStyle name="Percent 10 3 3 3" xfId="7421"/>
    <cellStyle name="Percent 10 3 3 3 2" xfId="14103"/>
    <cellStyle name="Percent 10 3 3 4" xfId="12318"/>
    <cellStyle name="Percent 10 3 4" xfId="5835"/>
    <cellStyle name="Percent 10 3 4 2" xfId="9576"/>
    <cellStyle name="Percent 10 3 4 2 2" xfId="16078"/>
    <cellStyle name="Percent 10 3 4 3" xfId="7857"/>
    <cellStyle name="Percent 10 3 4 3 2" xfId="14497"/>
    <cellStyle name="Percent 10 3 4 4" xfId="12728"/>
    <cellStyle name="Percent 10 3 5" xfId="10010"/>
    <cellStyle name="Percent 10 3 5 2" xfId="16491"/>
    <cellStyle name="Percent 10 3 6" xfId="8334"/>
    <cellStyle name="Percent 10 3 6 2" xfId="14891"/>
    <cellStyle name="Percent 10 3 7" xfId="6615"/>
    <cellStyle name="Percent 10 3 7 2" xfId="13305"/>
    <cellStyle name="Percent 10 3 8" xfId="11515"/>
    <cellStyle name="Percent 10 4" xfId="4709"/>
    <cellStyle name="Percent 10 4 2" xfId="8453"/>
    <cellStyle name="Percent 10 4 2 2" xfId="15005"/>
    <cellStyle name="Percent 10 4 3" xfId="6734"/>
    <cellStyle name="Percent 10 4 3 2" xfId="13424"/>
    <cellStyle name="Percent 10 4 4" xfId="11638"/>
    <cellStyle name="Percent 10 5" xfId="5200"/>
    <cellStyle name="Percent 10 5 2" xfId="8943"/>
    <cellStyle name="Percent 10 5 2 2" xfId="15487"/>
    <cellStyle name="Percent 10 5 3" xfId="7224"/>
    <cellStyle name="Percent 10 5 3 2" xfId="13906"/>
    <cellStyle name="Percent 10 5 4" xfId="12121"/>
    <cellStyle name="Percent 10 6" xfId="5633"/>
    <cellStyle name="Percent 10 6 2" xfId="9374"/>
    <cellStyle name="Percent 10 6 2 2" xfId="15881"/>
    <cellStyle name="Percent 10 6 3" xfId="7655"/>
    <cellStyle name="Percent 10 6 3 2" xfId="14300"/>
    <cellStyle name="Percent 10 6 4" xfId="12526"/>
    <cellStyle name="Percent 10 7" xfId="9697"/>
    <cellStyle name="Percent 10 7 2" xfId="16190"/>
    <cellStyle name="Percent 10 8" xfId="8096"/>
    <cellStyle name="Percent 10 8 2" xfId="14694"/>
    <cellStyle name="Percent 10 9" xfId="6378"/>
    <cellStyle name="Percent 10 9 2" xfId="13099"/>
    <cellStyle name="Percent 11" xfId="4227"/>
    <cellStyle name="Percent 11 10" xfId="11311"/>
    <cellStyle name="Percent 11 2" xfId="4228"/>
    <cellStyle name="Percent 11 2 2" xfId="4573"/>
    <cellStyle name="Percent 11 2 2 2" xfId="5015"/>
    <cellStyle name="Percent 11 2 2 2 2" xfId="8758"/>
    <cellStyle name="Percent 11 2 2 2 2 2" xfId="15306"/>
    <cellStyle name="Percent 11 2 2 2 3" xfId="7039"/>
    <cellStyle name="Percent 11 2 2 2 3 2" xfId="13725"/>
    <cellStyle name="Percent 11 2 2 2 4" xfId="11940"/>
    <cellStyle name="Percent 11 2 2 3" xfId="5400"/>
    <cellStyle name="Percent 11 2 2 3 2" xfId="9143"/>
    <cellStyle name="Percent 11 2 2 3 2 2" xfId="15687"/>
    <cellStyle name="Percent 11 2 2 3 3" xfId="7424"/>
    <cellStyle name="Percent 11 2 2 3 3 2" xfId="14106"/>
    <cellStyle name="Percent 11 2 2 3 4" xfId="12321"/>
    <cellStyle name="Percent 11 2 2 4" xfId="5838"/>
    <cellStyle name="Percent 11 2 2 4 2" xfId="9579"/>
    <cellStyle name="Percent 11 2 2 4 2 2" xfId="16081"/>
    <cellStyle name="Percent 11 2 2 4 3" xfId="7860"/>
    <cellStyle name="Percent 11 2 2 4 3 2" xfId="14500"/>
    <cellStyle name="Percent 11 2 2 4 4" xfId="12731"/>
    <cellStyle name="Percent 11 2 2 5" xfId="10011"/>
    <cellStyle name="Percent 11 2 2 5 2" xfId="16492"/>
    <cellStyle name="Percent 11 2 2 6" xfId="8337"/>
    <cellStyle name="Percent 11 2 2 6 2" xfId="14894"/>
    <cellStyle name="Percent 11 2 2 7" xfId="6618"/>
    <cellStyle name="Percent 11 2 2 7 2" xfId="13308"/>
    <cellStyle name="Percent 11 2 2 8" xfId="11518"/>
    <cellStyle name="Percent 11 2 3" xfId="4794"/>
    <cellStyle name="Percent 11 2 3 2" xfId="8537"/>
    <cellStyle name="Percent 11 2 3 2 2" xfId="15089"/>
    <cellStyle name="Percent 11 2 3 3" xfId="6818"/>
    <cellStyle name="Percent 11 2 3 3 2" xfId="13508"/>
    <cellStyle name="Percent 11 2 3 4" xfId="11723"/>
    <cellStyle name="Percent 11 2 4" xfId="5203"/>
    <cellStyle name="Percent 11 2 4 2" xfId="8946"/>
    <cellStyle name="Percent 11 2 4 2 2" xfId="15490"/>
    <cellStyle name="Percent 11 2 4 3" xfId="7227"/>
    <cellStyle name="Percent 11 2 4 3 2" xfId="13909"/>
    <cellStyle name="Percent 11 2 4 4" xfId="12124"/>
    <cellStyle name="Percent 11 2 5" xfId="5636"/>
    <cellStyle name="Percent 11 2 5 2" xfId="9377"/>
    <cellStyle name="Percent 11 2 5 2 2" xfId="15884"/>
    <cellStyle name="Percent 11 2 5 3" xfId="7658"/>
    <cellStyle name="Percent 11 2 5 3 2" xfId="14303"/>
    <cellStyle name="Percent 11 2 5 4" xfId="12529"/>
    <cellStyle name="Percent 11 2 6" xfId="9784"/>
    <cellStyle name="Percent 11 2 6 2" xfId="16275"/>
    <cellStyle name="Percent 11 2 7" xfId="8099"/>
    <cellStyle name="Percent 11 2 7 2" xfId="14697"/>
    <cellStyle name="Percent 11 2 8" xfId="6381"/>
    <cellStyle name="Percent 11 2 8 2" xfId="13102"/>
    <cellStyle name="Percent 11 2 9" xfId="11312"/>
    <cellStyle name="Percent 11 3" xfId="4572"/>
    <cellStyle name="Percent 11 3 2" xfId="5016"/>
    <cellStyle name="Percent 11 3 2 2" xfId="8759"/>
    <cellStyle name="Percent 11 3 2 2 2" xfId="15307"/>
    <cellStyle name="Percent 11 3 2 3" xfId="7040"/>
    <cellStyle name="Percent 11 3 2 3 2" xfId="13726"/>
    <cellStyle name="Percent 11 3 2 4" xfId="11941"/>
    <cellStyle name="Percent 11 3 3" xfId="5399"/>
    <cellStyle name="Percent 11 3 3 2" xfId="9142"/>
    <cellStyle name="Percent 11 3 3 2 2" xfId="15686"/>
    <cellStyle name="Percent 11 3 3 3" xfId="7423"/>
    <cellStyle name="Percent 11 3 3 3 2" xfId="14105"/>
    <cellStyle name="Percent 11 3 3 4" xfId="12320"/>
    <cellStyle name="Percent 11 3 4" xfId="5837"/>
    <cellStyle name="Percent 11 3 4 2" xfId="9578"/>
    <cellStyle name="Percent 11 3 4 2 2" xfId="16080"/>
    <cellStyle name="Percent 11 3 4 3" xfId="7859"/>
    <cellStyle name="Percent 11 3 4 3 2" xfId="14499"/>
    <cellStyle name="Percent 11 3 4 4" xfId="12730"/>
    <cellStyle name="Percent 11 3 5" xfId="10012"/>
    <cellStyle name="Percent 11 3 5 2" xfId="16493"/>
    <cellStyle name="Percent 11 3 6" xfId="8336"/>
    <cellStyle name="Percent 11 3 6 2" xfId="14893"/>
    <cellStyle name="Percent 11 3 7" xfId="6617"/>
    <cellStyle name="Percent 11 3 7 2" xfId="13307"/>
    <cellStyle name="Percent 11 3 8" xfId="11517"/>
    <cellStyle name="Percent 11 4" xfId="4712"/>
    <cellStyle name="Percent 11 4 2" xfId="8456"/>
    <cellStyle name="Percent 11 4 2 2" xfId="15008"/>
    <cellStyle name="Percent 11 4 3" xfId="6737"/>
    <cellStyle name="Percent 11 4 3 2" xfId="13427"/>
    <cellStyle name="Percent 11 4 4" xfId="11641"/>
    <cellStyle name="Percent 11 5" xfId="5202"/>
    <cellStyle name="Percent 11 5 2" xfId="8945"/>
    <cellStyle name="Percent 11 5 2 2" xfId="15489"/>
    <cellStyle name="Percent 11 5 3" xfId="7226"/>
    <cellStyle name="Percent 11 5 3 2" xfId="13908"/>
    <cellStyle name="Percent 11 5 4" xfId="12123"/>
    <cellStyle name="Percent 11 6" xfId="5635"/>
    <cellStyle name="Percent 11 6 2" xfId="9376"/>
    <cellStyle name="Percent 11 6 2 2" xfId="15883"/>
    <cellStyle name="Percent 11 6 3" xfId="7657"/>
    <cellStyle name="Percent 11 6 3 2" xfId="14302"/>
    <cellStyle name="Percent 11 6 4" xfId="12528"/>
    <cellStyle name="Percent 11 7" xfId="9700"/>
    <cellStyle name="Percent 11 7 2" xfId="16193"/>
    <cellStyle name="Percent 11 8" xfId="8098"/>
    <cellStyle name="Percent 11 8 2" xfId="14696"/>
    <cellStyle name="Percent 11 9" xfId="6380"/>
    <cellStyle name="Percent 11 9 2" xfId="13101"/>
    <cellStyle name="Percent 12" xfId="4229"/>
    <cellStyle name="Percent 12 10" xfId="11313"/>
    <cellStyle name="Percent 12 2" xfId="4230"/>
    <cellStyle name="Percent 12 2 2" xfId="4575"/>
    <cellStyle name="Percent 12 2 2 2" xfId="5017"/>
    <cellStyle name="Percent 12 2 2 2 2" xfId="8760"/>
    <cellStyle name="Percent 12 2 2 2 2 2" xfId="15308"/>
    <cellStyle name="Percent 12 2 2 2 3" xfId="7041"/>
    <cellStyle name="Percent 12 2 2 2 3 2" xfId="13727"/>
    <cellStyle name="Percent 12 2 2 2 4" xfId="11942"/>
    <cellStyle name="Percent 12 2 2 3" xfId="5402"/>
    <cellStyle name="Percent 12 2 2 3 2" xfId="9145"/>
    <cellStyle name="Percent 12 2 2 3 2 2" xfId="15689"/>
    <cellStyle name="Percent 12 2 2 3 3" xfId="7426"/>
    <cellStyle name="Percent 12 2 2 3 3 2" xfId="14108"/>
    <cellStyle name="Percent 12 2 2 3 4" xfId="12323"/>
    <cellStyle name="Percent 12 2 2 4" xfId="5840"/>
    <cellStyle name="Percent 12 2 2 4 2" xfId="9581"/>
    <cellStyle name="Percent 12 2 2 4 2 2" xfId="16083"/>
    <cellStyle name="Percent 12 2 2 4 3" xfId="7862"/>
    <cellStyle name="Percent 12 2 2 4 3 2" xfId="14502"/>
    <cellStyle name="Percent 12 2 2 4 4" xfId="12733"/>
    <cellStyle name="Percent 12 2 2 5" xfId="10013"/>
    <cellStyle name="Percent 12 2 2 5 2" xfId="16494"/>
    <cellStyle name="Percent 12 2 2 6" xfId="8339"/>
    <cellStyle name="Percent 12 2 2 6 2" xfId="14896"/>
    <cellStyle name="Percent 12 2 2 7" xfId="6620"/>
    <cellStyle name="Percent 12 2 2 7 2" xfId="13310"/>
    <cellStyle name="Percent 12 2 2 8" xfId="11520"/>
    <cellStyle name="Percent 12 2 3" xfId="4796"/>
    <cellStyle name="Percent 12 2 3 2" xfId="8539"/>
    <cellStyle name="Percent 12 2 3 2 2" xfId="15091"/>
    <cellStyle name="Percent 12 2 3 3" xfId="6820"/>
    <cellStyle name="Percent 12 2 3 3 2" xfId="13510"/>
    <cellStyle name="Percent 12 2 3 4" xfId="11725"/>
    <cellStyle name="Percent 12 2 4" xfId="5205"/>
    <cellStyle name="Percent 12 2 4 2" xfId="8948"/>
    <cellStyle name="Percent 12 2 4 2 2" xfId="15492"/>
    <cellStyle name="Percent 12 2 4 3" xfId="7229"/>
    <cellStyle name="Percent 12 2 4 3 2" xfId="13911"/>
    <cellStyle name="Percent 12 2 4 4" xfId="12126"/>
    <cellStyle name="Percent 12 2 5" xfId="5638"/>
    <cellStyle name="Percent 12 2 5 2" xfId="9379"/>
    <cellStyle name="Percent 12 2 5 2 2" xfId="15886"/>
    <cellStyle name="Percent 12 2 5 3" xfId="7660"/>
    <cellStyle name="Percent 12 2 5 3 2" xfId="14305"/>
    <cellStyle name="Percent 12 2 5 4" xfId="12531"/>
    <cellStyle name="Percent 12 2 6" xfId="9786"/>
    <cellStyle name="Percent 12 2 6 2" xfId="16277"/>
    <cellStyle name="Percent 12 2 7" xfId="8101"/>
    <cellStyle name="Percent 12 2 7 2" xfId="14699"/>
    <cellStyle name="Percent 12 2 8" xfId="6383"/>
    <cellStyle name="Percent 12 2 8 2" xfId="13104"/>
    <cellStyle name="Percent 12 2 9" xfId="11314"/>
    <cellStyle name="Percent 12 3" xfId="4574"/>
    <cellStyle name="Percent 12 3 2" xfId="5018"/>
    <cellStyle name="Percent 12 3 2 2" xfId="8761"/>
    <cellStyle name="Percent 12 3 2 2 2" xfId="15309"/>
    <cellStyle name="Percent 12 3 2 3" xfId="7042"/>
    <cellStyle name="Percent 12 3 2 3 2" xfId="13728"/>
    <cellStyle name="Percent 12 3 2 4" xfId="11943"/>
    <cellStyle name="Percent 12 3 3" xfId="5401"/>
    <cellStyle name="Percent 12 3 3 2" xfId="9144"/>
    <cellStyle name="Percent 12 3 3 2 2" xfId="15688"/>
    <cellStyle name="Percent 12 3 3 3" xfId="7425"/>
    <cellStyle name="Percent 12 3 3 3 2" xfId="14107"/>
    <cellStyle name="Percent 12 3 3 4" xfId="12322"/>
    <cellStyle name="Percent 12 3 4" xfId="5839"/>
    <cellStyle name="Percent 12 3 4 2" xfId="9580"/>
    <cellStyle name="Percent 12 3 4 2 2" xfId="16082"/>
    <cellStyle name="Percent 12 3 4 3" xfId="7861"/>
    <cellStyle name="Percent 12 3 4 3 2" xfId="14501"/>
    <cellStyle name="Percent 12 3 4 4" xfId="12732"/>
    <cellStyle name="Percent 12 3 5" xfId="10014"/>
    <cellStyle name="Percent 12 3 5 2" xfId="16495"/>
    <cellStyle name="Percent 12 3 6" xfId="8338"/>
    <cellStyle name="Percent 12 3 6 2" xfId="14895"/>
    <cellStyle name="Percent 12 3 7" xfId="6619"/>
    <cellStyle name="Percent 12 3 7 2" xfId="13309"/>
    <cellStyle name="Percent 12 3 8" xfId="11519"/>
    <cellStyle name="Percent 12 4" xfId="4714"/>
    <cellStyle name="Percent 12 4 2" xfId="8458"/>
    <cellStyle name="Percent 12 4 2 2" xfId="15010"/>
    <cellStyle name="Percent 12 4 3" xfId="6739"/>
    <cellStyle name="Percent 12 4 3 2" xfId="13429"/>
    <cellStyle name="Percent 12 4 4" xfId="11643"/>
    <cellStyle name="Percent 12 5" xfId="5204"/>
    <cellStyle name="Percent 12 5 2" xfId="8947"/>
    <cellStyle name="Percent 12 5 2 2" xfId="15491"/>
    <cellStyle name="Percent 12 5 3" xfId="7228"/>
    <cellStyle name="Percent 12 5 3 2" xfId="13910"/>
    <cellStyle name="Percent 12 5 4" xfId="12125"/>
    <cellStyle name="Percent 12 6" xfId="5637"/>
    <cellStyle name="Percent 12 6 2" xfId="9378"/>
    <cellStyle name="Percent 12 6 2 2" xfId="15885"/>
    <cellStyle name="Percent 12 6 3" xfId="7659"/>
    <cellStyle name="Percent 12 6 3 2" xfId="14304"/>
    <cellStyle name="Percent 12 6 4" xfId="12530"/>
    <cellStyle name="Percent 12 7" xfId="9702"/>
    <cellStyle name="Percent 12 7 2" xfId="16195"/>
    <cellStyle name="Percent 12 8" xfId="8100"/>
    <cellStyle name="Percent 12 8 2" xfId="14698"/>
    <cellStyle name="Percent 12 9" xfId="6382"/>
    <cellStyle name="Percent 12 9 2" xfId="13103"/>
    <cellStyle name="Percent 13" xfId="4231"/>
    <cellStyle name="Percent 13 10" xfId="11315"/>
    <cellStyle name="Percent 13 2" xfId="4232"/>
    <cellStyle name="Percent 13 2 2" xfId="4577"/>
    <cellStyle name="Percent 13 2 2 2" xfId="5019"/>
    <cellStyle name="Percent 13 2 2 2 2" xfId="8762"/>
    <cellStyle name="Percent 13 2 2 2 2 2" xfId="15310"/>
    <cellStyle name="Percent 13 2 2 2 3" xfId="7043"/>
    <cellStyle name="Percent 13 2 2 2 3 2" xfId="13729"/>
    <cellStyle name="Percent 13 2 2 2 4" xfId="11944"/>
    <cellStyle name="Percent 13 2 2 3" xfId="5404"/>
    <cellStyle name="Percent 13 2 2 3 2" xfId="9147"/>
    <cellStyle name="Percent 13 2 2 3 2 2" xfId="15691"/>
    <cellStyle name="Percent 13 2 2 3 3" xfId="7428"/>
    <cellStyle name="Percent 13 2 2 3 3 2" xfId="14110"/>
    <cellStyle name="Percent 13 2 2 3 4" xfId="12325"/>
    <cellStyle name="Percent 13 2 2 4" xfId="5842"/>
    <cellStyle name="Percent 13 2 2 4 2" xfId="9583"/>
    <cellStyle name="Percent 13 2 2 4 2 2" xfId="16085"/>
    <cellStyle name="Percent 13 2 2 4 3" xfId="7864"/>
    <cellStyle name="Percent 13 2 2 4 3 2" xfId="14504"/>
    <cellStyle name="Percent 13 2 2 4 4" xfId="12735"/>
    <cellStyle name="Percent 13 2 2 5" xfId="10015"/>
    <cellStyle name="Percent 13 2 2 5 2" xfId="16496"/>
    <cellStyle name="Percent 13 2 2 6" xfId="8341"/>
    <cellStyle name="Percent 13 2 2 6 2" xfId="14898"/>
    <cellStyle name="Percent 13 2 2 7" xfId="6622"/>
    <cellStyle name="Percent 13 2 2 7 2" xfId="13312"/>
    <cellStyle name="Percent 13 2 2 8" xfId="11522"/>
    <cellStyle name="Percent 13 2 3" xfId="4797"/>
    <cellStyle name="Percent 13 2 3 2" xfId="8540"/>
    <cellStyle name="Percent 13 2 3 2 2" xfId="15092"/>
    <cellStyle name="Percent 13 2 3 3" xfId="6821"/>
    <cellStyle name="Percent 13 2 3 3 2" xfId="13511"/>
    <cellStyle name="Percent 13 2 3 4" xfId="11726"/>
    <cellStyle name="Percent 13 2 4" xfId="5207"/>
    <cellStyle name="Percent 13 2 4 2" xfId="8950"/>
    <cellStyle name="Percent 13 2 4 2 2" xfId="15494"/>
    <cellStyle name="Percent 13 2 4 3" xfId="7231"/>
    <cellStyle name="Percent 13 2 4 3 2" xfId="13913"/>
    <cellStyle name="Percent 13 2 4 4" xfId="12128"/>
    <cellStyle name="Percent 13 2 5" xfId="5640"/>
    <cellStyle name="Percent 13 2 5 2" xfId="9381"/>
    <cellStyle name="Percent 13 2 5 2 2" xfId="15888"/>
    <cellStyle name="Percent 13 2 5 3" xfId="7662"/>
    <cellStyle name="Percent 13 2 5 3 2" xfId="14307"/>
    <cellStyle name="Percent 13 2 5 4" xfId="12533"/>
    <cellStyle name="Percent 13 2 6" xfId="9787"/>
    <cellStyle name="Percent 13 2 6 2" xfId="16278"/>
    <cellStyle name="Percent 13 2 7" xfId="8103"/>
    <cellStyle name="Percent 13 2 7 2" xfId="14701"/>
    <cellStyle name="Percent 13 2 8" xfId="6385"/>
    <cellStyle name="Percent 13 2 8 2" xfId="13106"/>
    <cellStyle name="Percent 13 2 9" xfId="11316"/>
    <cellStyle name="Percent 13 3" xfId="4576"/>
    <cellStyle name="Percent 13 3 2" xfId="5020"/>
    <cellStyle name="Percent 13 3 2 2" xfId="8763"/>
    <cellStyle name="Percent 13 3 2 2 2" xfId="15311"/>
    <cellStyle name="Percent 13 3 2 3" xfId="7044"/>
    <cellStyle name="Percent 13 3 2 3 2" xfId="13730"/>
    <cellStyle name="Percent 13 3 2 4" xfId="11945"/>
    <cellStyle name="Percent 13 3 3" xfId="5403"/>
    <cellStyle name="Percent 13 3 3 2" xfId="9146"/>
    <cellStyle name="Percent 13 3 3 2 2" xfId="15690"/>
    <cellStyle name="Percent 13 3 3 3" xfId="7427"/>
    <cellStyle name="Percent 13 3 3 3 2" xfId="14109"/>
    <cellStyle name="Percent 13 3 3 4" xfId="12324"/>
    <cellStyle name="Percent 13 3 4" xfId="5841"/>
    <cellStyle name="Percent 13 3 4 2" xfId="9582"/>
    <cellStyle name="Percent 13 3 4 2 2" xfId="16084"/>
    <cellStyle name="Percent 13 3 4 3" xfId="7863"/>
    <cellStyle name="Percent 13 3 4 3 2" xfId="14503"/>
    <cellStyle name="Percent 13 3 4 4" xfId="12734"/>
    <cellStyle name="Percent 13 3 5" xfId="10016"/>
    <cellStyle name="Percent 13 3 5 2" xfId="16497"/>
    <cellStyle name="Percent 13 3 6" xfId="8340"/>
    <cellStyle name="Percent 13 3 6 2" xfId="14897"/>
    <cellStyle name="Percent 13 3 7" xfId="6621"/>
    <cellStyle name="Percent 13 3 7 2" xfId="13311"/>
    <cellStyle name="Percent 13 3 8" xfId="11521"/>
    <cellStyle name="Percent 13 4" xfId="4715"/>
    <cellStyle name="Percent 13 4 2" xfId="8459"/>
    <cellStyle name="Percent 13 4 2 2" xfId="15011"/>
    <cellStyle name="Percent 13 4 3" xfId="6740"/>
    <cellStyle name="Percent 13 4 3 2" xfId="13430"/>
    <cellStyle name="Percent 13 4 4" xfId="11644"/>
    <cellStyle name="Percent 13 5" xfId="5206"/>
    <cellStyle name="Percent 13 5 2" xfId="8949"/>
    <cellStyle name="Percent 13 5 2 2" xfId="15493"/>
    <cellStyle name="Percent 13 5 3" xfId="7230"/>
    <cellStyle name="Percent 13 5 3 2" xfId="13912"/>
    <cellStyle name="Percent 13 5 4" xfId="12127"/>
    <cellStyle name="Percent 13 6" xfId="5639"/>
    <cellStyle name="Percent 13 6 2" xfId="9380"/>
    <cellStyle name="Percent 13 6 2 2" xfId="15887"/>
    <cellStyle name="Percent 13 6 3" xfId="7661"/>
    <cellStyle name="Percent 13 6 3 2" xfId="14306"/>
    <cellStyle name="Percent 13 6 4" xfId="12532"/>
    <cellStyle name="Percent 13 7" xfId="9703"/>
    <cellStyle name="Percent 13 7 2" xfId="16196"/>
    <cellStyle name="Percent 13 8" xfId="8102"/>
    <cellStyle name="Percent 13 8 2" xfId="14700"/>
    <cellStyle name="Percent 13 9" xfId="6384"/>
    <cellStyle name="Percent 13 9 2" xfId="13105"/>
    <cellStyle name="Percent 14" xfId="4233"/>
    <cellStyle name="Percent 14 10" xfId="11317"/>
    <cellStyle name="Percent 14 2" xfId="4234"/>
    <cellStyle name="Percent 14 2 2" xfId="4579"/>
    <cellStyle name="Percent 14 2 2 2" xfId="5021"/>
    <cellStyle name="Percent 14 2 2 2 2" xfId="8764"/>
    <cellStyle name="Percent 14 2 2 2 2 2" xfId="15312"/>
    <cellStyle name="Percent 14 2 2 2 3" xfId="7045"/>
    <cellStyle name="Percent 14 2 2 2 3 2" xfId="13731"/>
    <cellStyle name="Percent 14 2 2 2 4" xfId="11946"/>
    <cellStyle name="Percent 14 2 2 3" xfId="5406"/>
    <cellStyle name="Percent 14 2 2 3 2" xfId="9149"/>
    <cellStyle name="Percent 14 2 2 3 2 2" xfId="15693"/>
    <cellStyle name="Percent 14 2 2 3 3" xfId="7430"/>
    <cellStyle name="Percent 14 2 2 3 3 2" xfId="14112"/>
    <cellStyle name="Percent 14 2 2 3 4" xfId="12327"/>
    <cellStyle name="Percent 14 2 2 4" xfId="5844"/>
    <cellStyle name="Percent 14 2 2 4 2" xfId="9585"/>
    <cellStyle name="Percent 14 2 2 4 2 2" xfId="16087"/>
    <cellStyle name="Percent 14 2 2 4 3" xfId="7866"/>
    <cellStyle name="Percent 14 2 2 4 3 2" xfId="14506"/>
    <cellStyle name="Percent 14 2 2 4 4" xfId="12737"/>
    <cellStyle name="Percent 14 2 2 5" xfId="10017"/>
    <cellStyle name="Percent 14 2 2 5 2" xfId="16498"/>
    <cellStyle name="Percent 14 2 2 6" xfId="8343"/>
    <cellStyle name="Percent 14 2 2 6 2" xfId="14900"/>
    <cellStyle name="Percent 14 2 2 7" xfId="6624"/>
    <cellStyle name="Percent 14 2 2 7 2" xfId="13314"/>
    <cellStyle name="Percent 14 2 2 8" xfId="11524"/>
    <cellStyle name="Percent 14 2 3" xfId="4799"/>
    <cellStyle name="Percent 14 2 3 2" xfId="8542"/>
    <cellStyle name="Percent 14 2 3 2 2" xfId="15094"/>
    <cellStyle name="Percent 14 2 3 3" xfId="6823"/>
    <cellStyle name="Percent 14 2 3 3 2" xfId="13513"/>
    <cellStyle name="Percent 14 2 3 4" xfId="11728"/>
    <cellStyle name="Percent 14 2 4" xfId="5209"/>
    <cellStyle name="Percent 14 2 4 2" xfId="8952"/>
    <cellStyle name="Percent 14 2 4 2 2" xfId="15496"/>
    <cellStyle name="Percent 14 2 4 3" xfId="7233"/>
    <cellStyle name="Percent 14 2 4 3 2" xfId="13915"/>
    <cellStyle name="Percent 14 2 4 4" xfId="12130"/>
    <cellStyle name="Percent 14 2 5" xfId="5642"/>
    <cellStyle name="Percent 14 2 5 2" xfId="9383"/>
    <cellStyle name="Percent 14 2 5 2 2" xfId="15890"/>
    <cellStyle name="Percent 14 2 5 3" xfId="7664"/>
    <cellStyle name="Percent 14 2 5 3 2" xfId="14309"/>
    <cellStyle name="Percent 14 2 5 4" xfId="12535"/>
    <cellStyle name="Percent 14 2 6" xfId="9789"/>
    <cellStyle name="Percent 14 2 6 2" xfId="16280"/>
    <cellStyle name="Percent 14 2 7" xfId="8105"/>
    <cellStyle name="Percent 14 2 7 2" xfId="14703"/>
    <cellStyle name="Percent 14 2 8" xfId="6387"/>
    <cellStyle name="Percent 14 2 8 2" xfId="13108"/>
    <cellStyle name="Percent 14 2 9" xfId="11318"/>
    <cellStyle name="Percent 14 3" xfId="4578"/>
    <cellStyle name="Percent 14 3 2" xfId="5022"/>
    <cellStyle name="Percent 14 3 2 2" xfId="8765"/>
    <cellStyle name="Percent 14 3 2 2 2" xfId="15313"/>
    <cellStyle name="Percent 14 3 2 3" xfId="7046"/>
    <cellStyle name="Percent 14 3 2 3 2" xfId="13732"/>
    <cellStyle name="Percent 14 3 2 4" xfId="11947"/>
    <cellStyle name="Percent 14 3 3" xfId="5405"/>
    <cellStyle name="Percent 14 3 3 2" xfId="9148"/>
    <cellStyle name="Percent 14 3 3 2 2" xfId="15692"/>
    <cellStyle name="Percent 14 3 3 3" xfId="7429"/>
    <cellStyle name="Percent 14 3 3 3 2" xfId="14111"/>
    <cellStyle name="Percent 14 3 3 4" xfId="12326"/>
    <cellStyle name="Percent 14 3 4" xfId="5843"/>
    <cellStyle name="Percent 14 3 4 2" xfId="9584"/>
    <cellStyle name="Percent 14 3 4 2 2" xfId="16086"/>
    <cellStyle name="Percent 14 3 4 3" xfId="7865"/>
    <cellStyle name="Percent 14 3 4 3 2" xfId="14505"/>
    <cellStyle name="Percent 14 3 4 4" xfId="12736"/>
    <cellStyle name="Percent 14 3 5" xfId="10018"/>
    <cellStyle name="Percent 14 3 5 2" xfId="16499"/>
    <cellStyle name="Percent 14 3 6" xfId="8342"/>
    <cellStyle name="Percent 14 3 6 2" xfId="14899"/>
    <cellStyle name="Percent 14 3 7" xfId="6623"/>
    <cellStyle name="Percent 14 3 7 2" xfId="13313"/>
    <cellStyle name="Percent 14 3 8" xfId="11523"/>
    <cellStyle name="Percent 14 4" xfId="4717"/>
    <cellStyle name="Percent 14 4 2" xfId="8461"/>
    <cellStyle name="Percent 14 4 2 2" xfId="15013"/>
    <cellStyle name="Percent 14 4 3" xfId="6742"/>
    <cellStyle name="Percent 14 4 3 2" xfId="13432"/>
    <cellStyle name="Percent 14 4 4" xfId="11646"/>
    <cellStyle name="Percent 14 5" xfId="5208"/>
    <cellStyle name="Percent 14 5 2" xfId="8951"/>
    <cellStyle name="Percent 14 5 2 2" xfId="15495"/>
    <cellStyle name="Percent 14 5 3" xfId="7232"/>
    <cellStyle name="Percent 14 5 3 2" xfId="13914"/>
    <cellStyle name="Percent 14 5 4" xfId="12129"/>
    <cellStyle name="Percent 14 6" xfId="5641"/>
    <cellStyle name="Percent 14 6 2" xfId="9382"/>
    <cellStyle name="Percent 14 6 2 2" xfId="15889"/>
    <cellStyle name="Percent 14 6 3" xfId="7663"/>
    <cellStyle name="Percent 14 6 3 2" xfId="14308"/>
    <cellStyle name="Percent 14 6 4" xfId="12534"/>
    <cellStyle name="Percent 14 7" xfId="9705"/>
    <cellStyle name="Percent 14 7 2" xfId="16198"/>
    <cellStyle name="Percent 14 8" xfId="8104"/>
    <cellStyle name="Percent 14 8 2" xfId="14702"/>
    <cellStyle name="Percent 14 9" xfId="6386"/>
    <cellStyle name="Percent 14 9 2" xfId="13107"/>
    <cellStyle name="Percent 15" xfId="4235"/>
    <cellStyle name="Percent 15 10" xfId="11319"/>
    <cellStyle name="Percent 15 2" xfId="4236"/>
    <cellStyle name="Percent 15 2 2" xfId="4581"/>
    <cellStyle name="Percent 15 2 2 2" xfId="5023"/>
    <cellStyle name="Percent 15 2 2 2 2" xfId="8766"/>
    <cellStyle name="Percent 15 2 2 2 2 2" xfId="15314"/>
    <cellStyle name="Percent 15 2 2 2 3" xfId="7047"/>
    <cellStyle name="Percent 15 2 2 2 3 2" xfId="13733"/>
    <cellStyle name="Percent 15 2 2 2 4" xfId="11948"/>
    <cellStyle name="Percent 15 2 2 3" xfId="5408"/>
    <cellStyle name="Percent 15 2 2 3 2" xfId="9151"/>
    <cellStyle name="Percent 15 2 2 3 2 2" xfId="15695"/>
    <cellStyle name="Percent 15 2 2 3 3" xfId="7432"/>
    <cellStyle name="Percent 15 2 2 3 3 2" xfId="14114"/>
    <cellStyle name="Percent 15 2 2 3 4" xfId="12329"/>
    <cellStyle name="Percent 15 2 2 4" xfId="5846"/>
    <cellStyle name="Percent 15 2 2 4 2" xfId="9587"/>
    <cellStyle name="Percent 15 2 2 4 2 2" xfId="16089"/>
    <cellStyle name="Percent 15 2 2 4 3" xfId="7868"/>
    <cellStyle name="Percent 15 2 2 4 3 2" xfId="14508"/>
    <cellStyle name="Percent 15 2 2 4 4" xfId="12739"/>
    <cellStyle name="Percent 15 2 2 5" xfId="10019"/>
    <cellStyle name="Percent 15 2 2 5 2" xfId="16500"/>
    <cellStyle name="Percent 15 2 2 6" xfId="8345"/>
    <cellStyle name="Percent 15 2 2 6 2" xfId="14902"/>
    <cellStyle name="Percent 15 2 2 7" xfId="6626"/>
    <cellStyle name="Percent 15 2 2 7 2" xfId="13316"/>
    <cellStyle name="Percent 15 2 2 8" xfId="11526"/>
    <cellStyle name="Percent 15 2 3" xfId="4801"/>
    <cellStyle name="Percent 15 2 3 2" xfId="8544"/>
    <cellStyle name="Percent 15 2 3 2 2" xfId="15096"/>
    <cellStyle name="Percent 15 2 3 3" xfId="6825"/>
    <cellStyle name="Percent 15 2 3 3 2" xfId="13515"/>
    <cellStyle name="Percent 15 2 3 4" xfId="11730"/>
    <cellStyle name="Percent 15 2 4" xfId="5211"/>
    <cellStyle name="Percent 15 2 4 2" xfId="8954"/>
    <cellStyle name="Percent 15 2 4 2 2" xfId="15498"/>
    <cellStyle name="Percent 15 2 4 3" xfId="7235"/>
    <cellStyle name="Percent 15 2 4 3 2" xfId="13917"/>
    <cellStyle name="Percent 15 2 4 4" xfId="12132"/>
    <cellStyle name="Percent 15 2 5" xfId="5644"/>
    <cellStyle name="Percent 15 2 5 2" xfId="9385"/>
    <cellStyle name="Percent 15 2 5 2 2" xfId="15892"/>
    <cellStyle name="Percent 15 2 5 3" xfId="7666"/>
    <cellStyle name="Percent 15 2 5 3 2" xfId="14311"/>
    <cellStyle name="Percent 15 2 5 4" xfId="12537"/>
    <cellStyle name="Percent 15 2 6" xfId="9791"/>
    <cellStyle name="Percent 15 2 6 2" xfId="16282"/>
    <cellStyle name="Percent 15 2 7" xfId="8107"/>
    <cellStyle name="Percent 15 2 7 2" xfId="14705"/>
    <cellStyle name="Percent 15 2 8" xfId="6389"/>
    <cellStyle name="Percent 15 2 8 2" xfId="13110"/>
    <cellStyle name="Percent 15 2 9" xfId="11320"/>
    <cellStyle name="Percent 15 3" xfId="4580"/>
    <cellStyle name="Percent 15 3 2" xfId="5024"/>
    <cellStyle name="Percent 15 3 2 2" xfId="8767"/>
    <cellStyle name="Percent 15 3 2 2 2" xfId="15315"/>
    <cellStyle name="Percent 15 3 2 3" xfId="7048"/>
    <cellStyle name="Percent 15 3 2 3 2" xfId="13734"/>
    <cellStyle name="Percent 15 3 2 4" xfId="11949"/>
    <cellStyle name="Percent 15 3 3" xfId="5407"/>
    <cellStyle name="Percent 15 3 3 2" xfId="9150"/>
    <cellStyle name="Percent 15 3 3 2 2" xfId="15694"/>
    <cellStyle name="Percent 15 3 3 3" xfId="7431"/>
    <cellStyle name="Percent 15 3 3 3 2" xfId="14113"/>
    <cellStyle name="Percent 15 3 3 4" xfId="12328"/>
    <cellStyle name="Percent 15 3 4" xfId="5845"/>
    <cellStyle name="Percent 15 3 4 2" xfId="9586"/>
    <cellStyle name="Percent 15 3 4 2 2" xfId="16088"/>
    <cellStyle name="Percent 15 3 4 3" xfId="7867"/>
    <cellStyle name="Percent 15 3 4 3 2" xfId="14507"/>
    <cellStyle name="Percent 15 3 4 4" xfId="12738"/>
    <cellStyle name="Percent 15 3 5" xfId="10020"/>
    <cellStyle name="Percent 15 3 5 2" xfId="16501"/>
    <cellStyle name="Percent 15 3 6" xfId="8344"/>
    <cellStyle name="Percent 15 3 6 2" xfId="14901"/>
    <cellStyle name="Percent 15 3 7" xfId="6625"/>
    <cellStyle name="Percent 15 3 7 2" xfId="13315"/>
    <cellStyle name="Percent 15 3 8" xfId="11525"/>
    <cellStyle name="Percent 15 4" xfId="4719"/>
    <cellStyle name="Percent 15 4 2" xfId="8463"/>
    <cellStyle name="Percent 15 4 2 2" xfId="15015"/>
    <cellStyle name="Percent 15 4 3" xfId="6744"/>
    <cellStyle name="Percent 15 4 3 2" xfId="13434"/>
    <cellStyle name="Percent 15 4 4" xfId="11648"/>
    <cellStyle name="Percent 15 5" xfId="5210"/>
    <cellStyle name="Percent 15 5 2" xfId="8953"/>
    <cellStyle name="Percent 15 5 2 2" xfId="15497"/>
    <cellStyle name="Percent 15 5 3" xfId="7234"/>
    <cellStyle name="Percent 15 5 3 2" xfId="13916"/>
    <cellStyle name="Percent 15 5 4" xfId="12131"/>
    <cellStyle name="Percent 15 6" xfId="5643"/>
    <cellStyle name="Percent 15 6 2" xfId="9384"/>
    <cellStyle name="Percent 15 6 2 2" xfId="15891"/>
    <cellStyle name="Percent 15 6 3" xfId="7665"/>
    <cellStyle name="Percent 15 6 3 2" xfId="14310"/>
    <cellStyle name="Percent 15 6 4" xfId="12536"/>
    <cellStyle name="Percent 15 7" xfId="9707"/>
    <cellStyle name="Percent 15 7 2" xfId="16200"/>
    <cellStyle name="Percent 15 8" xfId="8106"/>
    <cellStyle name="Percent 15 8 2" xfId="14704"/>
    <cellStyle name="Percent 15 9" xfId="6388"/>
    <cellStyle name="Percent 15 9 2" xfId="13109"/>
    <cellStyle name="Percent 16" xfId="4237"/>
    <cellStyle name="Percent 16 10" xfId="11321"/>
    <cellStyle name="Percent 16 2" xfId="4238"/>
    <cellStyle name="Percent 16 2 2" xfId="4583"/>
    <cellStyle name="Percent 16 2 2 2" xfId="5025"/>
    <cellStyle name="Percent 16 2 2 2 2" xfId="8768"/>
    <cellStyle name="Percent 16 2 2 2 2 2" xfId="15316"/>
    <cellStyle name="Percent 16 2 2 2 3" xfId="7049"/>
    <cellStyle name="Percent 16 2 2 2 3 2" xfId="13735"/>
    <cellStyle name="Percent 16 2 2 2 4" xfId="11950"/>
    <cellStyle name="Percent 16 2 2 3" xfId="5410"/>
    <cellStyle name="Percent 16 2 2 3 2" xfId="9153"/>
    <cellStyle name="Percent 16 2 2 3 2 2" xfId="15697"/>
    <cellStyle name="Percent 16 2 2 3 3" xfId="7434"/>
    <cellStyle name="Percent 16 2 2 3 3 2" xfId="14116"/>
    <cellStyle name="Percent 16 2 2 3 4" xfId="12331"/>
    <cellStyle name="Percent 16 2 2 4" xfId="5848"/>
    <cellStyle name="Percent 16 2 2 4 2" xfId="9589"/>
    <cellStyle name="Percent 16 2 2 4 2 2" xfId="16091"/>
    <cellStyle name="Percent 16 2 2 4 3" xfId="7870"/>
    <cellStyle name="Percent 16 2 2 4 3 2" xfId="14510"/>
    <cellStyle name="Percent 16 2 2 4 4" xfId="12741"/>
    <cellStyle name="Percent 16 2 2 5" xfId="10021"/>
    <cellStyle name="Percent 16 2 2 5 2" xfId="16502"/>
    <cellStyle name="Percent 16 2 2 6" xfId="8347"/>
    <cellStyle name="Percent 16 2 2 6 2" xfId="14904"/>
    <cellStyle name="Percent 16 2 2 7" xfId="6628"/>
    <cellStyle name="Percent 16 2 2 7 2" xfId="13318"/>
    <cellStyle name="Percent 16 2 2 8" xfId="11528"/>
    <cellStyle name="Percent 16 2 3" xfId="4803"/>
    <cellStyle name="Percent 16 2 3 2" xfId="8546"/>
    <cellStyle name="Percent 16 2 3 2 2" xfId="15098"/>
    <cellStyle name="Percent 16 2 3 3" xfId="6827"/>
    <cellStyle name="Percent 16 2 3 3 2" xfId="13517"/>
    <cellStyle name="Percent 16 2 3 4" xfId="11732"/>
    <cellStyle name="Percent 16 2 4" xfId="5213"/>
    <cellStyle name="Percent 16 2 4 2" xfId="8956"/>
    <cellStyle name="Percent 16 2 4 2 2" xfId="15500"/>
    <cellStyle name="Percent 16 2 4 3" xfId="7237"/>
    <cellStyle name="Percent 16 2 4 3 2" xfId="13919"/>
    <cellStyle name="Percent 16 2 4 4" xfId="12134"/>
    <cellStyle name="Percent 16 2 5" xfId="5646"/>
    <cellStyle name="Percent 16 2 5 2" xfId="9387"/>
    <cellStyle name="Percent 16 2 5 2 2" xfId="15894"/>
    <cellStyle name="Percent 16 2 5 3" xfId="7668"/>
    <cellStyle name="Percent 16 2 5 3 2" xfId="14313"/>
    <cellStyle name="Percent 16 2 5 4" xfId="12539"/>
    <cellStyle name="Percent 16 2 6" xfId="9793"/>
    <cellStyle name="Percent 16 2 6 2" xfId="16284"/>
    <cellStyle name="Percent 16 2 7" xfId="8109"/>
    <cellStyle name="Percent 16 2 7 2" xfId="14707"/>
    <cellStyle name="Percent 16 2 8" xfId="6391"/>
    <cellStyle name="Percent 16 2 8 2" xfId="13112"/>
    <cellStyle name="Percent 16 2 9" xfId="11322"/>
    <cellStyle name="Percent 16 3" xfId="4582"/>
    <cellStyle name="Percent 16 3 2" xfId="5026"/>
    <cellStyle name="Percent 16 3 2 2" xfId="8769"/>
    <cellStyle name="Percent 16 3 2 2 2" xfId="15317"/>
    <cellStyle name="Percent 16 3 2 3" xfId="7050"/>
    <cellStyle name="Percent 16 3 2 3 2" xfId="13736"/>
    <cellStyle name="Percent 16 3 2 4" xfId="11951"/>
    <cellStyle name="Percent 16 3 3" xfId="5409"/>
    <cellStyle name="Percent 16 3 3 2" xfId="9152"/>
    <cellStyle name="Percent 16 3 3 2 2" xfId="15696"/>
    <cellStyle name="Percent 16 3 3 3" xfId="7433"/>
    <cellStyle name="Percent 16 3 3 3 2" xfId="14115"/>
    <cellStyle name="Percent 16 3 3 4" xfId="12330"/>
    <cellStyle name="Percent 16 3 4" xfId="5847"/>
    <cellStyle name="Percent 16 3 4 2" xfId="9588"/>
    <cellStyle name="Percent 16 3 4 2 2" xfId="16090"/>
    <cellStyle name="Percent 16 3 4 3" xfId="7869"/>
    <cellStyle name="Percent 16 3 4 3 2" xfId="14509"/>
    <cellStyle name="Percent 16 3 4 4" xfId="12740"/>
    <cellStyle name="Percent 16 3 5" xfId="10022"/>
    <cellStyle name="Percent 16 3 5 2" xfId="16503"/>
    <cellStyle name="Percent 16 3 6" xfId="8346"/>
    <cellStyle name="Percent 16 3 6 2" xfId="14903"/>
    <cellStyle name="Percent 16 3 7" xfId="6627"/>
    <cellStyle name="Percent 16 3 7 2" xfId="13317"/>
    <cellStyle name="Percent 16 3 8" xfId="11527"/>
    <cellStyle name="Percent 16 4" xfId="4721"/>
    <cellStyle name="Percent 16 4 2" xfId="8465"/>
    <cellStyle name="Percent 16 4 2 2" xfId="15017"/>
    <cellStyle name="Percent 16 4 3" xfId="6746"/>
    <cellStyle name="Percent 16 4 3 2" xfId="13436"/>
    <cellStyle name="Percent 16 4 4" xfId="11650"/>
    <cellStyle name="Percent 16 5" xfId="5212"/>
    <cellStyle name="Percent 16 5 2" xfId="8955"/>
    <cellStyle name="Percent 16 5 2 2" xfId="15499"/>
    <cellStyle name="Percent 16 5 3" xfId="7236"/>
    <cellStyle name="Percent 16 5 3 2" xfId="13918"/>
    <cellStyle name="Percent 16 5 4" xfId="12133"/>
    <cellStyle name="Percent 16 6" xfId="5645"/>
    <cellStyle name="Percent 16 6 2" xfId="9386"/>
    <cellStyle name="Percent 16 6 2 2" xfId="15893"/>
    <cellStyle name="Percent 16 6 3" xfId="7667"/>
    <cellStyle name="Percent 16 6 3 2" xfId="14312"/>
    <cellStyle name="Percent 16 6 4" xfId="12538"/>
    <cellStyle name="Percent 16 7" xfId="9709"/>
    <cellStyle name="Percent 16 7 2" xfId="16202"/>
    <cellStyle name="Percent 16 8" xfId="8108"/>
    <cellStyle name="Percent 16 8 2" xfId="14706"/>
    <cellStyle name="Percent 16 9" xfId="6390"/>
    <cellStyle name="Percent 16 9 2" xfId="13111"/>
    <cellStyle name="Percent 17" xfId="4239"/>
    <cellStyle name="Percent 17 10" xfId="11323"/>
    <cellStyle name="Percent 17 2" xfId="4240"/>
    <cellStyle name="Percent 17 2 2" xfId="4585"/>
    <cellStyle name="Percent 17 2 2 2" xfId="5027"/>
    <cellStyle name="Percent 17 2 2 2 2" xfId="8770"/>
    <cellStyle name="Percent 17 2 2 2 2 2" xfId="15318"/>
    <cellStyle name="Percent 17 2 2 2 3" xfId="7051"/>
    <cellStyle name="Percent 17 2 2 2 3 2" xfId="13737"/>
    <cellStyle name="Percent 17 2 2 2 4" xfId="11952"/>
    <cellStyle name="Percent 17 2 2 3" xfId="5412"/>
    <cellStyle name="Percent 17 2 2 3 2" xfId="9155"/>
    <cellStyle name="Percent 17 2 2 3 2 2" xfId="15699"/>
    <cellStyle name="Percent 17 2 2 3 3" xfId="7436"/>
    <cellStyle name="Percent 17 2 2 3 3 2" xfId="14118"/>
    <cellStyle name="Percent 17 2 2 3 4" xfId="12333"/>
    <cellStyle name="Percent 17 2 2 4" xfId="5850"/>
    <cellStyle name="Percent 17 2 2 4 2" xfId="9591"/>
    <cellStyle name="Percent 17 2 2 4 2 2" xfId="16093"/>
    <cellStyle name="Percent 17 2 2 4 3" xfId="7872"/>
    <cellStyle name="Percent 17 2 2 4 3 2" xfId="14512"/>
    <cellStyle name="Percent 17 2 2 4 4" xfId="12743"/>
    <cellStyle name="Percent 17 2 2 5" xfId="10023"/>
    <cellStyle name="Percent 17 2 2 5 2" xfId="16504"/>
    <cellStyle name="Percent 17 2 2 6" xfId="8349"/>
    <cellStyle name="Percent 17 2 2 6 2" xfId="14906"/>
    <cellStyle name="Percent 17 2 2 7" xfId="6630"/>
    <cellStyle name="Percent 17 2 2 7 2" xfId="13320"/>
    <cellStyle name="Percent 17 2 2 8" xfId="11530"/>
    <cellStyle name="Percent 17 2 3" xfId="4806"/>
    <cellStyle name="Percent 17 2 3 2" xfId="8549"/>
    <cellStyle name="Percent 17 2 3 2 2" xfId="15101"/>
    <cellStyle name="Percent 17 2 3 3" xfId="6830"/>
    <cellStyle name="Percent 17 2 3 3 2" xfId="13520"/>
    <cellStyle name="Percent 17 2 3 4" xfId="11735"/>
    <cellStyle name="Percent 17 2 4" xfId="5215"/>
    <cellStyle name="Percent 17 2 4 2" xfId="8958"/>
    <cellStyle name="Percent 17 2 4 2 2" xfId="15502"/>
    <cellStyle name="Percent 17 2 4 3" xfId="7239"/>
    <cellStyle name="Percent 17 2 4 3 2" xfId="13921"/>
    <cellStyle name="Percent 17 2 4 4" xfId="12136"/>
    <cellStyle name="Percent 17 2 5" xfId="5648"/>
    <cellStyle name="Percent 17 2 5 2" xfId="9389"/>
    <cellStyle name="Percent 17 2 5 2 2" xfId="15896"/>
    <cellStyle name="Percent 17 2 5 3" xfId="7670"/>
    <cellStyle name="Percent 17 2 5 3 2" xfId="14315"/>
    <cellStyle name="Percent 17 2 5 4" xfId="12541"/>
    <cellStyle name="Percent 17 2 6" xfId="9796"/>
    <cellStyle name="Percent 17 2 6 2" xfId="16287"/>
    <cellStyle name="Percent 17 2 7" xfId="8111"/>
    <cellStyle name="Percent 17 2 7 2" xfId="14709"/>
    <cellStyle name="Percent 17 2 8" xfId="6393"/>
    <cellStyle name="Percent 17 2 8 2" xfId="13114"/>
    <cellStyle name="Percent 17 2 9" xfId="11324"/>
    <cellStyle name="Percent 17 3" xfId="4584"/>
    <cellStyle name="Percent 17 3 2" xfId="5028"/>
    <cellStyle name="Percent 17 3 2 2" xfId="8771"/>
    <cellStyle name="Percent 17 3 2 2 2" xfId="15319"/>
    <cellStyle name="Percent 17 3 2 3" xfId="7052"/>
    <cellStyle name="Percent 17 3 2 3 2" xfId="13738"/>
    <cellStyle name="Percent 17 3 2 4" xfId="11953"/>
    <cellStyle name="Percent 17 3 3" xfId="5411"/>
    <cellStyle name="Percent 17 3 3 2" xfId="9154"/>
    <cellStyle name="Percent 17 3 3 2 2" xfId="15698"/>
    <cellStyle name="Percent 17 3 3 3" xfId="7435"/>
    <cellStyle name="Percent 17 3 3 3 2" xfId="14117"/>
    <cellStyle name="Percent 17 3 3 4" xfId="12332"/>
    <cellStyle name="Percent 17 3 4" xfId="5849"/>
    <cellStyle name="Percent 17 3 4 2" xfId="9590"/>
    <cellStyle name="Percent 17 3 4 2 2" xfId="16092"/>
    <cellStyle name="Percent 17 3 4 3" xfId="7871"/>
    <cellStyle name="Percent 17 3 4 3 2" xfId="14511"/>
    <cellStyle name="Percent 17 3 4 4" xfId="12742"/>
    <cellStyle name="Percent 17 3 5" xfId="10024"/>
    <cellStyle name="Percent 17 3 5 2" xfId="16505"/>
    <cellStyle name="Percent 17 3 6" xfId="8348"/>
    <cellStyle name="Percent 17 3 6 2" xfId="14905"/>
    <cellStyle name="Percent 17 3 7" xfId="6629"/>
    <cellStyle name="Percent 17 3 7 2" xfId="13319"/>
    <cellStyle name="Percent 17 3 8" xfId="11529"/>
    <cellStyle name="Percent 17 4" xfId="4724"/>
    <cellStyle name="Percent 17 4 2" xfId="8468"/>
    <cellStyle name="Percent 17 4 2 2" xfId="15020"/>
    <cellStyle name="Percent 17 4 3" xfId="6749"/>
    <cellStyle name="Percent 17 4 3 2" xfId="13439"/>
    <cellStyle name="Percent 17 4 4" xfId="11653"/>
    <cellStyle name="Percent 17 5" xfId="5214"/>
    <cellStyle name="Percent 17 5 2" xfId="8957"/>
    <cellStyle name="Percent 17 5 2 2" xfId="15501"/>
    <cellStyle name="Percent 17 5 3" xfId="7238"/>
    <cellStyle name="Percent 17 5 3 2" xfId="13920"/>
    <cellStyle name="Percent 17 5 4" xfId="12135"/>
    <cellStyle name="Percent 17 6" xfId="5647"/>
    <cellStyle name="Percent 17 6 2" xfId="9388"/>
    <cellStyle name="Percent 17 6 2 2" xfId="15895"/>
    <cellStyle name="Percent 17 6 3" xfId="7669"/>
    <cellStyle name="Percent 17 6 3 2" xfId="14314"/>
    <cellStyle name="Percent 17 6 4" xfId="12540"/>
    <cellStyle name="Percent 17 7" xfId="9712"/>
    <cellStyle name="Percent 17 7 2" xfId="16205"/>
    <cellStyle name="Percent 17 8" xfId="8110"/>
    <cellStyle name="Percent 17 8 2" xfId="14708"/>
    <cellStyle name="Percent 17 9" xfId="6392"/>
    <cellStyle name="Percent 17 9 2" xfId="13113"/>
    <cellStyle name="Percent 18" xfId="4241"/>
    <cellStyle name="Percent 18 10" xfId="11325"/>
    <cellStyle name="Percent 18 2" xfId="4242"/>
    <cellStyle name="Percent 18 2 2" xfId="4587"/>
    <cellStyle name="Percent 18 2 2 2" xfId="5029"/>
    <cellStyle name="Percent 18 2 2 2 2" xfId="8772"/>
    <cellStyle name="Percent 18 2 2 2 2 2" xfId="15320"/>
    <cellStyle name="Percent 18 2 2 2 3" xfId="7053"/>
    <cellStyle name="Percent 18 2 2 2 3 2" xfId="13739"/>
    <cellStyle name="Percent 18 2 2 2 4" xfId="11954"/>
    <cellStyle name="Percent 18 2 2 3" xfId="5414"/>
    <cellStyle name="Percent 18 2 2 3 2" xfId="9157"/>
    <cellStyle name="Percent 18 2 2 3 2 2" xfId="15701"/>
    <cellStyle name="Percent 18 2 2 3 3" xfId="7438"/>
    <cellStyle name="Percent 18 2 2 3 3 2" xfId="14120"/>
    <cellStyle name="Percent 18 2 2 3 4" xfId="12335"/>
    <cellStyle name="Percent 18 2 2 4" xfId="5852"/>
    <cellStyle name="Percent 18 2 2 4 2" xfId="9593"/>
    <cellStyle name="Percent 18 2 2 4 2 2" xfId="16095"/>
    <cellStyle name="Percent 18 2 2 4 3" xfId="7874"/>
    <cellStyle name="Percent 18 2 2 4 3 2" xfId="14514"/>
    <cellStyle name="Percent 18 2 2 4 4" xfId="12745"/>
    <cellStyle name="Percent 18 2 2 5" xfId="10025"/>
    <cellStyle name="Percent 18 2 2 5 2" xfId="16506"/>
    <cellStyle name="Percent 18 2 2 6" xfId="8351"/>
    <cellStyle name="Percent 18 2 2 6 2" xfId="14908"/>
    <cellStyle name="Percent 18 2 2 7" xfId="6632"/>
    <cellStyle name="Percent 18 2 2 7 2" xfId="13322"/>
    <cellStyle name="Percent 18 2 2 8" xfId="11532"/>
    <cellStyle name="Percent 18 2 3" xfId="4807"/>
    <cellStyle name="Percent 18 2 3 2" xfId="8550"/>
    <cellStyle name="Percent 18 2 3 2 2" xfId="15102"/>
    <cellStyle name="Percent 18 2 3 3" xfId="6831"/>
    <cellStyle name="Percent 18 2 3 3 2" xfId="13521"/>
    <cellStyle name="Percent 18 2 3 4" xfId="11736"/>
    <cellStyle name="Percent 18 2 4" xfId="5217"/>
    <cellStyle name="Percent 18 2 4 2" xfId="8960"/>
    <cellStyle name="Percent 18 2 4 2 2" xfId="15504"/>
    <cellStyle name="Percent 18 2 4 3" xfId="7241"/>
    <cellStyle name="Percent 18 2 4 3 2" xfId="13923"/>
    <cellStyle name="Percent 18 2 4 4" xfId="12138"/>
    <cellStyle name="Percent 18 2 5" xfId="5650"/>
    <cellStyle name="Percent 18 2 5 2" xfId="9391"/>
    <cellStyle name="Percent 18 2 5 2 2" xfId="15898"/>
    <cellStyle name="Percent 18 2 5 3" xfId="7672"/>
    <cellStyle name="Percent 18 2 5 3 2" xfId="14317"/>
    <cellStyle name="Percent 18 2 5 4" xfId="12543"/>
    <cellStyle name="Percent 18 2 6" xfId="9797"/>
    <cellStyle name="Percent 18 2 6 2" xfId="16288"/>
    <cellStyle name="Percent 18 2 7" xfId="8113"/>
    <cellStyle name="Percent 18 2 7 2" xfId="14711"/>
    <cellStyle name="Percent 18 2 8" xfId="6395"/>
    <cellStyle name="Percent 18 2 8 2" xfId="13116"/>
    <cellStyle name="Percent 18 2 9" xfId="11326"/>
    <cellStyle name="Percent 18 3" xfId="4586"/>
    <cellStyle name="Percent 18 3 2" xfId="5030"/>
    <cellStyle name="Percent 18 3 2 2" xfId="8773"/>
    <cellStyle name="Percent 18 3 2 2 2" xfId="15321"/>
    <cellStyle name="Percent 18 3 2 3" xfId="7054"/>
    <cellStyle name="Percent 18 3 2 3 2" xfId="13740"/>
    <cellStyle name="Percent 18 3 2 4" xfId="11955"/>
    <cellStyle name="Percent 18 3 3" xfId="5413"/>
    <cellStyle name="Percent 18 3 3 2" xfId="9156"/>
    <cellStyle name="Percent 18 3 3 2 2" xfId="15700"/>
    <cellStyle name="Percent 18 3 3 3" xfId="7437"/>
    <cellStyle name="Percent 18 3 3 3 2" xfId="14119"/>
    <cellStyle name="Percent 18 3 3 4" xfId="12334"/>
    <cellStyle name="Percent 18 3 4" xfId="5851"/>
    <cellStyle name="Percent 18 3 4 2" xfId="9592"/>
    <cellStyle name="Percent 18 3 4 2 2" xfId="16094"/>
    <cellStyle name="Percent 18 3 4 3" xfId="7873"/>
    <cellStyle name="Percent 18 3 4 3 2" xfId="14513"/>
    <cellStyle name="Percent 18 3 4 4" xfId="12744"/>
    <cellStyle name="Percent 18 3 5" xfId="10026"/>
    <cellStyle name="Percent 18 3 5 2" xfId="16507"/>
    <cellStyle name="Percent 18 3 6" xfId="8350"/>
    <cellStyle name="Percent 18 3 6 2" xfId="14907"/>
    <cellStyle name="Percent 18 3 7" xfId="6631"/>
    <cellStyle name="Percent 18 3 7 2" xfId="13321"/>
    <cellStyle name="Percent 18 3 8" xfId="11531"/>
    <cellStyle name="Percent 18 4" xfId="4725"/>
    <cellStyle name="Percent 18 4 2" xfId="8469"/>
    <cellStyle name="Percent 18 4 2 2" xfId="15021"/>
    <cellStyle name="Percent 18 4 3" xfId="6750"/>
    <cellStyle name="Percent 18 4 3 2" xfId="13440"/>
    <cellStyle name="Percent 18 4 4" xfId="11654"/>
    <cellStyle name="Percent 18 5" xfId="5216"/>
    <cellStyle name="Percent 18 5 2" xfId="8959"/>
    <cellStyle name="Percent 18 5 2 2" xfId="15503"/>
    <cellStyle name="Percent 18 5 3" xfId="7240"/>
    <cellStyle name="Percent 18 5 3 2" xfId="13922"/>
    <cellStyle name="Percent 18 5 4" xfId="12137"/>
    <cellStyle name="Percent 18 6" xfId="5649"/>
    <cellStyle name="Percent 18 6 2" xfId="9390"/>
    <cellStyle name="Percent 18 6 2 2" xfId="15897"/>
    <cellStyle name="Percent 18 6 3" xfId="7671"/>
    <cellStyle name="Percent 18 6 3 2" xfId="14316"/>
    <cellStyle name="Percent 18 6 4" xfId="12542"/>
    <cellStyle name="Percent 18 7" xfId="9713"/>
    <cellStyle name="Percent 18 7 2" xfId="16206"/>
    <cellStyle name="Percent 18 8" xfId="8112"/>
    <cellStyle name="Percent 18 8 2" xfId="14710"/>
    <cellStyle name="Percent 18 9" xfId="6394"/>
    <cellStyle name="Percent 18 9 2" xfId="13115"/>
    <cellStyle name="Percent 19" xfId="4243"/>
    <cellStyle name="Percent 19 10" xfId="11327"/>
    <cellStyle name="Percent 19 2" xfId="4244"/>
    <cellStyle name="Percent 19 3" xfId="4588"/>
    <cellStyle name="Percent 19 3 2" xfId="5031"/>
    <cellStyle name="Percent 19 3 2 2" xfId="8774"/>
    <cellStyle name="Percent 19 3 2 2 2" xfId="15322"/>
    <cellStyle name="Percent 19 3 2 3" xfId="7055"/>
    <cellStyle name="Percent 19 3 2 3 2" xfId="13741"/>
    <cellStyle name="Percent 19 3 2 4" xfId="11956"/>
    <cellStyle name="Percent 19 3 3" xfId="5415"/>
    <cellStyle name="Percent 19 3 3 2" xfId="9158"/>
    <cellStyle name="Percent 19 3 3 2 2" xfId="15702"/>
    <cellStyle name="Percent 19 3 3 3" xfId="7439"/>
    <cellStyle name="Percent 19 3 3 3 2" xfId="14121"/>
    <cellStyle name="Percent 19 3 3 4" xfId="12336"/>
    <cellStyle name="Percent 19 3 4" xfId="5853"/>
    <cellStyle name="Percent 19 3 4 2" xfId="9594"/>
    <cellStyle name="Percent 19 3 4 2 2" xfId="16096"/>
    <cellStyle name="Percent 19 3 4 3" xfId="7875"/>
    <cellStyle name="Percent 19 3 4 3 2" xfId="14515"/>
    <cellStyle name="Percent 19 3 4 4" xfId="12746"/>
    <cellStyle name="Percent 19 3 5" xfId="10027"/>
    <cellStyle name="Percent 19 3 5 2" xfId="16508"/>
    <cellStyle name="Percent 19 3 6" xfId="8352"/>
    <cellStyle name="Percent 19 3 6 2" xfId="14909"/>
    <cellStyle name="Percent 19 3 7" xfId="6633"/>
    <cellStyle name="Percent 19 3 7 2" xfId="13323"/>
    <cellStyle name="Percent 19 3 8" xfId="11533"/>
    <cellStyle name="Percent 19 4" xfId="4735"/>
    <cellStyle name="Percent 19 4 2" xfId="8478"/>
    <cellStyle name="Percent 19 4 2 2" xfId="15030"/>
    <cellStyle name="Percent 19 4 3" xfId="6759"/>
    <cellStyle name="Percent 19 4 3 2" xfId="13449"/>
    <cellStyle name="Percent 19 4 4" xfId="11664"/>
    <cellStyle name="Percent 19 5" xfId="5218"/>
    <cellStyle name="Percent 19 5 2" xfId="8961"/>
    <cellStyle name="Percent 19 5 2 2" xfId="15505"/>
    <cellStyle name="Percent 19 5 3" xfId="7242"/>
    <cellStyle name="Percent 19 5 3 2" xfId="13924"/>
    <cellStyle name="Percent 19 5 4" xfId="12139"/>
    <cellStyle name="Percent 19 6" xfId="5651"/>
    <cellStyle name="Percent 19 6 2" xfId="9392"/>
    <cellStyle name="Percent 19 6 2 2" xfId="15899"/>
    <cellStyle name="Percent 19 6 3" xfId="7673"/>
    <cellStyle name="Percent 19 6 3 2" xfId="14318"/>
    <cellStyle name="Percent 19 6 4" xfId="12544"/>
    <cellStyle name="Percent 19 7" xfId="9723"/>
    <cellStyle name="Percent 19 7 2" xfId="16216"/>
    <cellStyle name="Percent 19 8" xfId="8114"/>
    <cellStyle name="Percent 19 8 2" xfId="14712"/>
    <cellStyle name="Percent 19 9" xfId="6396"/>
    <cellStyle name="Percent 19 9 2" xfId="13117"/>
    <cellStyle name="Percent 2" xfId="7"/>
    <cellStyle name="Percent 2 10" xfId="4687"/>
    <cellStyle name="Percent 2 10 2" xfId="8433"/>
    <cellStyle name="Percent 2 10 2 2" xfId="14985"/>
    <cellStyle name="Percent 2 10 3" xfId="6714"/>
    <cellStyle name="Percent 2 10 3 2" xfId="13404"/>
    <cellStyle name="Percent 2 10 4" xfId="11618"/>
    <cellStyle name="Percent 2 11" xfId="5077"/>
    <cellStyle name="Percent 2 11 2" xfId="8820"/>
    <cellStyle name="Percent 2 11 2 2" xfId="15368"/>
    <cellStyle name="Percent 2 11 3" xfId="7101"/>
    <cellStyle name="Percent 2 11 3 2" xfId="13787"/>
    <cellStyle name="Percent 2 11 4" xfId="12002"/>
    <cellStyle name="Percent 2 12" xfId="5514"/>
    <cellStyle name="Percent 2 12 2" xfId="9255"/>
    <cellStyle name="Percent 2 12 2 2" xfId="15762"/>
    <cellStyle name="Percent 2 12 3" xfId="7536"/>
    <cellStyle name="Percent 2 12 3 2" xfId="14181"/>
    <cellStyle name="Percent 2 12 4" xfId="12407"/>
    <cellStyle name="Percent 2 13" xfId="9667"/>
    <cellStyle name="Percent 2 13 2" xfId="16169"/>
    <cellStyle name="Percent 2 14" xfId="7935"/>
    <cellStyle name="Percent 2 14 2" xfId="14575"/>
    <cellStyle name="Percent 2 15" xfId="5914"/>
    <cellStyle name="Percent 2 15 2" xfId="12807"/>
    <cellStyle name="Percent 2 16" xfId="10246"/>
    <cellStyle name="Percent 2 2" xfId="20"/>
    <cellStyle name="Percent 2 2 10" xfId="7941"/>
    <cellStyle name="Percent 2 2 10 2" xfId="14581"/>
    <cellStyle name="Percent 2 2 11" xfId="5920"/>
    <cellStyle name="Percent 2 2 11 2" xfId="12813"/>
    <cellStyle name="Percent 2 2 12" xfId="10255"/>
    <cellStyle name="Percent 2 2 2" xfId="41"/>
    <cellStyle name="Percent 2 2 2 10" xfId="5939"/>
    <cellStyle name="Percent 2 2 2 10 2" xfId="12832"/>
    <cellStyle name="Percent 2 2 2 11" xfId="10274"/>
    <cellStyle name="Percent 2 2 2 2" xfId="4245"/>
    <cellStyle name="Percent 2 2 2 2 2" xfId="4589"/>
    <cellStyle name="Percent 2 2 2 2 2 2" xfId="5032"/>
    <cellStyle name="Percent 2 2 2 2 2 2 2" xfId="8775"/>
    <cellStyle name="Percent 2 2 2 2 2 2 2 2" xfId="15323"/>
    <cellStyle name="Percent 2 2 2 2 2 2 3" xfId="7056"/>
    <cellStyle name="Percent 2 2 2 2 2 2 3 2" xfId="13742"/>
    <cellStyle name="Percent 2 2 2 2 2 2 4" xfId="11957"/>
    <cellStyle name="Percent 2 2 2 2 2 3" xfId="5416"/>
    <cellStyle name="Percent 2 2 2 2 2 3 2" xfId="9159"/>
    <cellStyle name="Percent 2 2 2 2 2 3 2 2" xfId="15703"/>
    <cellStyle name="Percent 2 2 2 2 2 3 3" xfId="7440"/>
    <cellStyle name="Percent 2 2 2 2 2 3 3 2" xfId="14122"/>
    <cellStyle name="Percent 2 2 2 2 2 3 4" xfId="12337"/>
    <cellStyle name="Percent 2 2 2 2 2 4" xfId="5854"/>
    <cellStyle name="Percent 2 2 2 2 2 4 2" xfId="9595"/>
    <cellStyle name="Percent 2 2 2 2 2 4 2 2" xfId="16097"/>
    <cellStyle name="Percent 2 2 2 2 2 4 3" xfId="7876"/>
    <cellStyle name="Percent 2 2 2 2 2 4 3 2" xfId="14516"/>
    <cellStyle name="Percent 2 2 2 2 2 4 4" xfId="12747"/>
    <cellStyle name="Percent 2 2 2 2 2 5" xfId="10028"/>
    <cellStyle name="Percent 2 2 2 2 2 5 2" xfId="16509"/>
    <cellStyle name="Percent 2 2 2 2 2 6" xfId="8353"/>
    <cellStyle name="Percent 2 2 2 2 2 6 2" xfId="14910"/>
    <cellStyle name="Percent 2 2 2 2 2 7" xfId="6634"/>
    <cellStyle name="Percent 2 2 2 2 2 7 2" xfId="13324"/>
    <cellStyle name="Percent 2 2 2 2 2 8" xfId="11534"/>
    <cellStyle name="Percent 2 2 2 2 3" xfId="4780"/>
    <cellStyle name="Percent 2 2 2 2 3 2" xfId="8523"/>
    <cellStyle name="Percent 2 2 2 2 3 2 2" xfId="15075"/>
    <cellStyle name="Percent 2 2 2 2 3 3" xfId="6804"/>
    <cellStyle name="Percent 2 2 2 2 3 3 2" xfId="13494"/>
    <cellStyle name="Percent 2 2 2 2 3 4" xfId="11709"/>
    <cellStyle name="Percent 2 2 2 2 4" xfId="5219"/>
    <cellStyle name="Percent 2 2 2 2 4 2" xfId="8962"/>
    <cellStyle name="Percent 2 2 2 2 4 2 2" xfId="15506"/>
    <cellStyle name="Percent 2 2 2 2 4 3" xfId="7243"/>
    <cellStyle name="Percent 2 2 2 2 4 3 2" xfId="13925"/>
    <cellStyle name="Percent 2 2 2 2 4 4" xfId="12140"/>
    <cellStyle name="Percent 2 2 2 2 5" xfId="5652"/>
    <cellStyle name="Percent 2 2 2 2 5 2" xfId="9393"/>
    <cellStyle name="Percent 2 2 2 2 5 2 2" xfId="15900"/>
    <cellStyle name="Percent 2 2 2 2 5 3" xfId="7674"/>
    <cellStyle name="Percent 2 2 2 2 5 3 2" xfId="14319"/>
    <cellStyle name="Percent 2 2 2 2 5 4" xfId="12545"/>
    <cellStyle name="Percent 2 2 2 2 6" xfId="9770"/>
    <cellStyle name="Percent 2 2 2 2 6 2" xfId="16261"/>
    <cellStyle name="Percent 2 2 2 2 7" xfId="8115"/>
    <cellStyle name="Percent 2 2 2 2 7 2" xfId="14713"/>
    <cellStyle name="Percent 2 2 2 2 8" xfId="6397"/>
    <cellStyle name="Percent 2 2 2 2 8 2" xfId="13118"/>
    <cellStyle name="Percent 2 2 2 2 9" xfId="11328"/>
    <cellStyle name="Percent 2 2 2 3" xfId="4246"/>
    <cellStyle name="Percent 2 2 2 3 2" xfId="4590"/>
    <cellStyle name="Percent 2 2 2 3 2 2" xfId="5033"/>
    <cellStyle name="Percent 2 2 2 3 2 2 2" xfId="8776"/>
    <cellStyle name="Percent 2 2 2 3 2 2 2 2" xfId="15324"/>
    <cellStyle name="Percent 2 2 2 3 2 2 3" xfId="7057"/>
    <cellStyle name="Percent 2 2 2 3 2 2 3 2" xfId="13743"/>
    <cellStyle name="Percent 2 2 2 3 2 2 4" xfId="11958"/>
    <cellStyle name="Percent 2 2 2 3 2 3" xfId="5417"/>
    <cellStyle name="Percent 2 2 2 3 2 3 2" xfId="9160"/>
    <cellStyle name="Percent 2 2 2 3 2 3 2 2" xfId="15704"/>
    <cellStyle name="Percent 2 2 2 3 2 3 3" xfId="7441"/>
    <cellStyle name="Percent 2 2 2 3 2 3 3 2" xfId="14123"/>
    <cellStyle name="Percent 2 2 2 3 2 3 4" xfId="12338"/>
    <cellStyle name="Percent 2 2 2 3 2 4" xfId="5855"/>
    <cellStyle name="Percent 2 2 2 3 2 4 2" xfId="9596"/>
    <cellStyle name="Percent 2 2 2 3 2 4 2 2" xfId="16098"/>
    <cellStyle name="Percent 2 2 2 3 2 4 3" xfId="7877"/>
    <cellStyle name="Percent 2 2 2 3 2 4 3 2" xfId="14517"/>
    <cellStyle name="Percent 2 2 2 3 2 4 4" xfId="12748"/>
    <cellStyle name="Percent 2 2 2 3 2 5" xfId="10029"/>
    <cellStyle name="Percent 2 2 2 3 2 5 2" xfId="16510"/>
    <cellStyle name="Percent 2 2 2 3 2 6" xfId="8354"/>
    <cellStyle name="Percent 2 2 2 3 2 6 2" xfId="14911"/>
    <cellStyle name="Percent 2 2 2 3 2 7" xfId="6635"/>
    <cellStyle name="Percent 2 2 2 3 2 7 2" xfId="13325"/>
    <cellStyle name="Percent 2 2 2 3 2 8" xfId="11535"/>
    <cellStyle name="Percent 2 2 2 3 3" xfId="4840"/>
    <cellStyle name="Percent 2 2 2 3 3 2" xfId="8583"/>
    <cellStyle name="Percent 2 2 2 3 3 2 2" xfId="15131"/>
    <cellStyle name="Percent 2 2 2 3 3 3" xfId="6864"/>
    <cellStyle name="Percent 2 2 2 3 3 3 2" xfId="13550"/>
    <cellStyle name="Percent 2 2 2 3 3 4" xfId="11765"/>
    <cellStyle name="Percent 2 2 2 3 4" xfId="5220"/>
    <cellStyle name="Percent 2 2 2 3 4 2" xfId="8963"/>
    <cellStyle name="Percent 2 2 2 3 4 2 2" xfId="15507"/>
    <cellStyle name="Percent 2 2 2 3 4 3" xfId="7244"/>
    <cellStyle name="Percent 2 2 2 3 4 3 2" xfId="13926"/>
    <cellStyle name="Percent 2 2 2 3 4 4" xfId="12141"/>
    <cellStyle name="Percent 2 2 2 3 5" xfId="5653"/>
    <cellStyle name="Percent 2 2 2 3 5 2" xfId="9394"/>
    <cellStyle name="Percent 2 2 2 3 5 2 2" xfId="15901"/>
    <cellStyle name="Percent 2 2 2 3 5 3" xfId="7675"/>
    <cellStyle name="Percent 2 2 2 3 5 3 2" xfId="14320"/>
    <cellStyle name="Percent 2 2 2 3 5 4" xfId="12546"/>
    <cellStyle name="Percent 2 2 2 3 6" xfId="9831"/>
    <cellStyle name="Percent 2 2 2 3 6 2" xfId="16317"/>
    <cellStyle name="Percent 2 2 2 3 7" xfId="8116"/>
    <cellStyle name="Percent 2 2 2 3 7 2" xfId="14714"/>
    <cellStyle name="Percent 2 2 2 3 8" xfId="6398"/>
    <cellStyle name="Percent 2 2 2 3 8 2" xfId="13119"/>
    <cellStyle name="Percent 2 2 2 3 9" xfId="11329"/>
    <cellStyle name="Percent 2 2 2 4" xfId="4475"/>
    <cellStyle name="Percent 2 2 2 4 2" xfId="5034"/>
    <cellStyle name="Percent 2 2 2 4 2 2" xfId="8777"/>
    <cellStyle name="Percent 2 2 2 4 2 2 2" xfId="15325"/>
    <cellStyle name="Percent 2 2 2 4 2 3" xfId="7058"/>
    <cellStyle name="Percent 2 2 2 4 2 3 2" xfId="13744"/>
    <cellStyle name="Percent 2 2 2 4 2 4" xfId="11959"/>
    <cellStyle name="Percent 2 2 2 4 3" xfId="5303"/>
    <cellStyle name="Percent 2 2 2 4 3 2" xfId="9046"/>
    <cellStyle name="Percent 2 2 2 4 3 2 2" xfId="15590"/>
    <cellStyle name="Percent 2 2 2 4 3 3" xfId="7327"/>
    <cellStyle name="Percent 2 2 2 4 3 3 2" xfId="14009"/>
    <cellStyle name="Percent 2 2 2 4 3 4" xfId="12224"/>
    <cellStyle name="Percent 2 2 2 4 4" xfId="5741"/>
    <cellStyle name="Percent 2 2 2 4 4 2" xfId="9482"/>
    <cellStyle name="Percent 2 2 2 4 4 2 2" xfId="15984"/>
    <cellStyle name="Percent 2 2 2 4 4 3" xfId="7763"/>
    <cellStyle name="Percent 2 2 2 4 4 3 2" xfId="14403"/>
    <cellStyle name="Percent 2 2 2 4 4 4" xfId="12634"/>
    <cellStyle name="Percent 2 2 2 4 5" xfId="10030"/>
    <cellStyle name="Percent 2 2 2 4 5 2" xfId="16511"/>
    <cellStyle name="Percent 2 2 2 4 6" xfId="8240"/>
    <cellStyle name="Percent 2 2 2 4 6 2" xfId="14797"/>
    <cellStyle name="Percent 2 2 2 4 7" xfId="6521"/>
    <cellStyle name="Percent 2 2 2 4 7 2" xfId="13211"/>
    <cellStyle name="Percent 2 2 2 4 8" xfId="11420"/>
    <cellStyle name="Percent 2 2 2 5" xfId="4689"/>
    <cellStyle name="Percent 2 2 2 5 2" xfId="8435"/>
    <cellStyle name="Percent 2 2 2 5 2 2" xfId="14987"/>
    <cellStyle name="Percent 2 2 2 5 3" xfId="6716"/>
    <cellStyle name="Percent 2 2 2 5 3 2" xfId="13406"/>
    <cellStyle name="Percent 2 2 2 5 4" xfId="11620"/>
    <cellStyle name="Percent 2 2 2 6" xfId="5102"/>
    <cellStyle name="Percent 2 2 2 6 2" xfId="8845"/>
    <cellStyle name="Percent 2 2 2 6 2 2" xfId="15393"/>
    <cellStyle name="Percent 2 2 2 6 3" xfId="7126"/>
    <cellStyle name="Percent 2 2 2 6 3 2" xfId="13812"/>
    <cellStyle name="Percent 2 2 2 6 4" xfId="12027"/>
    <cellStyle name="Percent 2 2 2 7" xfId="5539"/>
    <cellStyle name="Percent 2 2 2 7 2" xfId="9280"/>
    <cellStyle name="Percent 2 2 2 7 2 2" xfId="15787"/>
    <cellStyle name="Percent 2 2 2 7 3" xfId="7561"/>
    <cellStyle name="Percent 2 2 2 7 3 2" xfId="14206"/>
    <cellStyle name="Percent 2 2 2 7 4" xfId="12432"/>
    <cellStyle name="Percent 2 2 2 8" xfId="9669"/>
    <cellStyle name="Percent 2 2 2 8 2" xfId="16171"/>
    <cellStyle name="Percent 2 2 2 9" xfId="7960"/>
    <cellStyle name="Percent 2 2 2 9 2" xfId="14600"/>
    <cellStyle name="Percent 2 2 3" xfId="28"/>
    <cellStyle name="Percent 2 2 3 2" xfId="4463"/>
    <cellStyle name="Percent 2 2 3 2 2" xfId="5035"/>
    <cellStyle name="Percent 2 2 3 2 2 2" xfId="8778"/>
    <cellStyle name="Percent 2 2 3 2 2 2 2" xfId="15326"/>
    <cellStyle name="Percent 2 2 3 2 2 3" xfId="7059"/>
    <cellStyle name="Percent 2 2 3 2 2 3 2" xfId="13745"/>
    <cellStyle name="Percent 2 2 3 2 2 4" xfId="11960"/>
    <cellStyle name="Percent 2 2 3 2 3" xfId="5291"/>
    <cellStyle name="Percent 2 2 3 2 3 2" xfId="9034"/>
    <cellStyle name="Percent 2 2 3 2 3 2 2" xfId="15578"/>
    <cellStyle name="Percent 2 2 3 2 3 3" xfId="7315"/>
    <cellStyle name="Percent 2 2 3 2 3 3 2" xfId="13997"/>
    <cellStyle name="Percent 2 2 3 2 3 4" xfId="12212"/>
    <cellStyle name="Percent 2 2 3 2 4" xfId="5729"/>
    <cellStyle name="Percent 2 2 3 2 4 2" xfId="9470"/>
    <cellStyle name="Percent 2 2 3 2 4 2 2" xfId="15972"/>
    <cellStyle name="Percent 2 2 3 2 4 3" xfId="7751"/>
    <cellStyle name="Percent 2 2 3 2 4 3 2" xfId="14391"/>
    <cellStyle name="Percent 2 2 3 2 4 4" xfId="12622"/>
    <cellStyle name="Percent 2 2 3 2 5" xfId="10031"/>
    <cellStyle name="Percent 2 2 3 2 5 2" xfId="16512"/>
    <cellStyle name="Percent 2 2 3 2 6" xfId="8228"/>
    <cellStyle name="Percent 2 2 3 2 6 2" xfId="14785"/>
    <cellStyle name="Percent 2 2 3 2 7" xfId="6509"/>
    <cellStyle name="Percent 2 2 3 2 7 2" xfId="13199"/>
    <cellStyle name="Percent 2 2 3 2 8" xfId="11408"/>
    <cellStyle name="Percent 2 2 3 3" xfId="4779"/>
    <cellStyle name="Percent 2 2 3 3 2" xfId="8522"/>
    <cellStyle name="Percent 2 2 3 3 2 2" xfId="15074"/>
    <cellStyle name="Percent 2 2 3 3 3" xfId="6803"/>
    <cellStyle name="Percent 2 2 3 3 3 2" xfId="13493"/>
    <cellStyle name="Percent 2 2 3 3 4" xfId="11708"/>
    <cellStyle name="Percent 2 2 3 4" xfId="5090"/>
    <cellStyle name="Percent 2 2 3 4 2" xfId="8833"/>
    <cellStyle name="Percent 2 2 3 4 2 2" xfId="15381"/>
    <cellStyle name="Percent 2 2 3 4 3" xfId="7114"/>
    <cellStyle name="Percent 2 2 3 4 3 2" xfId="13800"/>
    <cellStyle name="Percent 2 2 3 4 4" xfId="12015"/>
    <cellStyle name="Percent 2 2 3 5" xfId="5527"/>
    <cellStyle name="Percent 2 2 3 5 2" xfId="9268"/>
    <cellStyle name="Percent 2 2 3 5 2 2" xfId="15775"/>
    <cellStyle name="Percent 2 2 3 5 3" xfId="7549"/>
    <cellStyle name="Percent 2 2 3 5 3 2" xfId="14194"/>
    <cellStyle name="Percent 2 2 3 5 4" xfId="12420"/>
    <cellStyle name="Percent 2 2 3 6" xfId="9769"/>
    <cellStyle name="Percent 2 2 3 6 2" xfId="16260"/>
    <cellStyle name="Percent 2 2 3 7" xfId="7948"/>
    <cellStyle name="Percent 2 2 3 7 2" xfId="14588"/>
    <cellStyle name="Percent 2 2 3 8" xfId="5927"/>
    <cellStyle name="Percent 2 2 3 8 2" xfId="12820"/>
    <cellStyle name="Percent 2 2 3 9" xfId="10262"/>
    <cellStyle name="Percent 2 2 4" xfId="4247"/>
    <cellStyle name="Percent 2 2 4 2" xfId="4591"/>
    <cellStyle name="Percent 2 2 4 2 2" xfId="5036"/>
    <cellStyle name="Percent 2 2 4 2 2 2" xfId="8779"/>
    <cellStyle name="Percent 2 2 4 2 2 2 2" xfId="15327"/>
    <cellStyle name="Percent 2 2 4 2 2 3" xfId="7060"/>
    <cellStyle name="Percent 2 2 4 2 2 3 2" xfId="13746"/>
    <cellStyle name="Percent 2 2 4 2 2 4" xfId="11961"/>
    <cellStyle name="Percent 2 2 4 2 3" xfId="5418"/>
    <cellStyle name="Percent 2 2 4 2 3 2" xfId="9161"/>
    <cellStyle name="Percent 2 2 4 2 3 2 2" xfId="15705"/>
    <cellStyle name="Percent 2 2 4 2 3 3" xfId="7442"/>
    <cellStyle name="Percent 2 2 4 2 3 3 2" xfId="14124"/>
    <cellStyle name="Percent 2 2 4 2 3 4" xfId="12339"/>
    <cellStyle name="Percent 2 2 4 2 4" xfId="5856"/>
    <cellStyle name="Percent 2 2 4 2 4 2" xfId="9597"/>
    <cellStyle name="Percent 2 2 4 2 4 2 2" xfId="16099"/>
    <cellStyle name="Percent 2 2 4 2 4 3" xfId="7878"/>
    <cellStyle name="Percent 2 2 4 2 4 3 2" xfId="14518"/>
    <cellStyle name="Percent 2 2 4 2 4 4" xfId="12749"/>
    <cellStyle name="Percent 2 2 4 2 5" xfId="10032"/>
    <cellStyle name="Percent 2 2 4 2 5 2" xfId="16513"/>
    <cellStyle name="Percent 2 2 4 2 6" xfId="8355"/>
    <cellStyle name="Percent 2 2 4 2 6 2" xfId="14912"/>
    <cellStyle name="Percent 2 2 4 2 7" xfId="6636"/>
    <cellStyle name="Percent 2 2 4 2 7 2" xfId="13326"/>
    <cellStyle name="Percent 2 2 4 2 8" xfId="11536"/>
    <cellStyle name="Percent 2 2 4 3" xfId="4828"/>
    <cellStyle name="Percent 2 2 4 3 2" xfId="8571"/>
    <cellStyle name="Percent 2 2 4 3 2 2" xfId="15119"/>
    <cellStyle name="Percent 2 2 4 3 3" xfId="6852"/>
    <cellStyle name="Percent 2 2 4 3 3 2" xfId="13538"/>
    <cellStyle name="Percent 2 2 4 3 4" xfId="11753"/>
    <cellStyle name="Percent 2 2 4 4" xfId="5221"/>
    <cellStyle name="Percent 2 2 4 4 2" xfId="8964"/>
    <cellStyle name="Percent 2 2 4 4 2 2" xfId="15508"/>
    <cellStyle name="Percent 2 2 4 4 3" xfId="7245"/>
    <cellStyle name="Percent 2 2 4 4 3 2" xfId="13927"/>
    <cellStyle name="Percent 2 2 4 4 4" xfId="12142"/>
    <cellStyle name="Percent 2 2 4 5" xfId="5654"/>
    <cellStyle name="Percent 2 2 4 5 2" xfId="9395"/>
    <cellStyle name="Percent 2 2 4 5 2 2" xfId="15902"/>
    <cellStyle name="Percent 2 2 4 5 3" xfId="7676"/>
    <cellStyle name="Percent 2 2 4 5 3 2" xfId="14321"/>
    <cellStyle name="Percent 2 2 4 5 4" xfId="12547"/>
    <cellStyle name="Percent 2 2 4 6" xfId="9819"/>
    <cellStyle name="Percent 2 2 4 6 2" xfId="16305"/>
    <cellStyle name="Percent 2 2 4 7" xfId="8117"/>
    <cellStyle name="Percent 2 2 4 7 2" xfId="14715"/>
    <cellStyle name="Percent 2 2 4 8" xfId="6399"/>
    <cellStyle name="Percent 2 2 4 8 2" xfId="13120"/>
    <cellStyle name="Percent 2 2 4 9" xfId="11330"/>
    <cellStyle name="Percent 2 2 5" xfId="4456"/>
    <cellStyle name="Percent 2 2 5 2" xfId="5037"/>
    <cellStyle name="Percent 2 2 5 2 2" xfId="8780"/>
    <cellStyle name="Percent 2 2 5 2 2 2" xfId="15328"/>
    <cellStyle name="Percent 2 2 5 2 3" xfId="7061"/>
    <cellStyle name="Percent 2 2 5 2 3 2" xfId="13747"/>
    <cellStyle name="Percent 2 2 5 2 4" xfId="11962"/>
    <cellStyle name="Percent 2 2 5 3" xfId="5284"/>
    <cellStyle name="Percent 2 2 5 3 2" xfId="9027"/>
    <cellStyle name="Percent 2 2 5 3 2 2" xfId="15571"/>
    <cellStyle name="Percent 2 2 5 3 3" xfId="7308"/>
    <cellStyle name="Percent 2 2 5 3 3 2" xfId="13990"/>
    <cellStyle name="Percent 2 2 5 3 4" xfId="12205"/>
    <cellStyle name="Percent 2 2 5 4" xfId="5722"/>
    <cellStyle name="Percent 2 2 5 4 2" xfId="9463"/>
    <cellStyle name="Percent 2 2 5 4 2 2" xfId="15965"/>
    <cellStyle name="Percent 2 2 5 4 3" xfId="7744"/>
    <cellStyle name="Percent 2 2 5 4 3 2" xfId="14384"/>
    <cellStyle name="Percent 2 2 5 4 4" xfId="12615"/>
    <cellStyle name="Percent 2 2 5 5" xfId="10033"/>
    <cellStyle name="Percent 2 2 5 5 2" xfId="16514"/>
    <cellStyle name="Percent 2 2 5 6" xfId="8221"/>
    <cellStyle name="Percent 2 2 5 6 2" xfId="14778"/>
    <cellStyle name="Percent 2 2 5 7" xfId="6502"/>
    <cellStyle name="Percent 2 2 5 7 2" xfId="13192"/>
    <cellStyle name="Percent 2 2 5 8" xfId="11401"/>
    <cellStyle name="Percent 2 2 6" xfId="4688"/>
    <cellStyle name="Percent 2 2 6 2" xfId="8434"/>
    <cellStyle name="Percent 2 2 6 2 2" xfId="14986"/>
    <cellStyle name="Percent 2 2 6 3" xfId="6715"/>
    <cellStyle name="Percent 2 2 6 3 2" xfId="13405"/>
    <cellStyle name="Percent 2 2 6 4" xfId="11619"/>
    <cellStyle name="Percent 2 2 7" xfId="5083"/>
    <cellStyle name="Percent 2 2 7 2" xfId="8826"/>
    <cellStyle name="Percent 2 2 7 2 2" xfId="15374"/>
    <cellStyle name="Percent 2 2 7 3" xfId="7107"/>
    <cellStyle name="Percent 2 2 7 3 2" xfId="13793"/>
    <cellStyle name="Percent 2 2 7 4" xfId="12008"/>
    <cellStyle name="Percent 2 2 8" xfId="5520"/>
    <cellStyle name="Percent 2 2 8 2" xfId="9261"/>
    <cellStyle name="Percent 2 2 8 2 2" xfId="15768"/>
    <cellStyle name="Percent 2 2 8 3" xfId="7542"/>
    <cellStyle name="Percent 2 2 8 3 2" xfId="14187"/>
    <cellStyle name="Percent 2 2 8 4" xfId="12413"/>
    <cellStyle name="Percent 2 2 9" xfId="9668"/>
    <cellStyle name="Percent 2 2 9 2" xfId="16170"/>
    <cellStyle name="Percent 2 3" xfId="34"/>
    <cellStyle name="Percent 2 3 10" xfId="5933"/>
    <cellStyle name="Percent 2 3 10 2" xfId="12826"/>
    <cellStyle name="Percent 2 3 11" xfId="10268"/>
    <cellStyle name="Percent 2 3 2" xfId="4248"/>
    <cellStyle name="Percent 2 3 2 2" xfId="4592"/>
    <cellStyle name="Percent 2 3 2 2 2" xfId="5038"/>
    <cellStyle name="Percent 2 3 2 2 2 2" xfId="8781"/>
    <cellStyle name="Percent 2 3 2 2 2 2 2" xfId="15329"/>
    <cellStyle name="Percent 2 3 2 2 2 3" xfId="7062"/>
    <cellStyle name="Percent 2 3 2 2 2 3 2" xfId="13748"/>
    <cellStyle name="Percent 2 3 2 2 2 4" xfId="11963"/>
    <cellStyle name="Percent 2 3 2 2 3" xfId="5419"/>
    <cellStyle name="Percent 2 3 2 2 3 2" xfId="9162"/>
    <cellStyle name="Percent 2 3 2 2 3 2 2" xfId="15706"/>
    <cellStyle name="Percent 2 3 2 2 3 3" xfId="7443"/>
    <cellStyle name="Percent 2 3 2 2 3 3 2" xfId="14125"/>
    <cellStyle name="Percent 2 3 2 2 3 4" xfId="12340"/>
    <cellStyle name="Percent 2 3 2 2 4" xfId="5857"/>
    <cellStyle name="Percent 2 3 2 2 4 2" xfId="9598"/>
    <cellStyle name="Percent 2 3 2 2 4 2 2" xfId="16100"/>
    <cellStyle name="Percent 2 3 2 2 4 3" xfId="7879"/>
    <cellStyle name="Percent 2 3 2 2 4 3 2" xfId="14519"/>
    <cellStyle name="Percent 2 3 2 2 4 4" xfId="12750"/>
    <cellStyle name="Percent 2 3 2 2 5" xfId="10034"/>
    <cellStyle name="Percent 2 3 2 2 5 2" xfId="16515"/>
    <cellStyle name="Percent 2 3 2 2 6" xfId="8356"/>
    <cellStyle name="Percent 2 3 2 2 6 2" xfId="14913"/>
    <cellStyle name="Percent 2 3 2 2 7" xfId="6637"/>
    <cellStyle name="Percent 2 3 2 2 7 2" xfId="13327"/>
    <cellStyle name="Percent 2 3 2 2 8" xfId="11537"/>
    <cellStyle name="Percent 2 3 2 3" xfId="4781"/>
    <cellStyle name="Percent 2 3 2 3 2" xfId="8524"/>
    <cellStyle name="Percent 2 3 2 3 2 2" xfId="15076"/>
    <cellStyle name="Percent 2 3 2 3 3" xfId="6805"/>
    <cellStyle name="Percent 2 3 2 3 3 2" xfId="13495"/>
    <cellStyle name="Percent 2 3 2 3 4" xfId="11710"/>
    <cellStyle name="Percent 2 3 2 4" xfId="5222"/>
    <cellStyle name="Percent 2 3 2 4 2" xfId="8965"/>
    <cellStyle name="Percent 2 3 2 4 2 2" xfId="15509"/>
    <cellStyle name="Percent 2 3 2 4 3" xfId="7246"/>
    <cellStyle name="Percent 2 3 2 4 3 2" xfId="13928"/>
    <cellStyle name="Percent 2 3 2 4 4" xfId="12143"/>
    <cellStyle name="Percent 2 3 2 5" xfId="5655"/>
    <cellStyle name="Percent 2 3 2 5 2" xfId="9396"/>
    <cellStyle name="Percent 2 3 2 5 2 2" xfId="15903"/>
    <cellStyle name="Percent 2 3 2 5 3" xfId="7677"/>
    <cellStyle name="Percent 2 3 2 5 3 2" xfId="14322"/>
    <cellStyle name="Percent 2 3 2 5 4" xfId="12548"/>
    <cellStyle name="Percent 2 3 2 6" xfId="9771"/>
    <cellStyle name="Percent 2 3 2 6 2" xfId="16262"/>
    <cellStyle name="Percent 2 3 2 7" xfId="8118"/>
    <cellStyle name="Percent 2 3 2 7 2" xfId="14716"/>
    <cellStyle name="Percent 2 3 2 8" xfId="6400"/>
    <cellStyle name="Percent 2 3 2 8 2" xfId="13121"/>
    <cellStyle name="Percent 2 3 2 9" xfId="11331"/>
    <cellStyle name="Percent 2 3 3" xfId="4249"/>
    <cellStyle name="Percent 2 3 3 2" xfId="4593"/>
    <cellStyle name="Percent 2 3 3 2 2" xfId="5039"/>
    <cellStyle name="Percent 2 3 3 2 2 2" xfId="8782"/>
    <cellStyle name="Percent 2 3 3 2 2 2 2" xfId="15330"/>
    <cellStyle name="Percent 2 3 3 2 2 3" xfId="7063"/>
    <cellStyle name="Percent 2 3 3 2 2 3 2" xfId="13749"/>
    <cellStyle name="Percent 2 3 3 2 2 4" xfId="11964"/>
    <cellStyle name="Percent 2 3 3 2 3" xfId="5420"/>
    <cellStyle name="Percent 2 3 3 2 3 2" xfId="9163"/>
    <cellStyle name="Percent 2 3 3 2 3 2 2" xfId="15707"/>
    <cellStyle name="Percent 2 3 3 2 3 3" xfId="7444"/>
    <cellStyle name="Percent 2 3 3 2 3 3 2" xfId="14126"/>
    <cellStyle name="Percent 2 3 3 2 3 4" xfId="12341"/>
    <cellStyle name="Percent 2 3 3 2 4" xfId="5858"/>
    <cellStyle name="Percent 2 3 3 2 4 2" xfId="9599"/>
    <cellStyle name="Percent 2 3 3 2 4 2 2" xfId="16101"/>
    <cellStyle name="Percent 2 3 3 2 4 3" xfId="7880"/>
    <cellStyle name="Percent 2 3 3 2 4 3 2" xfId="14520"/>
    <cellStyle name="Percent 2 3 3 2 4 4" xfId="12751"/>
    <cellStyle name="Percent 2 3 3 2 5" xfId="10035"/>
    <cellStyle name="Percent 2 3 3 2 5 2" xfId="16516"/>
    <cellStyle name="Percent 2 3 3 2 6" xfId="8357"/>
    <cellStyle name="Percent 2 3 3 2 6 2" xfId="14914"/>
    <cellStyle name="Percent 2 3 3 2 7" xfId="6638"/>
    <cellStyle name="Percent 2 3 3 2 7 2" xfId="13328"/>
    <cellStyle name="Percent 2 3 3 2 8" xfId="11538"/>
    <cellStyle name="Percent 2 3 3 3" xfId="4834"/>
    <cellStyle name="Percent 2 3 3 3 2" xfId="8577"/>
    <cellStyle name="Percent 2 3 3 3 2 2" xfId="15125"/>
    <cellStyle name="Percent 2 3 3 3 3" xfId="6858"/>
    <cellStyle name="Percent 2 3 3 3 3 2" xfId="13544"/>
    <cellStyle name="Percent 2 3 3 3 4" xfId="11759"/>
    <cellStyle name="Percent 2 3 3 4" xfId="5223"/>
    <cellStyle name="Percent 2 3 3 4 2" xfId="8966"/>
    <cellStyle name="Percent 2 3 3 4 2 2" xfId="15510"/>
    <cellStyle name="Percent 2 3 3 4 3" xfId="7247"/>
    <cellStyle name="Percent 2 3 3 4 3 2" xfId="13929"/>
    <cellStyle name="Percent 2 3 3 4 4" xfId="12144"/>
    <cellStyle name="Percent 2 3 3 5" xfId="5656"/>
    <cellStyle name="Percent 2 3 3 5 2" xfId="9397"/>
    <cellStyle name="Percent 2 3 3 5 2 2" xfId="15904"/>
    <cellStyle name="Percent 2 3 3 5 3" xfId="7678"/>
    <cellStyle name="Percent 2 3 3 5 3 2" xfId="14323"/>
    <cellStyle name="Percent 2 3 3 5 4" xfId="12549"/>
    <cellStyle name="Percent 2 3 3 6" xfId="9825"/>
    <cellStyle name="Percent 2 3 3 6 2" xfId="16311"/>
    <cellStyle name="Percent 2 3 3 7" xfId="8119"/>
    <cellStyle name="Percent 2 3 3 7 2" xfId="14717"/>
    <cellStyle name="Percent 2 3 3 8" xfId="6401"/>
    <cellStyle name="Percent 2 3 3 8 2" xfId="13122"/>
    <cellStyle name="Percent 2 3 3 9" xfId="11332"/>
    <cellStyle name="Percent 2 3 4" xfId="4469"/>
    <cellStyle name="Percent 2 3 4 2" xfId="5040"/>
    <cellStyle name="Percent 2 3 4 2 2" xfId="8783"/>
    <cellStyle name="Percent 2 3 4 2 2 2" xfId="15331"/>
    <cellStyle name="Percent 2 3 4 2 3" xfId="7064"/>
    <cellStyle name="Percent 2 3 4 2 3 2" xfId="13750"/>
    <cellStyle name="Percent 2 3 4 2 4" xfId="11965"/>
    <cellStyle name="Percent 2 3 4 3" xfId="5297"/>
    <cellStyle name="Percent 2 3 4 3 2" xfId="9040"/>
    <cellStyle name="Percent 2 3 4 3 2 2" xfId="15584"/>
    <cellStyle name="Percent 2 3 4 3 3" xfId="7321"/>
    <cellStyle name="Percent 2 3 4 3 3 2" xfId="14003"/>
    <cellStyle name="Percent 2 3 4 3 4" xfId="12218"/>
    <cellStyle name="Percent 2 3 4 4" xfId="5735"/>
    <cellStyle name="Percent 2 3 4 4 2" xfId="9476"/>
    <cellStyle name="Percent 2 3 4 4 2 2" xfId="15978"/>
    <cellStyle name="Percent 2 3 4 4 3" xfId="7757"/>
    <cellStyle name="Percent 2 3 4 4 3 2" xfId="14397"/>
    <cellStyle name="Percent 2 3 4 4 4" xfId="12628"/>
    <cellStyle name="Percent 2 3 4 5" xfId="10036"/>
    <cellStyle name="Percent 2 3 4 5 2" xfId="16517"/>
    <cellStyle name="Percent 2 3 4 6" xfId="8234"/>
    <cellStyle name="Percent 2 3 4 6 2" xfId="14791"/>
    <cellStyle name="Percent 2 3 4 7" xfId="6515"/>
    <cellStyle name="Percent 2 3 4 7 2" xfId="13205"/>
    <cellStyle name="Percent 2 3 4 8" xfId="11414"/>
    <cellStyle name="Percent 2 3 5" xfId="4690"/>
    <cellStyle name="Percent 2 3 5 2" xfId="8436"/>
    <cellStyle name="Percent 2 3 5 2 2" xfId="14988"/>
    <cellStyle name="Percent 2 3 5 3" xfId="6717"/>
    <cellStyle name="Percent 2 3 5 3 2" xfId="13407"/>
    <cellStyle name="Percent 2 3 5 4" xfId="11621"/>
    <cellStyle name="Percent 2 3 6" xfId="5096"/>
    <cellStyle name="Percent 2 3 6 2" xfId="8839"/>
    <cellStyle name="Percent 2 3 6 2 2" xfId="15387"/>
    <cellStyle name="Percent 2 3 6 3" xfId="7120"/>
    <cellStyle name="Percent 2 3 6 3 2" xfId="13806"/>
    <cellStyle name="Percent 2 3 6 4" xfId="12021"/>
    <cellStyle name="Percent 2 3 7" xfId="5533"/>
    <cellStyle name="Percent 2 3 7 2" xfId="9274"/>
    <cellStyle name="Percent 2 3 7 2 2" xfId="15781"/>
    <cellStyle name="Percent 2 3 7 3" xfId="7555"/>
    <cellStyle name="Percent 2 3 7 3 2" xfId="14200"/>
    <cellStyle name="Percent 2 3 7 4" xfId="12426"/>
    <cellStyle name="Percent 2 3 8" xfId="9670"/>
    <cellStyle name="Percent 2 3 8 2" xfId="16172"/>
    <cellStyle name="Percent 2 3 9" xfId="7954"/>
    <cellStyle name="Percent 2 3 9 2" xfId="14594"/>
    <cellStyle name="Percent 2 4" xfId="25"/>
    <cellStyle name="Percent 2 4 2" xfId="4460"/>
    <cellStyle name="Percent 2 4 2 2" xfId="5041"/>
    <cellStyle name="Percent 2 4 2 2 2" xfId="8784"/>
    <cellStyle name="Percent 2 4 2 2 2 2" xfId="15332"/>
    <cellStyle name="Percent 2 4 2 2 3" xfId="7065"/>
    <cellStyle name="Percent 2 4 2 2 3 2" xfId="13751"/>
    <cellStyle name="Percent 2 4 2 2 4" xfId="11966"/>
    <cellStyle name="Percent 2 4 2 3" xfId="5288"/>
    <cellStyle name="Percent 2 4 2 3 2" xfId="9031"/>
    <cellStyle name="Percent 2 4 2 3 2 2" xfId="15575"/>
    <cellStyle name="Percent 2 4 2 3 3" xfId="7312"/>
    <cellStyle name="Percent 2 4 2 3 3 2" xfId="13994"/>
    <cellStyle name="Percent 2 4 2 3 4" xfId="12209"/>
    <cellStyle name="Percent 2 4 2 4" xfId="5726"/>
    <cellStyle name="Percent 2 4 2 4 2" xfId="9467"/>
    <cellStyle name="Percent 2 4 2 4 2 2" xfId="15969"/>
    <cellStyle name="Percent 2 4 2 4 3" xfId="7748"/>
    <cellStyle name="Percent 2 4 2 4 3 2" xfId="14388"/>
    <cellStyle name="Percent 2 4 2 4 4" xfId="12619"/>
    <cellStyle name="Percent 2 4 2 5" xfId="10037"/>
    <cellStyle name="Percent 2 4 2 5 2" xfId="16518"/>
    <cellStyle name="Percent 2 4 2 6" xfId="8225"/>
    <cellStyle name="Percent 2 4 2 6 2" xfId="14782"/>
    <cellStyle name="Percent 2 4 2 7" xfId="6506"/>
    <cellStyle name="Percent 2 4 2 7 2" xfId="13196"/>
    <cellStyle name="Percent 2 4 2 8" xfId="11405"/>
    <cellStyle name="Percent 2 4 3" xfId="4700"/>
    <cellStyle name="Percent 2 4 4" xfId="5087"/>
    <cellStyle name="Percent 2 4 4 2" xfId="8830"/>
    <cellStyle name="Percent 2 4 4 2 2" xfId="15378"/>
    <cellStyle name="Percent 2 4 4 3" xfId="7111"/>
    <cellStyle name="Percent 2 4 4 3 2" xfId="13797"/>
    <cellStyle name="Percent 2 4 4 4" xfId="12012"/>
    <cellStyle name="Percent 2 4 5" xfId="5524"/>
    <cellStyle name="Percent 2 4 5 2" xfId="9265"/>
    <cellStyle name="Percent 2 4 5 2 2" xfId="15772"/>
    <cellStyle name="Percent 2 4 5 3" xfId="7546"/>
    <cellStyle name="Percent 2 4 5 3 2" xfId="14191"/>
    <cellStyle name="Percent 2 4 5 4" xfId="12417"/>
    <cellStyle name="Percent 2 4 6" xfId="7945"/>
    <cellStyle name="Percent 2 4 6 2" xfId="14585"/>
    <cellStyle name="Percent 2 4 7" xfId="5924"/>
    <cellStyle name="Percent 2 4 7 2" xfId="12817"/>
    <cellStyle name="Percent 2 4 8" xfId="10259"/>
    <cellStyle name="Percent 2 5" xfId="4250"/>
    <cellStyle name="Percent 2 5 2" xfId="4594"/>
    <cellStyle name="Percent 2 5 2 2" xfId="5042"/>
    <cellStyle name="Percent 2 5 2 2 2" xfId="8785"/>
    <cellStyle name="Percent 2 5 2 2 2 2" xfId="15333"/>
    <cellStyle name="Percent 2 5 2 2 3" xfId="7066"/>
    <cellStyle name="Percent 2 5 2 2 3 2" xfId="13752"/>
    <cellStyle name="Percent 2 5 2 2 4" xfId="11967"/>
    <cellStyle name="Percent 2 5 2 3" xfId="5421"/>
    <cellStyle name="Percent 2 5 2 3 2" xfId="9164"/>
    <cellStyle name="Percent 2 5 2 3 2 2" xfId="15708"/>
    <cellStyle name="Percent 2 5 2 3 3" xfId="7445"/>
    <cellStyle name="Percent 2 5 2 3 3 2" xfId="14127"/>
    <cellStyle name="Percent 2 5 2 3 4" xfId="12342"/>
    <cellStyle name="Percent 2 5 2 4" xfId="5859"/>
    <cellStyle name="Percent 2 5 2 4 2" xfId="9600"/>
    <cellStyle name="Percent 2 5 2 4 2 2" xfId="16102"/>
    <cellStyle name="Percent 2 5 2 4 3" xfId="7881"/>
    <cellStyle name="Percent 2 5 2 4 3 2" xfId="14521"/>
    <cellStyle name="Percent 2 5 2 4 4" xfId="12752"/>
    <cellStyle name="Percent 2 5 2 5" xfId="10038"/>
    <cellStyle name="Percent 2 5 2 5 2" xfId="16519"/>
    <cellStyle name="Percent 2 5 2 6" xfId="8358"/>
    <cellStyle name="Percent 2 5 2 6 2" xfId="14915"/>
    <cellStyle name="Percent 2 5 2 7" xfId="6639"/>
    <cellStyle name="Percent 2 5 2 7 2" xfId="13329"/>
    <cellStyle name="Percent 2 5 2 8" xfId="11539"/>
    <cellStyle name="Percent 2 5 3" xfId="4778"/>
    <cellStyle name="Percent 2 5 3 2" xfId="8521"/>
    <cellStyle name="Percent 2 5 3 2 2" xfId="15073"/>
    <cellStyle name="Percent 2 5 3 3" xfId="6802"/>
    <cellStyle name="Percent 2 5 3 3 2" xfId="13492"/>
    <cellStyle name="Percent 2 5 3 4" xfId="11707"/>
    <cellStyle name="Percent 2 5 4" xfId="5224"/>
    <cellStyle name="Percent 2 5 4 2" xfId="8967"/>
    <cellStyle name="Percent 2 5 4 2 2" xfId="15511"/>
    <cellStyle name="Percent 2 5 4 3" xfId="7248"/>
    <cellStyle name="Percent 2 5 4 3 2" xfId="13930"/>
    <cellStyle name="Percent 2 5 4 4" xfId="12145"/>
    <cellStyle name="Percent 2 5 5" xfId="5657"/>
    <cellStyle name="Percent 2 5 5 2" xfId="9398"/>
    <cellStyle name="Percent 2 5 5 2 2" xfId="15905"/>
    <cellStyle name="Percent 2 5 5 3" xfId="7679"/>
    <cellStyle name="Percent 2 5 5 3 2" xfId="14324"/>
    <cellStyle name="Percent 2 5 5 4" xfId="12550"/>
    <cellStyle name="Percent 2 5 6" xfId="9768"/>
    <cellStyle name="Percent 2 5 6 2" xfId="16259"/>
    <cellStyle name="Percent 2 5 7" xfId="8120"/>
    <cellStyle name="Percent 2 5 7 2" xfId="14718"/>
    <cellStyle name="Percent 2 5 8" xfId="6402"/>
    <cellStyle name="Percent 2 5 8 2" xfId="13123"/>
    <cellStyle name="Percent 2 5 9" xfId="11333"/>
    <cellStyle name="Percent 2 6" xfId="4251"/>
    <cellStyle name="Percent 2 6 2" xfId="4595"/>
    <cellStyle name="Percent 2 6 2 2" xfId="5043"/>
    <cellStyle name="Percent 2 6 2 2 2" xfId="8786"/>
    <cellStyle name="Percent 2 6 2 2 2 2" xfId="15334"/>
    <cellStyle name="Percent 2 6 2 2 3" xfId="7067"/>
    <cellStyle name="Percent 2 6 2 2 3 2" xfId="13753"/>
    <cellStyle name="Percent 2 6 2 2 4" xfId="11968"/>
    <cellStyle name="Percent 2 6 2 3" xfId="5422"/>
    <cellStyle name="Percent 2 6 2 3 2" xfId="9165"/>
    <cellStyle name="Percent 2 6 2 3 2 2" xfId="15709"/>
    <cellStyle name="Percent 2 6 2 3 3" xfId="7446"/>
    <cellStyle name="Percent 2 6 2 3 3 2" xfId="14128"/>
    <cellStyle name="Percent 2 6 2 3 4" xfId="12343"/>
    <cellStyle name="Percent 2 6 2 4" xfId="5860"/>
    <cellStyle name="Percent 2 6 2 4 2" xfId="9601"/>
    <cellStyle name="Percent 2 6 2 4 2 2" xfId="16103"/>
    <cellStyle name="Percent 2 6 2 4 3" xfId="7882"/>
    <cellStyle name="Percent 2 6 2 4 3 2" xfId="14522"/>
    <cellStyle name="Percent 2 6 2 4 4" xfId="12753"/>
    <cellStyle name="Percent 2 6 2 5" xfId="10039"/>
    <cellStyle name="Percent 2 6 2 5 2" xfId="16520"/>
    <cellStyle name="Percent 2 6 2 6" xfId="8359"/>
    <cellStyle name="Percent 2 6 2 6 2" xfId="14916"/>
    <cellStyle name="Percent 2 6 2 7" xfId="6640"/>
    <cellStyle name="Percent 2 6 2 7 2" xfId="13330"/>
    <cellStyle name="Percent 2 6 2 8" xfId="11540"/>
    <cellStyle name="Percent 2 6 3" xfId="4825"/>
    <cellStyle name="Percent 2 6 3 2" xfId="8568"/>
    <cellStyle name="Percent 2 6 3 2 2" xfId="15116"/>
    <cellStyle name="Percent 2 6 3 3" xfId="6849"/>
    <cellStyle name="Percent 2 6 3 3 2" xfId="13535"/>
    <cellStyle name="Percent 2 6 3 4" xfId="11750"/>
    <cellStyle name="Percent 2 6 4" xfId="5225"/>
    <cellStyle name="Percent 2 6 4 2" xfId="8968"/>
    <cellStyle name="Percent 2 6 4 2 2" xfId="15512"/>
    <cellStyle name="Percent 2 6 4 3" xfId="7249"/>
    <cellStyle name="Percent 2 6 4 3 2" xfId="13931"/>
    <cellStyle name="Percent 2 6 4 4" xfId="12146"/>
    <cellStyle name="Percent 2 6 5" xfId="5658"/>
    <cellStyle name="Percent 2 6 5 2" xfId="9399"/>
    <cellStyle name="Percent 2 6 5 2 2" xfId="15906"/>
    <cellStyle name="Percent 2 6 5 3" xfId="7680"/>
    <cellStyle name="Percent 2 6 5 3 2" xfId="14325"/>
    <cellStyle name="Percent 2 6 5 4" xfId="12551"/>
    <cellStyle name="Percent 2 6 6" xfId="9816"/>
    <cellStyle name="Percent 2 6 6 2" xfId="16302"/>
    <cellStyle name="Percent 2 6 7" xfId="8121"/>
    <cellStyle name="Percent 2 6 7 2" xfId="14719"/>
    <cellStyle name="Percent 2 6 8" xfId="6403"/>
    <cellStyle name="Percent 2 6 8 2" xfId="13124"/>
    <cellStyle name="Percent 2 6 9" xfId="11334"/>
    <cellStyle name="Percent 2 7" xfId="4406"/>
    <cellStyle name="Percent 2 7 2" xfId="4620"/>
    <cellStyle name="Percent 2 7 2 2" xfId="5045"/>
    <cellStyle name="Percent 2 7 2 2 2" xfId="8788"/>
    <cellStyle name="Percent 2 7 2 2 2 2" xfId="15336"/>
    <cellStyle name="Percent 2 7 2 2 3" xfId="7069"/>
    <cellStyle name="Percent 2 7 2 2 3 2" xfId="13755"/>
    <cellStyle name="Percent 2 7 2 2 4" xfId="11970"/>
    <cellStyle name="Percent 2 7 2 3" xfId="5447"/>
    <cellStyle name="Percent 2 7 2 3 2" xfId="9190"/>
    <cellStyle name="Percent 2 7 2 3 2 2" xfId="15734"/>
    <cellStyle name="Percent 2 7 2 3 3" xfId="7471"/>
    <cellStyle name="Percent 2 7 2 3 3 2" xfId="14153"/>
    <cellStyle name="Percent 2 7 2 3 4" xfId="12368"/>
    <cellStyle name="Percent 2 7 2 4" xfId="5885"/>
    <cellStyle name="Percent 2 7 2 4 2" xfId="9626"/>
    <cellStyle name="Percent 2 7 2 4 2 2" xfId="16128"/>
    <cellStyle name="Percent 2 7 2 4 3" xfId="7907"/>
    <cellStyle name="Percent 2 7 2 4 3 2" xfId="14547"/>
    <cellStyle name="Percent 2 7 2 4 4" xfId="12778"/>
    <cellStyle name="Percent 2 7 2 5" xfId="10041"/>
    <cellStyle name="Percent 2 7 2 5 2" xfId="16522"/>
    <cellStyle name="Percent 2 7 2 6" xfId="8384"/>
    <cellStyle name="Percent 2 7 2 6 2" xfId="14941"/>
    <cellStyle name="Percent 2 7 2 7" xfId="6665"/>
    <cellStyle name="Percent 2 7 2 7 2" xfId="13355"/>
    <cellStyle name="Percent 2 7 2 8" xfId="11565"/>
    <cellStyle name="Percent 2 7 3" xfId="5044"/>
    <cellStyle name="Percent 2 7 3 2" xfId="8787"/>
    <cellStyle name="Percent 2 7 3 2 2" xfId="15335"/>
    <cellStyle name="Percent 2 7 3 3" xfId="7068"/>
    <cellStyle name="Percent 2 7 3 3 2" xfId="13754"/>
    <cellStyle name="Percent 2 7 3 4" xfId="11969"/>
    <cellStyle name="Percent 2 7 4" xfId="5250"/>
    <cellStyle name="Percent 2 7 4 2" xfId="8993"/>
    <cellStyle name="Percent 2 7 4 2 2" xfId="15537"/>
    <cellStyle name="Percent 2 7 4 3" xfId="7274"/>
    <cellStyle name="Percent 2 7 4 3 2" xfId="13956"/>
    <cellStyle name="Percent 2 7 4 4" xfId="12171"/>
    <cellStyle name="Percent 2 7 5" xfId="5688"/>
    <cellStyle name="Percent 2 7 5 2" xfId="9429"/>
    <cellStyle name="Percent 2 7 5 2 2" xfId="15931"/>
    <cellStyle name="Percent 2 7 5 3" xfId="7710"/>
    <cellStyle name="Percent 2 7 5 3 2" xfId="14350"/>
    <cellStyle name="Percent 2 7 5 4" xfId="12581"/>
    <cellStyle name="Percent 2 7 6" xfId="10040"/>
    <cellStyle name="Percent 2 7 6 2" xfId="16521"/>
    <cellStyle name="Percent 2 7 7" xfId="8187"/>
    <cellStyle name="Percent 2 7 7 2" xfId="14744"/>
    <cellStyle name="Percent 2 7 8" xfId="6468"/>
    <cellStyle name="Percent 2 7 8 2" xfId="13158"/>
    <cellStyle name="Percent 2 7 9" xfId="11364"/>
    <cellStyle name="Percent 2 8" xfId="4423"/>
    <cellStyle name="Percent 2 8 2" xfId="4632"/>
    <cellStyle name="Percent 2 8 2 2" xfId="5047"/>
    <cellStyle name="Percent 2 8 2 2 2" xfId="8790"/>
    <cellStyle name="Percent 2 8 2 2 2 2" xfId="15338"/>
    <cellStyle name="Percent 2 8 2 2 3" xfId="7071"/>
    <cellStyle name="Percent 2 8 2 2 3 2" xfId="13757"/>
    <cellStyle name="Percent 2 8 2 2 4" xfId="11972"/>
    <cellStyle name="Percent 2 8 2 3" xfId="5459"/>
    <cellStyle name="Percent 2 8 2 3 2" xfId="9202"/>
    <cellStyle name="Percent 2 8 2 3 2 2" xfId="15746"/>
    <cellStyle name="Percent 2 8 2 3 3" xfId="7483"/>
    <cellStyle name="Percent 2 8 2 3 3 2" xfId="14165"/>
    <cellStyle name="Percent 2 8 2 3 4" xfId="12380"/>
    <cellStyle name="Percent 2 8 2 4" xfId="5897"/>
    <cellStyle name="Percent 2 8 2 4 2" xfId="9638"/>
    <cellStyle name="Percent 2 8 2 4 2 2" xfId="16140"/>
    <cellStyle name="Percent 2 8 2 4 3" xfId="7919"/>
    <cellStyle name="Percent 2 8 2 4 3 2" xfId="14559"/>
    <cellStyle name="Percent 2 8 2 4 4" xfId="12790"/>
    <cellStyle name="Percent 2 8 2 5" xfId="10043"/>
    <cellStyle name="Percent 2 8 2 5 2" xfId="16524"/>
    <cellStyle name="Percent 2 8 2 6" xfId="8396"/>
    <cellStyle name="Percent 2 8 2 6 2" xfId="14953"/>
    <cellStyle name="Percent 2 8 2 7" xfId="6677"/>
    <cellStyle name="Percent 2 8 2 7 2" xfId="13367"/>
    <cellStyle name="Percent 2 8 2 8" xfId="11577"/>
    <cellStyle name="Percent 2 8 3" xfId="5046"/>
    <cellStyle name="Percent 2 8 3 2" xfId="8789"/>
    <cellStyle name="Percent 2 8 3 2 2" xfId="15337"/>
    <cellStyle name="Percent 2 8 3 3" xfId="7070"/>
    <cellStyle name="Percent 2 8 3 3 2" xfId="13756"/>
    <cellStyle name="Percent 2 8 3 4" xfId="11971"/>
    <cellStyle name="Percent 2 8 4" xfId="5262"/>
    <cellStyle name="Percent 2 8 4 2" xfId="9005"/>
    <cellStyle name="Percent 2 8 4 2 2" xfId="15549"/>
    <cellStyle name="Percent 2 8 4 3" xfId="7286"/>
    <cellStyle name="Percent 2 8 4 3 2" xfId="13968"/>
    <cellStyle name="Percent 2 8 4 4" xfId="12183"/>
    <cellStyle name="Percent 2 8 5" xfId="5700"/>
    <cellStyle name="Percent 2 8 5 2" xfId="9441"/>
    <cellStyle name="Percent 2 8 5 2 2" xfId="15943"/>
    <cellStyle name="Percent 2 8 5 3" xfId="7722"/>
    <cellStyle name="Percent 2 8 5 3 2" xfId="14362"/>
    <cellStyle name="Percent 2 8 5 4" xfId="12593"/>
    <cellStyle name="Percent 2 8 6" xfId="10042"/>
    <cellStyle name="Percent 2 8 6 2" xfId="16523"/>
    <cellStyle name="Percent 2 8 7" xfId="8199"/>
    <cellStyle name="Percent 2 8 7 2" xfId="14756"/>
    <cellStyle name="Percent 2 8 8" xfId="6480"/>
    <cellStyle name="Percent 2 8 8 2" xfId="13170"/>
    <cellStyle name="Percent 2 8 9" xfId="11378"/>
    <cellStyle name="Percent 2 9" xfId="4450"/>
    <cellStyle name="Percent 2 9 2" xfId="5048"/>
    <cellStyle name="Percent 2 9 2 2" xfId="8791"/>
    <cellStyle name="Percent 2 9 2 2 2" xfId="15339"/>
    <cellStyle name="Percent 2 9 2 3" xfId="7072"/>
    <cellStyle name="Percent 2 9 2 3 2" xfId="13758"/>
    <cellStyle name="Percent 2 9 2 4" xfId="11973"/>
    <cellStyle name="Percent 2 9 3" xfId="5278"/>
    <cellStyle name="Percent 2 9 3 2" xfId="9021"/>
    <cellStyle name="Percent 2 9 3 2 2" xfId="15565"/>
    <cellStyle name="Percent 2 9 3 3" xfId="7302"/>
    <cellStyle name="Percent 2 9 3 3 2" xfId="13984"/>
    <cellStyle name="Percent 2 9 3 4" xfId="12199"/>
    <cellStyle name="Percent 2 9 4" xfId="5716"/>
    <cellStyle name="Percent 2 9 4 2" xfId="9457"/>
    <cellStyle name="Percent 2 9 4 2 2" xfId="15959"/>
    <cellStyle name="Percent 2 9 4 3" xfId="7738"/>
    <cellStyle name="Percent 2 9 4 3 2" xfId="14378"/>
    <cellStyle name="Percent 2 9 4 4" xfId="12609"/>
    <cellStyle name="Percent 2 9 5" xfId="10044"/>
    <cellStyle name="Percent 2 9 5 2" xfId="16525"/>
    <cellStyle name="Percent 2 9 6" xfId="8215"/>
    <cellStyle name="Percent 2 9 6 2" xfId="14772"/>
    <cellStyle name="Percent 2 9 7" xfId="6496"/>
    <cellStyle name="Percent 2 9 7 2" xfId="13186"/>
    <cellStyle name="Percent 2 9 8" xfId="11395"/>
    <cellStyle name="Percent 20" xfId="4252"/>
    <cellStyle name="Percent 20 2" xfId="4596"/>
    <cellStyle name="Percent 20 2 2" xfId="5049"/>
    <cellStyle name="Percent 20 2 2 2" xfId="8792"/>
    <cellStyle name="Percent 20 2 2 2 2" xfId="15340"/>
    <cellStyle name="Percent 20 2 2 3" xfId="7073"/>
    <cellStyle name="Percent 20 2 2 3 2" xfId="13759"/>
    <cellStyle name="Percent 20 2 2 4" xfId="11974"/>
    <cellStyle name="Percent 20 2 3" xfId="5423"/>
    <cellStyle name="Percent 20 2 3 2" xfId="9166"/>
    <cellStyle name="Percent 20 2 3 2 2" xfId="15710"/>
    <cellStyle name="Percent 20 2 3 3" xfId="7447"/>
    <cellStyle name="Percent 20 2 3 3 2" xfId="14129"/>
    <cellStyle name="Percent 20 2 3 4" xfId="12344"/>
    <cellStyle name="Percent 20 2 4" xfId="5861"/>
    <cellStyle name="Percent 20 2 4 2" xfId="9602"/>
    <cellStyle name="Percent 20 2 4 2 2" xfId="16104"/>
    <cellStyle name="Percent 20 2 4 3" xfId="7883"/>
    <cellStyle name="Percent 20 2 4 3 2" xfId="14523"/>
    <cellStyle name="Percent 20 2 4 4" xfId="12754"/>
    <cellStyle name="Percent 20 2 5" xfId="10045"/>
    <cellStyle name="Percent 20 2 5 2" xfId="16526"/>
    <cellStyle name="Percent 20 2 6" xfId="8360"/>
    <cellStyle name="Percent 20 2 6 2" xfId="14917"/>
    <cellStyle name="Percent 20 2 7" xfId="6641"/>
    <cellStyle name="Percent 20 2 7 2" xfId="13331"/>
    <cellStyle name="Percent 20 2 8" xfId="11541"/>
    <cellStyle name="Percent 20 3" xfId="4736"/>
    <cellStyle name="Percent 20 3 2" xfId="8479"/>
    <cellStyle name="Percent 20 3 2 2" xfId="15031"/>
    <cellStyle name="Percent 20 3 3" xfId="6760"/>
    <cellStyle name="Percent 20 3 3 2" xfId="13450"/>
    <cellStyle name="Percent 20 3 4" xfId="11665"/>
    <cellStyle name="Percent 20 4" xfId="5226"/>
    <cellStyle name="Percent 20 4 2" xfId="8969"/>
    <cellStyle name="Percent 20 4 2 2" xfId="15513"/>
    <cellStyle name="Percent 20 4 3" xfId="7250"/>
    <cellStyle name="Percent 20 4 3 2" xfId="13932"/>
    <cellStyle name="Percent 20 4 4" xfId="12147"/>
    <cellStyle name="Percent 20 5" xfId="5659"/>
    <cellStyle name="Percent 20 5 2" xfId="9400"/>
    <cellStyle name="Percent 20 5 2 2" xfId="15907"/>
    <cellStyle name="Percent 20 5 3" xfId="7681"/>
    <cellStyle name="Percent 20 5 3 2" xfId="14326"/>
    <cellStyle name="Percent 20 5 4" xfId="12552"/>
    <cellStyle name="Percent 20 6" xfId="9724"/>
    <cellStyle name="Percent 20 6 2" xfId="16217"/>
    <cellStyle name="Percent 20 7" xfId="8122"/>
    <cellStyle name="Percent 20 7 2" xfId="14720"/>
    <cellStyle name="Percent 20 8" xfId="6404"/>
    <cellStyle name="Percent 20 8 2" xfId="13125"/>
    <cellStyle name="Percent 20 9" xfId="11335"/>
    <cellStyle name="Percent 21" xfId="4253"/>
    <cellStyle name="Percent 21 2" xfId="4597"/>
    <cellStyle name="Percent 21 2 2" xfId="5050"/>
    <cellStyle name="Percent 21 2 2 2" xfId="8793"/>
    <cellStyle name="Percent 21 2 2 2 2" xfId="15341"/>
    <cellStyle name="Percent 21 2 2 3" xfId="7074"/>
    <cellStyle name="Percent 21 2 2 3 2" xfId="13760"/>
    <cellStyle name="Percent 21 2 2 4" xfId="11975"/>
    <cellStyle name="Percent 21 2 3" xfId="5424"/>
    <cellStyle name="Percent 21 2 3 2" xfId="9167"/>
    <cellStyle name="Percent 21 2 3 2 2" xfId="15711"/>
    <cellStyle name="Percent 21 2 3 3" xfId="7448"/>
    <cellStyle name="Percent 21 2 3 3 2" xfId="14130"/>
    <cellStyle name="Percent 21 2 3 4" xfId="12345"/>
    <cellStyle name="Percent 21 2 4" xfId="5862"/>
    <cellStyle name="Percent 21 2 4 2" xfId="9603"/>
    <cellStyle name="Percent 21 2 4 2 2" xfId="16105"/>
    <cellStyle name="Percent 21 2 4 3" xfId="7884"/>
    <cellStyle name="Percent 21 2 4 3 2" xfId="14524"/>
    <cellStyle name="Percent 21 2 4 4" xfId="12755"/>
    <cellStyle name="Percent 21 2 5" xfId="10046"/>
    <cellStyle name="Percent 21 2 5 2" xfId="16527"/>
    <cellStyle name="Percent 21 2 6" xfId="8361"/>
    <cellStyle name="Percent 21 2 6 2" xfId="14918"/>
    <cellStyle name="Percent 21 2 7" xfId="6642"/>
    <cellStyle name="Percent 21 2 7 2" xfId="13332"/>
    <cellStyle name="Percent 21 2 8" xfId="11542"/>
    <cellStyle name="Percent 21 3" xfId="4738"/>
    <cellStyle name="Percent 21 3 2" xfId="8481"/>
    <cellStyle name="Percent 21 3 2 2" xfId="15033"/>
    <cellStyle name="Percent 21 3 3" xfId="6762"/>
    <cellStyle name="Percent 21 3 3 2" xfId="13452"/>
    <cellStyle name="Percent 21 3 4" xfId="11667"/>
    <cellStyle name="Percent 21 4" xfId="5227"/>
    <cellStyle name="Percent 21 4 2" xfId="8970"/>
    <cellStyle name="Percent 21 4 2 2" xfId="15514"/>
    <cellStyle name="Percent 21 4 3" xfId="7251"/>
    <cellStyle name="Percent 21 4 3 2" xfId="13933"/>
    <cellStyle name="Percent 21 4 4" xfId="12148"/>
    <cellStyle name="Percent 21 5" xfId="5660"/>
    <cellStyle name="Percent 21 5 2" xfId="9401"/>
    <cellStyle name="Percent 21 5 2 2" xfId="15908"/>
    <cellStyle name="Percent 21 5 3" xfId="7682"/>
    <cellStyle name="Percent 21 5 3 2" xfId="14327"/>
    <cellStyle name="Percent 21 5 4" xfId="12553"/>
    <cellStyle name="Percent 21 6" xfId="9726"/>
    <cellStyle name="Percent 21 6 2" xfId="16219"/>
    <cellStyle name="Percent 21 7" xfId="8123"/>
    <cellStyle name="Percent 21 7 2" xfId="14721"/>
    <cellStyle name="Percent 21 8" xfId="6405"/>
    <cellStyle name="Percent 21 8 2" xfId="13126"/>
    <cellStyle name="Percent 21 9" xfId="11336"/>
    <cellStyle name="Percent 22" xfId="4254"/>
    <cellStyle name="Percent 22 2" xfId="4598"/>
    <cellStyle name="Percent 22 2 2" xfId="5051"/>
    <cellStyle name="Percent 22 2 2 2" xfId="8794"/>
    <cellStyle name="Percent 22 2 2 2 2" xfId="15342"/>
    <cellStyle name="Percent 22 2 2 3" xfId="7075"/>
    <cellStyle name="Percent 22 2 2 3 2" xfId="13761"/>
    <cellStyle name="Percent 22 2 2 4" xfId="11976"/>
    <cellStyle name="Percent 22 2 3" xfId="5425"/>
    <cellStyle name="Percent 22 2 3 2" xfId="9168"/>
    <cellStyle name="Percent 22 2 3 2 2" xfId="15712"/>
    <cellStyle name="Percent 22 2 3 3" xfId="7449"/>
    <cellStyle name="Percent 22 2 3 3 2" xfId="14131"/>
    <cellStyle name="Percent 22 2 3 4" xfId="12346"/>
    <cellStyle name="Percent 22 2 4" xfId="5863"/>
    <cellStyle name="Percent 22 2 4 2" xfId="9604"/>
    <cellStyle name="Percent 22 2 4 2 2" xfId="16106"/>
    <cellStyle name="Percent 22 2 4 3" xfId="7885"/>
    <cellStyle name="Percent 22 2 4 3 2" xfId="14525"/>
    <cellStyle name="Percent 22 2 4 4" xfId="12756"/>
    <cellStyle name="Percent 22 2 5" xfId="10047"/>
    <cellStyle name="Percent 22 2 5 2" xfId="16528"/>
    <cellStyle name="Percent 22 2 6" xfId="8362"/>
    <cellStyle name="Percent 22 2 6 2" xfId="14919"/>
    <cellStyle name="Percent 22 2 7" xfId="6643"/>
    <cellStyle name="Percent 22 2 7 2" xfId="13333"/>
    <cellStyle name="Percent 22 2 8" xfId="11543"/>
    <cellStyle name="Percent 22 3" xfId="4740"/>
    <cellStyle name="Percent 22 3 2" xfId="8483"/>
    <cellStyle name="Percent 22 3 2 2" xfId="15035"/>
    <cellStyle name="Percent 22 3 3" xfId="6764"/>
    <cellStyle name="Percent 22 3 3 2" xfId="13454"/>
    <cellStyle name="Percent 22 3 4" xfId="11669"/>
    <cellStyle name="Percent 22 4" xfId="5228"/>
    <cellStyle name="Percent 22 4 2" xfId="8971"/>
    <cellStyle name="Percent 22 4 2 2" xfId="15515"/>
    <cellStyle name="Percent 22 4 3" xfId="7252"/>
    <cellStyle name="Percent 22 4 3 2" xfId="13934"/>
    <cellStyle name="Percent 22 4 4" xfId="12149"/>
    <cellStyle name="Percent 22 5" xfId="5661"/>
    <cellStyle name="Percent 22 5 2" xfId="9402"/>
    <cellStyle name="Percent 22 5 2 2" xfId="15909"/>
    <cellStyle name="Percent 22 5 3" xfId="7683"/>
    <cellStyle name="Percent 22 5 3 2" xfId="14328"/>
    <cellStyle name="Percent 22 5 4" xfId="12554"/>
    <cellStyle name="Percent 22 6" xfId="9728"/>
    <cellStyle name="Percent 22 6 2" xfId="16221"/>
    <cellStyle name="Percent 22 7" xfId="8124"/>
    <cellStyle name="Percent 22 7 2" xfId="14722"/>
    <cellStyle name="Percent 22 8" xfId="6406"/>
    <cellStyle name="Percent 22 8 2" xfId="13127"/>
    <cellStyle name="Percent 22 9" xfId="11337"/>
    <cellStyle name="Percent 23" xfId="4255"/>
    <cellStyle name="Percent 23 2" xfId="4599"/>
    <cellStyle name="Percent 23 2 2" xfId="5052"/>
    <cellStyle name="Percent 23 2 2 2" xfId="8795"/>
    <cellStyle name="Percent 23 2 2 2 2" xfId="15343"/>
    <cellStyle name="Percent 23 2 2 3" xfId="7076"/>
    <cellStyle name="Percent 23 2 2 3 2" xfId="13762"/>
    <cellStyle name="Percent 23 2 2 4" xfId="11977"/>
    <cellStyle name="Percent 23 2 3" xfId="5426"/>
    <cellStyle name="Percent 23 2 3 2" xfId="9169"/>
    <cellStyle name="Percent 23 2 3 2 2" xfId="15713"/>
    <cellStyle name="Percent 23 2 3 3" xfId="7450"/>
    <cellStyle name="Percent 23 2 3 3 2" xfId="14132"/>
    <cellStyle name="Percent 23 2 3 4" xfId="12347"/>
    <cellStyle name="Percent 23 2 4" xfId="5864"/>
    <cellStyle name="Percent 23 2 4 2" xfId="9605"/>
    <cellStyle name="Percent 23 2 4 2 2" xfId="16107"/>
    <cellStyle name="Percent 23 2 4 3" xfId="7886"/>
    <cellStyle name="Percent 23 2 4 3 2" xfId="14526"/>
    <cellStyle name="Percent 23 2 4 4" xfId="12757"/>
    <cellStyle name="Percent 23 2 5" xfId="10048"/>
    <cellStyle name="Percent 23 2 5 2" xfId="16529"/>
    <cellStyle name="Percent 23 2 6" xfId="8363"/>
    <cellStyle name="Percent 23 2 6 2" xfId="14920"/>
    <cellStyle name="Percent 23 2 7" xfId="6644"/>
    <cellStyle name="Percent 23 2 7 2" xfId="13334"/>
    <cellStyle name="Percent 23 2 8" xfId="11544"/>
    <cellStyle name="Percent 23 3" xfId="4742"/>
    <cellStyle name="Percent 23 3 2" xfId="8485"/>
    <cellStyle name="Percent 23 3 2 2" xfId="15037"/>
    <cellStyle name="Percent 23 3 3" xfId="6766"/>
    <cellStyle name="Percent 23 3 3 2" xfId="13456"/>
    <cellStyle name="Percent 23 3 4" xfId="11671"/>
    <cellStyle name="Percent 23 4" xfId="5229"/>
    <cellStyle name="Percent 23 4 2" xfId="8972"/>
    <cellStyle name="Percent 23 4 2 2" xfId="15516"/>
    <cellStyle name="Percent 23 4 3" xfId="7253"/>
    <cellStyle name="Percent 23 4 3 2" xfId="13935"/>
    <cellStyle name="Percent 23 4 4" xfId="12150"/>
    <cellStyle name="Percent 23 5" xfId="5662"/>
    <cellStyle name="Percent 23 5 2" xfId="9403"/>
    <cellStyle name="Percent 23 5 2 2" xfId="15910"/>
    <cellStyle name="Percent 23 5 3" xfId="7684"/>
    <cellStyle name="Percent 23 5 3 2" xfId="14329"/>
    <cellStyle name="Percent 23 5 4" xfId="12555"/>
    <cellStyle name="Percent 23 6" xfId="9730"/>
    <cellStyle name="Percent 23 6 2" xfId="16223"/>
    <cellStyle name="Percent 23 7" xfId="8125"/>
    <cellStyle name="Percent 23 7 2" xfId="14723"/>
    <cellStyle name="Percent 23 8" xfId="6407"/>
    <cellStyle name="Percent 23 8 2" xfId="13128"/>
    <cellStyle name="Percent 23 9" xfId="11338"/>
    <cellStyle name="Percent 24" xfId="4256"/>
    <cellStyle name="Percent 24 2" xfId="4600"/>
    <cellStyle name="Percent 24 2 2" xfId="5053"/>
    <cellStyle name="Percent 24 2 2 2" xfId="8796"/>
    <cellStyle name="Percent 24 2 2 2 2" xfId="15344"/>
    <cellStyle name="Percent 24 2 2 3" xfId="7077"/>
    <cellStyle name="Percent 24 2 2 3 2" xfId="13763"/>
    <cellStyle name="Percent 24 2 2 4" xfId="11978"/>
    <cellStyle name="Percent 24 2 3" xfId="5427"/>
    <cellStyle name="Percent 24 2 3 2" xfId="9170"/>
    <cellStyle name="Percent 24 2 3 2 2" xfId="15714"/>
    <cellStyle name="Percent 24 2 3 3" xfId="7451"/>
    <cellStyle name="Percent 24 2 3 3 2" xfId="14133"/>
    <cellStyle name="Percent 24 2 3 4" xfId="12348"/>
    <cellStyle name="Percent 24 2 4" xfId="5865"/>
    <cellStyle name="Percent 24 2 4 2" xfId="9606"/>
    <cellStyle name="Percent 24 2 4 2 2" xfId="16108"/>
    <cellStyle name="Percent 24 2 4 3" xfId="7887"/>
    <cellStyle name="Percent 24 2 4 3 2" xfId="14527"/>
    <cellStyle name="Percent 24 2 4 4" xfId="12758"/>
    <cellStyle name="Percent 24 2 5" xfId="10049"/>
    <cellStyle name="Percent 24 2 5 2" xfId="16530"/>
    <cellStyle name="Percent 24 2 6" xfId="8364"/>
    <cellStyle name="Percent 24 2 6 2" xfId="14921"/>
    <cellStyle name="Percent 24 2 7" xfId="6645"/>
    <cellStyle name="Percent 24 2 7 2" xfId="13335"/>
    <cellStyle name="Percent 24 2 8" xfId="11545"/>
    <cellStyle name="Percent 24 3" xfId="4744"/>
    <cellStyle name="Percent 24 3 2" xfId="8487"/>
    <cellStyle name="Percent 24 3 2 2" xfId="15039"/>
    <cellStyle name="Percent 24 3 3" xfId="6768"/>
    <cellStyle name="Percent 24 3 3 2" xfId="13458"/>
    <cellStyle name="Percent 24 3 4" xfId="11673"/>
    <cellStyle name="Percent 24 4" xfId="5230"/>
    <cellStyle name="Percent 24 4 2" xfId="8973"/>
    <cellStyle name="Percent 24 4 2 2" xfId="15517"/>
    <cellStyle name="Percent 24 4 3" xfId="7254"/>
    <cellStyle name="Percent 24 4 3 2" xfId="13936"/>
    <cellStyle name="Percent 24 4 4" xfId="12151"/>
    <cellStyle name="Percent 24 5" xfId="5663"/>
    <cellStyle name="Percent 24 5 2" xfId="9404"/>
    <cellStyle name="Percent 24 5 2 2" xfId="15911"/>
    <cellStyle name="Percent 24 5 3" xfId="7685"/>
    <cellStyle name="Percent 24 5 3 2" xfId="14330"/>
    <cellStyle name="Percent 24 5 4" xfId="12556"/>
    <cellStyle name="Percent 24 6" xfId="9732"/>
    <cellStyle name="Percent 24 6 2" xfId="16225"/>
    <cellStyle name="Percent 24 7" xfId="8126"/>
    <cellStyle name="Percent 24 7 2" xfId="14724"/>
    <cellStyle name="Percent 24 8" xfId="6408"/>
    <cellStyle name="Percent 24 8 2" xfId="13129"/>
    <cellStyle name="Percent 24 9" xfId="11339"/>
    <cellStyle name="Percent 25" xfId="4257"/>
    <cellStyle name="Percent 25 2" xfId="4601"/>
    <cellStyle name="Percent 25 2 2" xfId="5054"/>
    <cellStyle name="Percent 25 2 2 2" xfId="8797"/>
    <cellStyle name="Percent 25 2 2 2 2" xfId="15345"/>
    <cellStyle name="Percent 25 2 2 3" xfId="7078"/>
    <cellStyle name="Percent 25 2 2 3 2" xfId="13764"/>
    <cellStyle name="Percent 25 2 2 4" xfId="11979"/>
    <cellStyle name="Percent 25 2 3" xfId="5428"/>
    <cellStyle name="Percent 25 2 3 2" xfId="9171"/>
    <cellStyle name="Percent 25 2 3 2 2" xfId="15715"/>
    <cellStyle name="Percent 25 2 3 3" xfId="7452"/>
    <cellStyle name="Percent 25 2 3 3 2" xfId="14134"/>
    <cellStyle name="Percent 25 2 3 4" xfId="12349"/>
    <cellStyle name="Percent 25 2 4" xfId="5866"/>
    <cellStyle name="Percent 25 2 4 2" xfId="9607"/>
    <cellStyle name="Percent 25 2 4 2 2" xfId="16109"/>
    <cellStyle name="Percent 25 2 4 3" xfId="7888"/>
    <cellStyle name="Percent 25 2 4 3 2" xfId="14528"/>
    <cellStyle name="Percent 25 2 4 4" xfId="12759"/>
    <cellStyle name="Percent 25 2 5" xfId="10050"/>
    <cellStyle name="Percent 25 2 5 2" xfId="16531"/>
    <cellStyle name="Percent 25 2 6" xfId="8365"/>
    <cellStyle name="Percent 25 2 6 2" xfId="14922"/>
    <cellStyle name="Percent 25 2 7" xfId="6646"/>
    <cellStyle name="Percent 25 2 7 2" xfId="13336"/>
    <cellStyle name="Percent 25 2 8" xfId="11546"/>
    <cellStyle name="Percent 25 3" xfId="4746"/>
    <cellStyle name="Percent 25 3 2" xfId="8489"/>
    <cellStyle name="Percent 25 3 2 2" xfId="15041"/>
    <cellStyle name="Percent 25 3 3" xfId="6770"/>
    <cellStyle name="Percent 25 3 3 2" xfId="13460"/>
    <cellStyle name="Percent 25 3 4" xfId="11675"/>
    <cellStyle name="Percent 25 4" xfId="5231"/>
    <cellStyle name="Percent 25 4 2" xfId="8974"/>
    <cellStyle name="Percent 25 4 2 2" xfId="15518"/>
    <cellStyle name="Percent 25 4 3" xfId="7255"/>
    <cellStyle name="Percent 25 4 3 2" xfId="13937"/>
    <cellStyle name="Percent 25 4 4" xfId="12152"/>
    <cellStyle name="Percent 25 5" xfId="5664"/>
    <cellStyle name="Percent 25 5 2" xfId="9405"/>
    <cellStyle name="Percent 25 5 2 2" xfId="15912"/>
    <cellStyle name="Percent 25 5 3" xfId="7686"/>
    <cellStyle name="Percent 25 5 3 2" xfId="14331"/>
    <cellStyle name="Percent 25 5 4" xfId="12557"/>
    <cellStyle name="Percent 25 6" xfId="9734"/>
    <cellStyle name="Percent 25 6 2" xfId="16227"/>
    <cellStyle name="Percent 25 7" xfId="8127"/>
    <cellStyle name="Percent 25 7 2" xfId="14725"/>
    <cellStyle name="Percent 25 8" xfId="6409"/>
    <cellStyle name="Percent 25 8 2" xfId="13130"/>
    <cellStyle name="Percent 25 9" xfId="11340"/>
    <cellStyle name="Percent 26" xfId="4258"/>
    <cellStyle name="Percent 26 2" xfId="4602"/>
    <cellStyle name="Percent 26 2 2" xfId="5055"/>
    <cellStyle name="Percent 26 2 2 2" xfId="8798"/>
    <cellStyle name="Percent 26 2 2 2 2" xfId="15346"/>
    <cellStyle name="Percent 26 2 2 3" xfId="7079"/>
    <cellStyle name="Percent 26 2 2 3 2" xfId="13765"/>
    <cellStyle name="Percent 26 2 2 4" xfId="11980"/>
    <cellStyle name="Percent 26 2 3" xfId="5429"/>
    <cellStyle name="Percent 26 2 3 2" xfId="9172"/>
    <cellStyle name="Percent 26 2 3 2 2" xfId="15716"/>
    <cellStyle name="Percent 26 2 3 3" xfId="7453"/>
    <cellStyle name="Percent 26 2 3 3 2" xfId="14135"/>
    <cellStyle name="Percent 26 2 3 4" xfId="12350"/>
    <cellStyle name="Percent 26 2 4" xfId="5867"/>
    <cellStyle name="Percent 26 2 4 2" xfId="9608"/>
    <cellStyle name="Percent 26 2 4 2 2" xfId="16110"/>
    <cellStyle name="Percent 26 2 4 3" xfId="7889"/>
    <cellStyle name="Percent 26 2 4 3 2" xfId="14529"/>
    <cellStyle name="Percent 26 2 4 4" xfId="12760"/>
    <cellStyle name="Percent 26 2 5" xfId="10051"/>
    <cellStyle name="Percent 26 2 5 2" xfId="16532"/>
    <cellStyle name="Percent 26 2 6" xfId="8366"/>
    <cellStyle name="Percent 26 2 6 2" xfId="14923"/>
    <cellStyle name="Percent 26 2 7" xfId="6647"/>
    <cellStyle name="Percent 26 2 7 2" xfId="13337"/>
    <cellStyle name="Percent 26 2 8" xfId="11547"/>
    <cellStyle name="Percent 26 3" xfId="4748"/>
    <cellStyle name="Percent 26 3 2" xfId="8491"/>
    <cellStyle name="Percent 26 3 2 2" xfId="15043"/>
    <cellStyle name="Percent 26 3 3" xfId="6772"/>
    <cellStyle name="Percent 26 3 3 2" xfId="13462"/>
    <cellStyle name="Percent 26 3 4" xfId="11677"/>
    <cellStyle name="Percent 26 4" xfId="5232"/>
    <cellStyle name="Percent 26 4 2" xfId="8975"/>
    <cellStyle name="Percent 26 4 2 2" xfId="15519"/>
    <cellStyle name="Percent 26 4 3" xfId="7256"/>
    <cellStyle name="Percent 26 4 3 2" xfId="13938"/>
    <cellStyle name="Percent 26 4 4" xfId="12153"/>
    <cellStyle name="Percent 26 5" xfId="5665"/>
    <cellStyle name="Percent 26 5 2" xfId="9406"/>
    <cellStyle name="Percent 26 5 2 2" xfId="15913"/>
    <cellStyle name="Percent 26 5 3" xfId="7687"/>
    <cellStyle name="Percent 26 5 3 2" xfId="14332"/>
    <cellStyle name="Percent 26 5 4" xfId="12558"/>
    <cellStyle name="Percent 26 6" xfId="9736"/>
    <cellStyle name="Percent 26 6 2" xfId="16229"/>
    <cellStyle name="Percent 26 7" xfId="8128"/>
    <cellStyle name="Percent 26 7 2" xfId="14726"/>
    <cellStyle name="Percent 26 8" xfId="6410"/>
    <cellStyle name="Percent 26 8 2" xfId="13131"/>
    <cellStyle name="Percent 26 9" xfId="11341"/>
    <cellStyle name="Percent 27" xfId="4259"/>
    <cellStyle name="Percent 27 2" xfId="4603"/>
    <cellStyle name="Percent 27 2 2" xfId="5056"/>
    <cellStyle name="Percent 27 2 2 2" xfId="8799"/>
    <cellStyle name="Percent 27 2 2 2 2" xfId="15347"/>
    <cellStyle name="Percent 27 2 2 3" xfId="7080"/>
    <cellStyle name="Percent 27 2 2 3 2" xfId="13766"/>
    <cellStyle name="Percent 27 2 2 4" xfId="11981"/>
    <cellStyle name="Percent 27 2 3" xfId="5430"/>
    <cellStyle name="Percent 27 2 3 2" xfId="9173"/>
    <cellStyle name="Percent 27 2 3 2 2" xfId="15717"/>
    <cellStyle name="Percent 27 2 3 3" xfId="7454"/>
    <cellStyle name="Percent 27 2 3 3 2" xfId="14136"/>
    <cellStyle name="Percent 27 2 3 4" xfId="12351"/>
    <cellStyle name="Percent 27 2 4" xfId="5868"/>
    <cellStyle name="Percent 27 2 4 2" xfId="9609"/>
    <cellStyle name="Percent 27 2 4 2 2" xfId="16111"/>
    <cellStyle name="Percent 27 2 4 3" xfId="7890"/>
    <cellStyle name="Percent 27 2 4 3 2" xfId="14530"/>
    <cellStyle name="Percent 27 2 4 4" xfId="12761"/>
    <cellStyle name="Percent 27 2 5" xfId="10052"/>
    <cellStyle name="Percent 27 2 5 2" xfId="16533"/>
    <cellStyle name="Percent 27 2 6" xfId="8367"/>
    <cellStyle name="Percent 27 2 6 2" xfId="14924"/>
    <cellStyle name="Percent 27 2 7" xfId="6648"/>
    <cellStyle name="Percent 27 2 7 2" xfId="13338"/>
    <cellStyle name="Percent 27 2 8" xfId="11548"/>
    <cellStyle name="Percent 27 3" xfId="4751"/>
    <cellStyle name="Percent 27 3 2" xfId="8494"/>
    <cellStyle name="Percent 27 3 2 2" xfId="15046"/>
    <cellStyle name="Percent 27 3 3" xfId="6775"/>
    <cellStyle name="Percent 27 3 3 2" xfId="13465"/>
    <cellStyle name="Percent 27 3 4" xfId="11680"/>
    <cellStyle name="Percent 27 4" xfId="5233"/>
    <cellStyle name="Percent 27 4 2" xfId="8976"/>
    <cellStyle name="Percent 27 4 2 2" xfId="15520"/>
    <cellStyle name="Percent 27 4 3" xfId="7257"/>
    <cellStyle name="Percent 27 4 3 2" xfId="13939"/>
    <cellStyle name="Percent 27 4 4" xfId="12154"/>
    <cellStyle name="Percent 27 5" xfId="5666"/>
    <cellStyle name="Percent 27 5 2" xfId="9407"/>
    <cellStyle name="Percent 27 5 2 2" xfId="15914"/>
    <cellStyle name="Percent 27 5 3" xfId="7688"/>
    <cellStyle name="Percent 27 5 3 2" xfId="14333"/>
    <cellStyle name="Percent 27 5 4" xfId="12559"/>
    <cellStyle name="Percent 27 6" xfId="9739"/>
    <cellStyle name="Percent 27 6 2" xfId="16232"/>
    <cellStyle name="Percent 27 7" xfId="8129"/>
    <cellStyle name="Percent 27 7 2" xfId="14727"/>
    <cellStyle name="Percent 27 8" xfId="6411"/>
    <cellStyle name="Percent 27 8 2" xfId="13132"/>
    <cellStyle name="Percent 27 9" xfId="11342"/>
    <cellStyle name="Percent 28" xfId="4260"/>
    <cellStyle name="Percent 28 2" xfId="4604"/>
    <cellStyle name="Percent 28 2 2" xfId="5057"/>
    <cellStyle name="Percent 28 2 2 2" xfId="8800"/>
    <cellStyle name="Percent 28 2 2 2 2" xfId="15348"/>
    <cellStyle name="Percent 28 2 2 3" xfId="7081"/>
    <cellStyle name="Percent 28 2 2 3 2" xfId="13767"/>
    <cellStyle name="Percent 28 2 2 4" xfId="11982"/>
    <cellStyle name="Percent 28 2 3" xfId="5431"/>
    <cellStyle name="Percent 28 2 3 2" xfId="9174"/>
    <cellStyle name="Percent 28 2 3 2 2" xfId="15718"/>
    <cellStyle name="Percent 28 2 3 3" xfId="7455"/>
    <cellStyle name="Percent 28 2 3 3 2" xfId="14137"/>
    <cellStyle name="Percent 28 2 3 4" xfId="12352"/>
    <cellStyle name="Percent 28 2 4" xfId="5869"/>
    <cellStyle name="Percent 28 2 4 2" xfId="9610"/>
    <cellStyle name="Percent 28 2 4 2 2" xfId="16112"/>
    <cellStyle name="Percent 28 2 4 3" xfId="7891"/>
    <cellStyle name="Percent 28 2 4 3 2" xfId="14531"/>
    <cellStyle name="Percent 28 2 4 4" xfId="12762"/>
    <cellStyle name="Percent 28 2 5" xfId="10053"/>
    <cellStyle name="Percent 28 2 5 2" xfId="16534"/>
    <cellStyle name="Percent 28 2 6" xfId="8368"/>
    <cellStyle name="Percent 28 2 6 2" xfId="14925"/>
    <cellStyle name="Percent 28 2 7" xfId="6649"/>
    <cellStyle name="Percent 28 2 7 2" xfId="13339"/>
    <cellStyle name="Percent 28 2 8" xfId="11549"/>
    <cellStyle name="Percent 28 3" xfId="4752"/>
    <cellStyle name="Percent 28 3 2" xfId="8495"/>
    <cellStyle name="Percent 28 3 2 2" xfId="15047"/>
    <cellStyle name="Percent 28 3 3" xfId="6776"/>
    <cellStyle name="Percent 28 3 3 2" xfId="13466"/>
    <cellStyle name="Percent 28 3 4" xfId="11681"/>
    <cellStyle name="Percent 28 4" xfId="5234"/>
    <cellStyle name="Percent 28 4 2" xfId="8977"/>
    <cellStyle name="Percent 28 4 2 2" xfId="15521"/>
    <cellStyle name="Percent 28 4 3" xfId="7258"/>
    <cellStyle name="Percent 28 4 3 2" xfId="13940"/>
    <cellStyle name="Percent 28 4 4" xfId="12155"/>
    <cellStyle name="Percent 28 5" xfId="5667"/>
    <cellStyle name="Percent 28 5 2" xfId="9408"/>
    <cellStyle name="Percent 28 5 2 2" xfId="15915"/>
    <cellStyle name="Percent 28 5 3" xfId="7689"/>
    <cellStyle name="Percent 28 5 3 2" xfId="14334"/>
    <cellStyle name="Percent 28 5 4" xfId="12560"/>
    <cellStyle name="Percent 28 6" xfId="9740"/>
    <cellStyle name="Percent 28 6 2" xfId="16233"/>
    <cellStyle name="Percent 28 7" xfId="8130"/>
    <cellStyle name="Percent 28 7 2" xfId="14728"/>
    <cellStyle name="Percent 28 8" xfId="6412"/>
    <cellStyle name="Percent 28 8 2" xfId="13133"/>
    <cellStyle name="Percent 28 9" xfId="11343"/>
    <cellStyle name="Percent 29" xfId="4261"/>
    <cellStyle name="Percent 29 2" xfId="4605"/>
    <cellStyle name="Percent 29 2 2" xfId="5058"/>
    <cellStyle name="Percent 29 2 2 2" xfId="8801"/>
    <cellStyle name="Percent 29 2 2 2 2" xfId="15349"/>
    <cellStyle name="Percent 29 2 2 3" xfId="7082"/>
    <cellStyle name="Percent 29 2 2 3 2" xfId="13768"/>
    <cellStyle name="Percent 29 2 2 4" xfId="11983"/>
    <cellStyle name="Percent 29 2 3" xfId="5432"/>
    <cellStyle name="Percent 29 2 3 2" xfId="9175"/>
    <cellStyle name="Percent 29 2 3 2 2" xfId="15719"/>
    <cellStyle name="Percent 29 2 3 3" xfId="7456"/>
    <cellStyle name="Percent 29 2 3 3 2" xfId="14138"/>
    <cellStyle name="Percent 29 2 3 4" xfId="12353"/>
    <cellStyle name="Percent 29 2 4" xfId="5870"/>
    <cellStyle name="Percent 29 2 4 2" xfId="9611"/>
    <cellStyle name="Percent 29 2 4 2 2" xfId="16113"/>
    <cellStyle name="Percent 29 2 4 3" xfId="7892"/>
    <cellStyle name="Percent 29 2 4 3 2" xfId="14532"/>
    <cellStyle name="Percent 29 2 4 4" xfId="12763"/>
    <cellStyle name="Percent 29 2 5" xfId="10054"/>
    <cellStyle name="Percent 29 2 5 2" xfId="16535"/>
    <cellStyle name="Percent 29 2 6" xfId="8369"/>
    <cellStyle name="Percent 29 2 6 2" xfId="14926"/>
    <cellStyle name="Percent 29 2 7" xfId="6650"/>
    <cellStyle name="Percent 29 2 7 2" xfId="13340"/>
    <cellStyle name="Percent 29 2 8" xfId="11550"/>
    <cellStyle name="Percent 29 3" xfId="4820"/>
    <cellStyle name="Percent 29 3 2" xfId="8563"/>
    <cellStyle name="Percent 29 3 2 2" xfId="15111"/>
    <cellStyle name="Percent 29 3 3" xfId="6844"/>
    <cellStyle name="Percent 29 3 3 2" xfId="13530"/>
    <cellStyle name="Percent 29 3 4" xfId="11745"/>
    <cellStyle name="Percent 29 4" xfId="5235"/>
    <cellStyle name="Percent 29 4 2" xfId="8978"/>
    <cellStyle name="Percent 29 4 2 2" xfId="15522"/>
    <cellStyle name="Percent 29 4 3" xfId="7259"/>
    <cellStyle name="Percent 29 4 3 2" xfId="13941"/>
    <cellStyle name="Percent 29 4 4" xfId="12156"/>
    <cellStyle name="Percent 29 5" xfId="5668"/>
    <cellStyle name="Percent 29 5 2" xfId="9409"/>
    <cellStyle name="Percent 29 5 2 2" xfId="15916"/>
    <cellStyle name="Percent 29 5 3" xfId="7690"/>
    <cellStyle name="Percent 29 5 3 2" xfId="14335"/>
    <cellStyle name="Percent 29 5 4" xfId="12561"/>
    <cellStyle name="Percent 29 6" xfId="9811"/>
    <cellStyle name="Percent 29 6 2" xfId="16297"/>
    <cellStyle name="Percent 29 7" xfId="8131"/>
    <cellStyle name="Percent 29 7 2" xfId="14729"/>
    <cellStyle name="Percent 29 8" xfId="6413"/>
    <cellStyle name="Percent 29 8 2" xfId="13134"/>
    <cellStyle name="Percent 29 9" xfId="11344"/>
    <cellStyle name="Percent 3" xfId="4262"/>
    <cellStyle name="Percent 30" xfId="4447"/>
    <cellStyle name="Percent 30 2" xfId="4645"/>
    <cellStyle name="Percent 30 2 2" xfId="5059"/>
    <cellStyle name="Percent 30 2 2 2" xfId="8802"/>
    <cellStyle name="Percent 30 2 2 2 2" xfId="15350"/>
    <cellStyle name="Percent 30 2 2 3" xfId="7083"/>
    <cellStyle name="Percent 30 2 2 3 2" xfId="13769"/>
    <cellStyle name="Percent 30 2 2 4" xfId="11984"/>
    <cellStyle name="Percent 30 2 3" xfId="5472"/>
    <cellStyle name="Percent 30 2 3 2" xfId="9215"/>
    <cellStyle name="Percent 30 2 3 2 2" xfId="15759"/>
    <cellStyle name="Percent 30 2 3 3" xfId="7496"/>
    <cellStyle name="Percent 30 2 3 3 2" xfId="14178"/>
    <cellStyle name="Percent 30 2 3 4" xfId="12393"/>
    <cellStyle name="Percent 30 2 4" xfId="5910"/>
    <cellStyle name="Percent 30 2 4 2" xfId="9651"/>
    <cellStyle name="Percent 30 2 4 2 2" xfId="16153"/>
    <cellStyle name="Percent 30 2 4 3" xfId="7932"/>
    <cellStyle name="Percent 30 2 4 3 2" xfId="14572"/>
    <cellStyle name="Percent 30 2 4 4" xfId="12803"/>
    <cellStyle name="Percent 30 2 5" xfId="10055"/>
    <cellStyle name="Percent 30 2 5 2" xfId="16536"/>
    <cellStyle name="Percent 30 2 6" xfId="8409"/>
    <cellStyle name="Percent 30 2 6 2" xfId="14966"/>
    <cellStyle name="Percent 30 2 7" xfId="6690"/>
    <cellStyle name="Percent 30 2 7 2" xfId="13380"/>
    <cellStyle name="Percent 30 2 8" xfId="11590"/>
    <cellStyle name="Percent 30 3" xfId="4847"/>
    <cellStyle name="Percent 30 3 2" xfId="8590"/>
    <cellStyle name="Percent 30 3 2 2" xfId="15138"/>
    <cellStyle name="Percent 30 3 3" xfId="6871"/>
    <cellStyle name="Percent 30 3 3 2" xfId="13557"/>
    <cellStyle name="Percent 30 3 4" xfId="11772"/>
    <cellStyle name="Percent 30 4" xfId="5275"/>
    <cellStyle name="Percent 30 4 2" xfId="9018"/>
    <cellStyle name="Percent 30 4 2 2" xfId="15562"/>
    <cellStyle name="Percent 30 4 3" xfId="7299"/>
    <cellStyle name="Percent 30 4 3 2" xfId="13981"/>
    <cellStyle name="Percent 30 4 4" xfId="12196"/>
    <cellStyle name="Percent 30 5" xfId="5713"/>
    <cellStyle name="Percent 30 5 2" xfId="9454"/>
    <cellStyle name="Percent 30 5 2 2" xfId="15956"/>
    <cellStyle name="Percent 30 5 3" xfId="7735"/>
    <cellStyle name="Percent 30 5 3 2" xfId="14375"/>
    <cellStyle name="Percent 30 5 4" xfId="12606"/>
    <cellStyle name="Percent 30 6" xfId="9838"/>
    <cellStyle name="Percent 30 6 2" xfId="16324"/>
    <cellStyle name="Percent 30 7" xfId="8212"/>
    <cellStyle name="Percent 30 7 2" xfId="14769"/>
    <cellStyle name="Percent 30 8" xfId="6493"/>
    <cellStyle name="Percent 30 8 2" xfId="13183"/>
    <cellStyle name="Percent 30 9" xfId="11392"/>
    <cellStyle name="Percent 31" xfId="4655"/>
    <cellStyle name="Percent 32" xfId="4656"/>
    <cellStyle name="Percent 33" xfId="4657"/>
    <cellStyle name="Percent 34" xfId="4658"/>
    <cellStyle name="Percent 35" xfId="4659"/>
    <cellStyle name="Percent 36" xfId="4660"/>
    <cellStyle name="Percent 37" xfId="4661"/>
    <cellStyle name="Percent 38" xfId="4662"/>
    <cellStyle name="Percent 39" xfId="4669"/>
    <cellStyle name="Percent 39 2" xfId="5073"/>
    <cellStyle name="Percent 39 2 2" xfId="8816"/>
    <cellStyle name="Percent 39 2 2 2" xfId="15364"/>
    <cellStyle name="Percent 39 2 3" xfId="7097"/>
    <cellStyle name="Percent 39 2 3 2" xfId="13783"/>
    <cellStyle name="Percent 39 2 4" xfId="11998"/>
    <cellStyle name="Percent 39 3" xfId="10069"/>
    <cellStyle name="Percent 39 3 2" xfId="16550"/>
    <cellStyle name="Percent 39 4" xfId="8416"/>
    <cellStyle name="Percent 39 4 2" xfId="14968"/>
    <cellStyle name="Percent 39 5" xfId="6697"/>
    <cellStyle name="Percent 39 5 2" xfId="13387"/>
    <cellStyle name="Percent 39 6" xfId="11601"/>
    <cellStyle name="Percent 4" xfId="4263"/>
    <cellStyle name="Percent 4 10" xfId="11345"/>
    <cellStyle name="Percent 4 2" xfId="4264"/>
    <cellStyle name="Percent 4 2 2" xfId="4607"/>
    <cellStyle name="Percent 4 2 2 2" xfId="5060"/>
    <cellStyle name="Percent 4 2 2 2 2" xfId="8803"/>
    <cellStyle name="Percent 4 2 2 2 2 2" xfId="15351"/>
    <cellStyle name="Percent 4 2 2 2 3" xfId="7084"/>
    <cellStyle name="Percent 4 2 2 2 3 2" xfId="13770"/>
    <cellStyle name="Percent 4 2 2 2 4" xfId="11985"/>
    <cellStyle name="Percent 4 2 2 3" xfId="5434"/>
    <cellStyle name="Percent 4 2 2 3 2" xfId="9177"/>
    <cellStyle name="Percent 4 2 2 3 2 2" xfId="15721"/>
    <cellStyle name="Percent 4 2 2 3 3" xfId="7458"/>
    <cellStyle name="Percent 4 2 2 3 3 2" xfId="14140"/>
    <cellStyle name="Percent 4 2 2 3 4" xfId="12355"/>
    <cellStyle name="Percent 4 2 2 4" xfId="5872"/>
    <cellStyle name="Percent 4 2 2 4 2" xfId="9613"/>
    <cellStyle name="Percent 4 2 2 4 2 2" xfId="16115"/>
    <cellStyle name="Percent 4 2 2 4 3" xfId="7894"/>
    <cellStyle name="Percent 4 2 2 4 3 2" xfId="14534"/>
    <cellStyle name="Percent 4 2 2 4 4" xfId="12765"/>
    <cellStyle name="Percent 4 2 2 5" xfId="10056"/>
    <cellStyle name="Percent 4 2 2 5 2" xfId="16537"/>
    <cellStyle name="Percent 4 2 2 6" xfId="8371"/>
    <cellStyle name="Percent 4 2 2 6 2" xfId="14928"/>
    <cellStyle name="Percent 4 2 2 7" xfId="6652"/>
    <cellStyle name="Percent 4 2 2 7 2" xfId="13342"/>
    <cellStyle name="Percent 4 2 2 8" xfId="11552"/>
    <cellStyle name="Percent 4 2 3" xfId="4813"/>
    <cellStyle name="Percent 4 2 3 2" xfId="8556"/>
    <cellStyle name="Percent 4 2 3 2 2" xfId="15108"/>
    <cellStyle name="Percent 4 2 3 3" xfId="6837"/>
    <cellStyle name="Percent 4 2 3 3 2" xfId="13527"/>
    <cellStyle name="Percent 4 2 3 4" xfId="11742"/>
    <cellStyle name="Percent 4 2 4" xfId="5237"/>
    <cellStyle name="Percent 4 2 4 2" xfId="8980"/>
    <cellStyle name="Percent 4 2 4 2 2" xfId="15524"/>
    <cellStyle name="Percent 4 2 4 3" xfId="7261"/>
    <cellStyle name="Percent 4 2 4 3 2" xfId="13943"/>
    <cellStyle name="Percent 4 2 4 4" xfId="12158"/>
    <cellStyle name="Percent 4 2 5" xfId="5670"/>
    <cellStyle name="Percent 4 2 5 2" xfId="9411"/>
    <cellStyle name="Percent 4 2 5 2 2" xfId="15918"/>
    <cellStyle name="Percent 4 2 5 3" xfId="7692"/>
    <cellStyle name="Percent 4 2 5 3 2" xfId="14337"/>
    <cellStyle name="Percent 4 2 5 4" xfId="12563"/>
    <cellStyle name="Percent 4 2 6" xfId="9803"/>
    <cellStyle name="Percent 4 2 6 2" xfId="16294"/>
    <cellStyle name="Percent 4 2 7" xfId="8133"/>
    <cellStyle name="Percent 4 2 7 2" xfId="14731"/>
    <cellStyle name="Percent 4 2 8" xfId="6415"/>
    <cellStyle name="Percent 4 2 8 2" xfId="13136"/>
    <cellStyle name="Percent 4 2 9" xfId="11346"/>
    <cellStyle name="Percent 4 3" xfId="4606"/>
    <cellStyle name="Percent 4 3 2" xfId="5061"/>
    <cellStyle name="Percent 4 3 2 2" xfId="8804"/>
    <cellStyle name="Percent 4 3 2 2 2" xfId="15352"/>
    <cellStyle name="Percent 4 3 2 3" xfId="7085"/>
    <cellStyle name="Percent 4 3 2 3 2" xfId="13771"/>
    <cellStyle name="Percent 4 3 2 4" xfId="11986"/>
    <cellStyle name="Percent 4 3 3" xfId="5433"/>
    <cellStyle name="Percent 4 3 3 2" xfId="9176"/>
    <cellStyle name="Percent 4 3 3 2 2" xfId="15720"/>
    <cellStyle name="Percent 4 3 3 3" xfId="7457"/>
    <cellStyle name="Percent 4 3 3 3 2" xfId="14139"/>
    <cellStyle name="Percent 4 3 3 4" xfId="12354"/>
    <cellStyle name="Percent 4 3 4" xfId="5871"/>
    <cellStyle name="Percent 4 3 4 2" xfId="9612"/>
    <cellStyle name="Percent 4 3 4 2 2" xfId="16114"/>
    <cellStyle name="Percent 4 3 4 3" xfId="7893"/>
    <cellStyle name="Percent 4 3 4 3 2" xfId="14533"/>
    <cellStyle name="Percent 4 3 4 4" xfId="12764"/>
    <cellStyle name="Percent 4 3 5" xfId="10057"/>
    <cellStyle name="Percent 4 3 5 2" xfId="16538"/>
    <cellStyle name="Percent 4 3 6" xfId="8370"/>
    <cellStyle name="Percent 4 3 6 2" xfId="14927"/>
    <cellStyle name="Percent 4 3 7" xfId="6651"/>
    <cellStyle name="Percent 4 3 7 2" xfId="13341"/>
    <cellStyle name="Percent 4 3 8" xfId="11551"/>
    <cellStyle name="Percent 4 4" xfId="4731"/>
    <cellStyle name="Percent 4 4 2" xfId="8475"/>
    <cellStyle name="Percent 4 4 2 2" xfId="15027"/>
    <cellStyle name="Percent 4 4 3" xfId="6756"/>
    <cellStyle name="Percent 4 4 3 2" xfId="13446"/>
    <cellStyle name="Percent 4 4 4" xfId="11660"/>
    <cellStyle name="Percent 4 5" xfId="5236"/>
    <cellStyle name="Percent 4 5 2" xfId="8979"/>
    <cellStyle name="Percent 4 5 2 2" xfId="15523"/>
    <cellStyle name="Percent 4 5 3" xfId="7260"/>
    <cellStyle name="Percent 4 5 3 2" xfId="13942"/>
    <cellStyle name="Percent 4 5 4" xfId="12157"/>
    <cellStyle name="Percent 4 6" xfId="5669"/>
    <cellStyle name="Percent 4 6 2" xfId="9410"/>
    <cellStyle name="Percent 4 6 2 2" xfId="15917"/>
    <cellStyle name="Percent 4 6 3" xfId="7691"/>
    <cellStyle name="Percent 4 6 3 2" xfId="14336"/>
    <cellStyle name="Percent 4 6 4" xfId="12562"/>
    <cellStyle name="Percent 4 7" xfId="9719"/>
    <cellStyle name="Percent 4 7 2" xfId="16212"/>
    <cellStyle name="Percent 4 8" xfId="8132"/>
    <cellStyle name="Percent 4 8 2" xfId="14730"/>
    <cellStyle name="Percent 4 9" xfId="6414"/>
    <cellStyle name="Percent 4 9 2" xfId="13135"/>
    <cellStyle name="Percent 5" xfId="4265"/>
    <cellStyle name="Percent 5 10" xfId="11347"/>
    <cellStyle name="Percent 5 2" xfId="4266"/>
    <cellStyle name="Percent 5 2 2" xfId="4609"/>
    <cellStyle name="Percent 5 2 2 2" xfId="5062"/>
    <cellStyle name="Percent 5 2 2 2 2" xfId="8805"/>
    <cellStyle name="Percent 5 2 2 2 2 2" xfId="15353"/>
    <cellStyle name="Percent 5 2 2 2 3" xfId="7086"/>
    <cellStyle name="Percent 5 2 2 2 3 2" xfId="13772"/>
    <cellStyle name="Percent 5 2 2 2 4" xfId="11987"/>
    <cellStyle name="Percent 5 2 2 3" xfId="5436"/>
    <cellStyle name="Percent 5 2 2 3 2" xfId="9179"/>
    <cellStyle name="Percent 5 2 2 3 2 2" xfId="15723"/>
    <cellStyle name="Percent 5 2 2 3 3" xfId="7460"/>
    <cellStyle name="Percent 5 2 2 3 3 2" xfId="14142"/>
    <cellStyle name="Percent 5 2 2 3 4" xfId="12357"/>
    <cellStyle name="Percent 5 2 2 4" xfId="5874"/>
    <cellStyle name="Percent 5 2 2 4 2" xfId="9615"/>
    <cellStyle name="Percent 5 2 2 4 2 2" xfId="16117"/>
    <cellStyle name="Percent 5 2 2 4 3" xfId="7896"/>
    <cellStyle name="Percent 5 2 2 4 3 2" xfId="14536"/>
    <cellStyle name="Percent 5 2 2 4 4" xfId="12767"/>
    <cellStyle name="Percent 5 2 2 5" xfId="10058"/>
    <cellStyle name="Percent 5 2 2 5 2" xfId="16539"/>
    <cellStyle name="Percent 5 2 2 6" xfId="8373"/>
    <cellStyle name="Percent 5 2 2 6 2" xfId="14930"/>
    <cellStyle name="Percent 5 2 2 7" xfId="6654"/>
    <cellStyle name="Percent 5 2 2 7 2" xfId="13344"/>
    <cellStyle name="Percent 5 2 2 8" xfId="11554"/>
    <cellStyle name="Percent 5 2 3" xfId="4812"/>
    <cellStyle name="Percent 5 2 3 2" xfId="8555"/>
    <cellStyle name="Percent 5 2 3 2 2" xfId="15107"/>
    <cellStyle name="Percent 5 2 3 3" xfId="6836"/>
    <cellStyle name="Percent 5 2 3 3 2" xfId="13526"/>
    <cellStyle name="Percent 5 2 3 4" xfId="11741"/>
    <cellStyle name="Percent 5 2 4" xfId="5239"/>
    <cellStyle name="Percent 5 2 4 2" xfId="8982"/>
    <cellStyle name="Percent 5 2 4 2 2" xfId="15526"/>
    <cellStyle name="Percent 5 2 4 3" xfId="7263"/>
    <cellStyle name="Percent 5 2 4 3 2" xfId="13945"/>
    <cellStyle name="Percent 5 2 4 4" xfId="12160"/>
    <cellStyle name="Percent 5 2 5" xfId="5672"/>
    <cellStyle name="Percent 5 2 5 2" xfId="9413"/>
    <cellStyle name="Percent 5 2 5 2 2" xfId="15920"/>
    <cellStyle name="Percent 5 2 5 3" xfId="7694"/>
    <cellStyle name="Percent 5 2 5 3 2" xfId="14339"/>
    <cellStyle name="Percent 5 2 5 4" xfId="12565"/>
    <cellStyle name="Percent 5 2 6" xfId="9802"/>
    <cellStyle name="Percent 5 2 6 2" xfId="16293"/>
    <cellStyle name="Percent 5 2 7" xfId="8135"/>
    <cellStyle name="Percent 5 2 7 2" xfId="14733"/>
    <cellStyle name="Percent 5 2 8" xfId="6417"/>
    <cellStyle name="Percent 5 2 8 2" xfId="13138"/>
    <cellStyle name="Percent 5 2 9" xfId="11348"/>
    <cellStyle name="Percent 5 3" xfId="4608"/>
    <cellStyle name="Percent 5 3 2" xfId="5063"/>
    <cellStyle name="Percent 5 3 2 2" xfId="8806"/>
    <cellStyle name="Percent 5 3 2 2 2" xfId="15354"/>
    <cellStyle name="Percent 5 3 2 3" xfId="7087"/>
    <cellStyle name="Percent 5 3 2 3 2" xfId="13773"/>
    <cellStyle name="Percent 5 3 2 4" xfId="11988"/>
    <cellStyle name="Percent 5 3 3" xfId="5435"/>
    <cellStyle name="Percent 5 3 3 2" xfId="9178"/>
    <cellStyle name="Percent 5 3 3 2 2" xfId="15722"/>
    <cellStyle name="Percent 5 3 3 3" xfId="7459"/>
    <cellStyle name="Percent 5 3 3 3 2" xfId="14141"/>
    <cellStyle name="Percent 5 3 3 4" xfId="12356"/>
    <cellStyle name="Percent 5 3 4" xfId="5873"/>
    <cellStyle name="Percent 5 3 4 2" xfId="9614"/>
    <cellStyle name="Percent 5 3 4 2 2" xfId="16116"/>
    <cellStyle name="Percent 5 3 4 3" xfId="7895"/>
    <cellStyle name="Percent 5 3 4 3 2" xfId="14535"/>
    <cellStyle name="Percent 5 3 4 4" xfId="12766"/>
    <cellStyle name="Percent 5 3 5" xfId="10059"/>
    <cellStyle name="Percent 5 3 5 2" xfId="16540"/>
    <cellStyle name="Percent 5 3 6" xfId="8372"/>
    <cellStyle name="Percent 5 3 6 2" xfId="14929"/>
    <cellStyle name="Percent 5 3 7" xfId="6653"/>
    <cellStyle name="Percent 5 3 7 2" xfId="13343"/>
    <cellStyle name="Percent 5 3 8" xfId="11553"/>
    <cellStyle name="Percent 5 4" xfId="4730"/>
    <cellStyle name="Percent 5 4 2" xfId="8474"/>
    <cellStyle name="Percent 5 4 2 2" xfId="15026"/>
    <cellStyle name="Percent 5 4 3" xfId="6755"/>
    <cellStyle name="Percent 5 4 3 2" xfId="13445"/>
    <cellStyle name="Percent 5 4 4" xfId="11659"/>
    <cellStyle name="Percent 5 5" xfId="5238"/>
    <cellStyle name="Percent 5 5 2" xfId="8981"/>
    <cellStyle name="Percent 5 5 2 2" xfId="15525"/>
    <cellStyle name="Percent 5 5 3" xfId="7262"/>
    <cellStyle name="Percent 5 5 3 2" xfId="13944"/>
    <cellStyle name="Percent 5 5 4" xfId="12159"/>
    <cellStyle name="Percent 5 6" xfId="5671"/>
    <cellStyle name="Percent 5 6 2" xfId="9412"/>
    <cellStyle name="Percent 5 6 2 2" xfId="15919"/>
    <cellStyle name="Percent 5 6 3" xfId="7693"/>
    <cellStyle name="Percent 5 6 3 2" xfId="14338"/>
    <cellStyle name="Percent 5 6 4" xfId="12564"/>
    <cellStyle name="Percent 5 7" xfId="9718"/>
    <cellStyle name="Percent 5 7 2" xfId="16211"/>
    <cellStyle name="Percent 5 8" xfId="8134"/>
    <cellStyle name="Percent 5 8 2" xfId="14732"/>
    <cellStyle name="Percent 5 9" xfId="6416"/>
    <cellStyle name="Percent 5 9 2" xfId="13137"/>
    <cellStyle name="Percent 6" xfId="4267"/>
    <cellStyle name="Percent 6 10" xfId="11349"/>
    <cellStyle name="Percent 6 2" xfId="4268"/>
    <cellStyle name="Percent 6 2 2" xfId="4611"/>
    <cellStyle name="Percent 6 2 2 2" xfId="5064"/>
    <cellStyle name="Percent 6 2 2 2 2" xfId="8807"/>
    <cellStyle name="Percent 6 2 2 2 2 2" xfId="15355"/>
    <cellStyle name="Percent 6 2 2 2 3" xfId="7088"/>
    <cellStyle name="Percent 6 2 2 2 3 2" xfId="13774"/>
    <cellStyle name="Percent 6 2 2 2 4" xfId="11989"/>
    <cellStyle name="Percent 6 2 2 3" xfId="5438"/>
    <cellStyle name="Percent 6 2 2 3 2" xfId="9181"/>
    <cellStyle name="Percent 6 2 2 3 2 2" xfId="15725"/>
    <cellStyle name="Percent 6 2 2 3 3" xfId="7462"/>
    <cellStyle name="Percent 6 2 2 3 3 2" xfId="14144"/>
    <cellStyle name="Percent 6 2 2 3 4" xfId="12359"/>
    <cellStyle name="Percent 6 2 2 4" xfId="5876"/>
    <cellStyle name="Percent 6 2 2 4 2" xfId="9617"/>
    <cellStyle name="Percent 6 2 2 4 2 2" xfId="16119"/>
    <cellStyle name="Percent 6 2 2 4 3" xfId="7898"/>
    <cellStyle name="Percent 6 2 2 4 3 2" xfId="14538"/>
    <cellStyle name="Percent 6 2 2 4 4" xfId="12769"/>
    <cellStyle name="Percent 6 2 2 5" xfId="10060"/>
    <cellStyle name="Percent 6 2 2 5 2" xfId="16541"/>
    <cellStyle name="Percent 6 2 2 6" xfId="8375"/>
    <cellStyle name="Percent 6 2 2 6 2" xfId="14932"/>
    <cellStyle name="Percent 6 2 2 7" xfId="6656"/>
    <cellStyle name="Percent 6 2 2 7 2" xfId="13346"/>
    <cellStyle name="Percent 6 2 2 8" xfId="11556"/>
    <cellStyle name="Percent 6 2 3" xfId="4783"/>
    <cellStyle name="Percent 6 2 3 2" xfId="8526"/>
    <cellStyle name="Percent 6 2 3 2 2" xfId="15078"/>
    <cellStyle name="Percent 6 2 3 3" xfId="6807"/>
    <cellStyle name="Percent 6 2 3 3 2" xfId="13497"/>
    <cellStyle name="Percent 6 2 3 4" xfId="11712"/>
    <cellStyle name="Percent 6 2 4" xfId="5241"/>
    <cellStyle name="Percent 6 2 4 2" xfId="8984"/>
    <cellStyle name="Percent 6 2 4 2 2" xfId="15528"/>
    <cellStyle name="Percent 6 2 4 3" xfId="7265"/>
    <cellStyle name="Percent 6 2 4 3 2" xfId="13947"/>
    <cellStyle name="Percent 6 2 4 4" xfId="12162"/>
    <cellStyle name="Percent 6 2 5" xfId="5674"/>
    <cellStyle name="Percent 6 2 5 2" xfId="9415"/>
    <cellStyle name="Percent 6 2 5 2 2" xfId="15922"/>
    <cellStyle name="Percent 6 2 5 3" xfId="7696"/>
    <cellStyle name="Percent 6 2 5 3 2" xfId="14341"/>
    <cellStyle name="Percent 6 2 5 4" xfId="12567"/>
    <cellStyle name="Percent 6 2 6" xfId="9773"/>
    <cellStyle name="Percent 6 2 6 2" xfId="16264"/>
    <cellStyle name="Percent 6 2 7" xfId="8137"/>
    <cellStyle name="Percent 6 2 7 2" xfId="14735"/>
    <cellStyle name="Percent 6 2 8" xfId="6419"/>
    <cellStyle name="Percent 6 2 8 2" xfId="13140"/>
    <cellStyle name="Percent 6 2 9" xfId="11350"/>
    <cellStyle name="Percent 6 3" xfId="4610"/>
    <cellStyle name="Percent 6 3 2" xfId="5065"/>
    <cellStyle name="Percent 6 3 2 2" xfId="8808"/>
    <cellStyle name="Percent 6 3 2 2 2" xfId="15356"/>
    <cellStyle name="Percent 6 3 2 3" xfId="7089"/>
    <cellStyle name="Percent 6 3 2 3 2" xfId="13775"/>
    <cellStyle name="Percent 6 3 2 4" xfId="11990"/>
    <cellStyle name="Percent 6 3 3" xfId="5437"/>
    <cellStyle name="Percent 6 3 3 2" xfId="9180"/>
    <cellStyle name="Percent 6 3 3 2 2" xfId="15724"/>
    <cellStyle name="Percent 6 3 3 3" xfId="7461"/>
    <cellStyle name="Percent 6 3 3 3 2" xfId="14143"/>
    <cellStyle name="Percent 6 3 3 4" xfId="12358"/>
    <cellStyle name="Percent 6 3 4" xfId="5875"/>
    <cellStyle name="Percent 6 3 4 2" xfId="9616"/>
    <cellStyle name="Percent 6 3 4 2 2" xfId="16118"/>
    <cellStyle name="Percent 6 3 4 3" xfId="7897"/>
    <cellStyle name="Percent 6 3 4 3 2" xfId="14537"/>
    <cellStyle name="Percent 6 3 4 4" xfId="12768"/>
    <cellStyle name="Percent 6 3 5" xfId="10061"/>
    <cellStyle name="Percent 6 3 5 2" xfId="16542"/>
    <cellStyle name="Percent 6 3 6" xfId="8374"/>
    <cellStyle name="Percent 6 3 6 2" xfId="14931"/>
    <cellStyle name="Percent 6 3 7" xfId="6655"/>
    <cellStyle name="Percent 6 3 7 2" xfId="13345"/>
    <cellStyle name="Percent 6 3 8" xfId="11555"/>
    <cellStyle name="Percent 6 4" xfId="4701"/>
    <cellStyle name="Percent 6 4 2" xfId="8445"/>
    <cellStyle name="Percent 6 4 2 2" xfId="14997"/>
    <cellStyle name="Percent 6 4 3" xfId="6726"/>
    <cellStyle name="Percent 6 4 3 2" xfId="13416"/>
    <cellStyle name="Percent 6 4 4" xfId="11630"/>
    <cellStyle name="Percent 6 5" xfId="5240"/>
    <cellStyle name="Percent 6 5 2" xfId="8983"/>
    <cellStyle name="Percent 6 5 2 2" xfId="15527"/>
    <cellStyle name="Percent 6 5 3" xfId="7264"/>
    <cellStyle name="Percent 6 5 3 2" xfId="13946"/>
    <cellStyle name="Percent 6 5 4" xfId="12161"/>
    <cellStyle name="Percent 6 6" xfId="5673"/>
    <cellStyle name="Percent 6 6 2" xfId="9414"/>
    <cellStyle name="Percent 6 6 2 2" xfId="15921"/>
    <cellStyle name="Percent 6 6 3" xfId="7695"/>
    <cellStyle name="Percent 6 6 3 2" xfId="14340"/>
    <cellStyle name="Percent 6 6 4" xfId="12566"/>
    <cellStyle name="Percent 6 7" xfId="9689"/>
    <cellStyle name="Percent 6 7 2" xfId="16182"/>
    <cellStyle name="Percent 6 8" xfId="8136"/>
    <cellStyle name="Percent 6 8 2" xfId="14734"/>
    <cellStyle name="Percent 6 9" xfId="6418"/>
    <cellStyle name="Percent 6 9 2" xfId="13139"/>
    <cellStyle name="Percent 7" xfId="4269"/>
    <cellStyle name="Percent 7 10" xfId="11351"/>
    <cellStyle name="Percent 7 2" xfId="4270"/>
    <cellStyle name="Percent 7 2 2" xfId="4613"/>
    <cellStyle name="Percent 7 2 2 2" xfId="5066"/>
    <cellStyle name="Percent 7 2 2 2 2" xfId="8809"/>
    <cellStyle name="Percent 7 2 2 2 2 2" xfId="15357"/>
    <cellStyle name="Percent 7 2 2 2 3" xfId="7090"/>
    <cellStyle name="Percent 7 2 2 2 3 2" xfId="13776"/>
    <cellStyle name="Percent 7 2 2 2 4" xfId="11991"/>
    <cellStyle name="Percent 7 2 2 3" xfId="5440"/>
    <cellStyle name="Percent 7 2 2 3 2" xfId="9183"/>
    <cellStyle name="Percent 7 2 2 3 2 2" xfId="15727"/>
    <cellStyle name="Percent 7 2 2 3 3" xfId="7464"/>
    <cellStyle name="Percent 7 2 2 3 3 2" xfId="14146"/>
    <cellStyle name="Percent 7 2 2 3 4" xfId="12361"/>
    <cellStyle name="Percent 7 2 2 4" xfId="5878"/>
    <cellStyle name="Percent 7 2 2 4 2" xfId="9619"/>
    <cellStyle name="Percent 7 2 2 4 2 2" xfId="16121"/>
    <cellStyle name="Percent 7 2 2 4 3" xfId="7900"/>
    <cellStyle name="Percent 7 2 2 4 3 2" xfId="14540"/>
    <cellStyle name="Percent 7 2 2 4 4" xfId="12771"/>
    <cellStyle name="Percent 7 2 2 5" xfId="10062"/>
    <cellStyle name="Percent 7 2 2 5 2" xfId="16543"/>
    <cellStyle name="Percent 7 2 2 6" xfId="8377"/>
    <cellStyle name="Percent 7 2 2 6 2" xfId="14934"/>
    <cellStyle name="Percent 7 2 2 7" xfId="6658"/>
    <cellStyle name="Percent 7 2 2 7 2" xfId="13348"/>
    <cellStyle name="Percent 7 2 2 8" xfId="11558"/>
    <cellStyle name="Percent 7 2 3" xfId="4786"/>
    <cellStyle name="Percent 7 2 3 2" xfId="8529"/>
    <cellStyle name="Percent 7 2 3 2 2" xfId="15081"/>
    <cellStyle name="Percent 7 2 3 3" xfId="6810"/>
    <cellStyle name="Percent 7 2 3 3 2" xfId="13500"/>
    <cellStyle name="Percent 7 2 3 4" xfId="11715"/>
    <cellStyle name="Percent 7 2 4" xfId="5243"/>
    <cellStyle name="Percent 7 2 4 2" xfId="8986"/>
    <cellStyle name="Percent 7 2 4 2 2" xfId="15530"/>
    <cellStyle name="Percent 7 2 4 3" xfId="7267"/>
    <cellStyle name="Percent 7 2 4 3 2" xfId="13949"/>
    <cellStyle name="Percent 7 2 4 4" xfId="12164"/>
    <cellStyle name="Percent 7 2 5" xfId="5676"/>
    <cellStyle name="Percent 7 2 5 2" xfId="9417"/>
    <cellStyle name="Percent 7 2 5 2 2" xfId="15924"/>
    <cellStyle name="Percent 7 2 5 3" xfId="7698"/>
    <cellStyle name="Percent 7 2 5 3 2" xfId="14343"/>
    <cellStyle name="Percent 7 2 5 4" xfId="12569"/>
    <cellStyle name="Percent 7 2 6" xfId="9776"/>
    <cellStyle name="Percent 7 2 6 2" xfId="16267"/>
    <cellStyle name="Percent 7 2 7" xfId="8139"/>
    <cellStyle name="Percent 7 2 7 2" xfId="14737"/>
    <cellStyle name="Percent 7 2 8" xfId="6421"/>
    <cellStyle name="Percent 7 2 8 2" xfId="13142"/>
    <cellStyle name="Percent 7 2 9" xfId="11352"/>
    <cellStyle name="Percent 7 3" xfId="4612"/>
    <cellStyle name="Percent 7 3 2" xfId="5067"/>
    <cellStyle name="Percent 7 3 2 2" xfId="8810"/>
    <cellStyle name="Percent 7 3 2 2 2" xfId="15358"/>
    <cellStyle name="Percent 7 3 2 3" xfId="7091"/>
    <cellStyle name="Percent 7 3 2 3 2" xfId="13777"/>
    <cellStyle name="Percent 7 3 2 4" xfId="11992"/>
    <cellStyle name="Percent 7 3 3" xfId="5439"/>
    <cellStyle name="Percent 7 3 3 2" xfId="9182"/>
    <cellStyle name="Percent 7 3 3 2 2" xfId="15726"/>
    <cellStyle name="Percent 7 3 3 3" xfId="7463"/>
    <cellStyle name="Percent 7 3 3 3 2" xfId="14145"/>
    <cellStyle name="Percent 7 3 3 4" xfId="12360"/>
    <cellStyle name="Percent 7 3 4" xfId="5877"/>
    <cellStyle name="Percent 7 3 4 2" xfId="9618"/>
    <cellStyle name="Percent 7 3 4 2 2" xfId="16120"/>
    <cellStyle name="Percent 7 3 4 3" xfId="7899"/>
    <cellStyle name="Percent 7 3 4 3 2" xfId="14539"/>
    <cellStyle name="Percent 7 3 4 4" xfId="12770"/>
    <cellStyle name="Percent 7 3 5" xfId="10063"/>
    <cellStyle name="Percent 7 3 5 2" xfId="16544"/>
    <cellStyle name="Percent 7 3 6" xfId="8376"/>
    <cellStyle name="Percent 7 3 6 2" xfId="14933"/>
    <cellStyle name="Percent 7 3 7" xfId="6657"/>
    <cellStyle name="Percent 7 3 7 2" xfId="13347"/>
    <cellStyle name="Percent 7 3 8" xfId="11557"/>
    <cellStyle name="Percent 7 4" xfId="4704"/>
    <cellStyle name="Percent 7 4 2" xfId="8448"/>
    <cellStyle name="Percent 7 4 2 2" xfId="15000"/>
    <cellStyle name="Percent 7 4 3" xfId="6729"/>
    <cellStyle name="Percent 7 4 3 2" xfId="13419"/>
    <cellStyle name="Percent 7 4 4" xfId="11633"/>
    <cellStyle name="Percent 7 5" xfId="5242"/>
    <cellStyle name="Percent 7 5 2" xfId="8985"/>
    <cellStyle name="Percent 7 5 2 2" xfId="15529"/>
    <cellStyle name="Percent 7 5 3" xfId="7266"/>
    <cellStyle name="Percent 7 5 3 2" xfId="13948"/>
    <cellStyle name="Percent 7 5 4" xfId="12163"/>
    <cellStyle name="Percent 7 6" xfId="5675"/>
    <cellStyle name="Percent 7 6 2" xfId="9416"/>
    <cellStyle name="Percent 7 6 2 2" xfId="15923"/>
    <cellStyle name="Percent 7 6 3" xfId="7697"/>
    <cellStyle name="Percent 7 6 3 2" xfId="14342"/>
    <cellStyle name="Percent 7 6 4" xfId="12568"/>
    <cellStyle name="Percent 7 7" xfId="9692"/>
    <cellStyle name="Percent 7 7 2" xfId="16185"/>
    <cellStyle name="Percent 7 8" xfId="8138"/>
    <cellStyle name="Percent 7 8 2" xfId="14736"/>
    <cellStyle name="Percent 7 9" xfId="6420"/>
    <cellStyle name="Percent 7 9 2" xfId="13141"/>
    <cellStyle name="Percent 8" xfId="4271"/>
    <cellStyle name="Percent 8 10" xfId="11353"/>
    <cellStyle name="Percent 8 2" xfId="4272"/>
    <cellStyle name="Percent 8 2 2" xfId="4615"/>
    <cellStyle name="Percent 8 2 2 2" xfId="5068"/>
    <cellStyle name="Percent 8 2 2 2 2" xfId="8811"/>
    <cellStyle name="Percent 8 2 2 2 2 2" xfId="15359"/>
    <cellStyle name="Percent 8 2 2 2 3" xfId="7092"/>
    <cellStyle name="Percent 8 2 2 2 3 2" xfId="13778"/>
    <cellStyle name="Percent 8 2 2 2 4" xfId="11993"/>
    <cellStyle name="Percent 8 2 2 3" xfId="5442"/>
    <cellStyle name="Percent 8 2 2 3 2" xfId="9185"/>
    <cellStyle name="Percent 8 2 2 3 2 2" xfId="15729"/>
    <cellStyle name="Percent 8 2 2 3 3" xfId="7466"/>
    <cellStyle name="Percent 8 2 2 3 3 2" xfId="14148"/>
    <cellStyle name="Percent 8 2 2 3 4" xfId="12363"/>
    <cellStyle name="Percent 8 2 2 4" xfId="5880"/>
    <cellStyle name="Percent 8 2 2 4 2" xfId="9621"/>
    <cellStyle name="Percent 8 2 2 4 2 2" xfId="16123"/>
    <cellStyle name="Percent 8 2 2 4 3" xfId="7902"/>
    <cellStyle name="Percent 8 2 2 4 3 2" xfId="14542"/>
    <cellStyle name="Percent 8 2 2 4 4" xfId="12773"/>
    <cellStyle name="Percent 8 2 2 5" xfId="10064"/>
    <cellStyle name="Percent 8 2 2 5 2" xfId="16545"/>
    <cellStyle name="Percent 8 2 2 6" xfId="8379"/>
    <cellStyle name="Percent 8 2 2 6 2" xfId="14936"/>
    <cellStyle name="Percent 8 2 2 7" xfId="6660"/>
    <cellStyle name="Percent 8 2 2 7 2" xfId="13350"/>
    <cellStyle name="Percent 8 2 2 8" xfId="11560"/>
    <cellStyle name="Percent 8 2 3" xfId="4788"/>
    <cellStyle name="Percent 8 2 3 2" xfId="8531"/>
    <cellStyle name="Percent 8 2 3 2 2" xfId="15083"/>
    <cellStyle name="Percent 8 2 3 3" xfId="6812"/>
    <cellStyle name="Percent 8 2 3 3 2" xfId="13502"/>
    <cellStyle name="Percent 8 2 3 4" xfId="11717"/>
    <cellStyle name="Percent 8 2 4" xfId="5245"/>
    <cellStyle name="Percent 8 2 4 2" xfId="8988"/>
    <cellStyle name="Percent 8 2 4 2 2" xfId="15532"/>
    <cellStyle name="Percent 8 2 4 3" xfId="7269"/>
    <cellStyle name="Percent 8 2 4 3 2" xfId="13951"/>
    <cellStyle name="Percent 8 2 4 4" xfId="12166"/>
    <cellStyle name="Percent 8 2 5" xfId="5678"/>
    <cellStyle name="Percent 8 2 5 2" xfId="9419"/>
    <cellStyle name="Percent 8 2 5 2 2" xfId="15926"/>
    <cellStyle name="Percent 8 2 5 3" xfId="7700"/>
    <cellStyle name="Percent 8 2 5 3 2" xfId="14345"/>
    <cellStyle name="Percent 8 2 5 4" xfId="12571"/>
    <cellStyle name="Percent 8 2 6" xfId="9778"/>
    <cellStyle name="Percent 8 2 6 2" xfId="16269"/>
    <cellStyle name="Percent 8 2 7" xfId="8141"/>
    <cellStyle name="Percent 8 2 7 2" xfId="14739"/>
    <cellStyle name="Percent 8 2 8" xfId="6423"/>
    <cellStyle name="Percent 8 2 8 2" xfId="13144"/>
    <cellStyle name="Percent 8 2 9" xfId="11354"/>
    <cellStyle name="Percent 8 3" xfId="4614"/>
    <cellStyle name="Percent 8 3 2" xfId="5069"/>
    <cellStyle name="Percent 8 3 2 2" xfId="8812"/>
    <cellStyle name="Percent 8 3 2 2 2" xfId="15360"/>
    <cellStyle name="Percent 8 3 2 3" xfId="7093"/>
    <cellStyle name="Percent 8 3 2 3 2" xfId="13779"/>
    <cellStyle name="Percent 8 3 2 4" xfId="11994"/>
    <cellStyle name="Percent 8 3 3" xfId="5441"/>
    <cellStyle name="Percent 8 3 3 2" xfId="9184"/>
    <cellStyle name="Percent 8 3 3 2 2" xfId="15728"/>
    <cellStyle name="Percent 8 3 3 3" xfId="7465"/>
    <cellStyle name="Percent 8 3 3 3 2" xfId="14147"/>
    <cellStyle name="Percent 8 3 3 4" xfId="12362"/>
    <cellStyle name="Percent 8 3 4" xfId="5879"/>
    <cellStyle name="Percent 8 3 4 2" xfId="9620"/>
    <cellStyle name="Percent 8 3 4 2 2" xfId="16122"/>
    <cellStyle name="Percent 8 3 4 3" xfId="7901"/>
    <cellStyle name="Percent 8 3 4 3 2" xfId="14541"/>
    <cellStyle name="Percent 8 3 4 4" xfId="12772"/>
    <cellStyle name="Percent 8 3 5" xfId="10065"/>
    <cellStyle name="Percent 8 3 5 2" xfId="16546"/>
    <cellStyle name="Percent 8 3 6" xfId="8378"/>
    <cellStyle name="Percent 8 3 6 2" xfId="14935"/>
    <cellStyle name="Percent 8 3 7" xfId="6659"/>
    <cellStyle name="Percent 8 3 7 2" xfId="13349"/>
    <cellStyle name="Percent 8 3 8" xfId="11559"/>
    <cellStyle name="Percent 8 4" xfId="4706"/>
    <cellStyle name="Percent 8 4 2" xfId="8450"/>
    <cellStyle name="Percent 8 4 2 2" xfId="15002"/>
    <cellStyle name="Percent 8 4 3" xfId="6731"/>
    <cellStyle name="Percent 8 4 3 2" xfId="13421"/>
    <cellStyle name="Percent 8 4 4" xfId="11635"/>
    <cellStyle name="Percent 8 5" xfId="5244"/>
    <cellStyle name="Percent 8 5 2" xfId="8987"/>
    <cellStyle name="Percent 8 5 2 2" xfId="15531"/>
    <cellStyle name="Percent 8 5 3" xfId="7268"/>
    <cellStyle name="Percent 8 5 3 2" xfId="13950"/>
    <cellStyle name="Percent 8 5 4" xfId="12165"/>
    <cellStyle name="Percent 8 6" xfId="5677"/>
    <cellStyle name="Percent 8 6 2" xfId="9418"/>
    <cellStyle name="Percent 8 6 2 2" xfId="15925"/>
    <cellStyle name="Percent 8 6 3" xfId="7699"/>
    <cellStyle name="Percent 8 6 3 2" xfId="14344"/>
    <cellStyle name="Percent 8 6 4" xfId="12570"/>
    <cellStyle name="Percent 8 7" xfId="9694"/>
    <cellStyle name="Percent 8 7 2" xfId="16187"/>
    <cellStyle name="Percent 8 8" xfId="8140"/>
    <cellStyle name="Percent 8 8 2" xfId="14738"/>
    <cellStyle name="Percent 8 9" xfId="6422"/>
    <cellStyle name="Percent 8 9 2" xfId="13143"/>
    <cellStyle name="Percent 9" xfId="4273"/>
    <cellStyle name="Percent 9 10" xfId="11355"/>
    <cellStyle name="Percent 9 2" xfId="4274"/>
    <cellStyle name="Percent 9 2 2" xfId="4617"/>
    <cellStyle name="Percent 9 2 2 2" xfId="5070"/>
    <cellStyle name="Percent 9 2 2 2 2" xfId="8813"/>
    <cellStyle name="Percent 9 2 2 2 2 2" xfId="15361"/>
    <cellStyle name="Percent 9 2 2 2 3" xfId="7094"/>
    <cellStyle name="Percent 9 2 2 2 3 2" xfId="13780"/>
    <cellStyle name="Percent 9 2 2 2 4" xfId="11995"/>
    <cellStyle name="Percent 9 2 2 3" xfId="5444"/>
    <cellStyle name="Percent 9 2 2 3 2" xfId="9187"/>
    <cellStyle name="Percent 9 2 2 3 2 2" xfId="15731"/>
    <cellStyle name="Percent 9 2 2 3 3" xfId="7468"/>
    <cellStyle name="Percent 9 2 2 3 3 2" xfId="14150"/>
    <cellStyle name="Percent 9 2 2 3 4" xfId="12365"/>
    <cellStyle name="Percent 9 2 2 4" xfId="5882"/>
    <cellStyle name="Percent 9 2 2 4 2" xfId="9623"/>
    <cellStyle name="Percent 9 2 2 4 2 2" xfId="16125"/>
    <cellStyle name="Percent 9 2 2 4 3" xfId="7904"/>
    <cellStyle name="Percent 9 2 2 4 3 2" xfId="14544"/>
    <cellStyle name="Percent 9 2 2 4 4" xfId="12775"/>
    <cellStyle name="Percent 9 2 2 5" xfId="10066"/>
    <cellStyle name="Percent 9 2 2 5 2" xfId="16547"/>
    <cellStyle name="Percent 9 2 2 6" xfId="8381"/>
    <cellStyle name="Percent 9 2 2 6 2" xfId="14938"/>
    <cellStyle name="Percent 9 2 2 7" xfId="6662"/>
    <cellStyle name="Percent 9 2 2 7 2" xfId="13352"/>
    <cellStyle name="Percent 9 2 2 8" xfId="11562"/>
    <cellStyle name="Percent 9 2 3" xfId="4789"/>
    <cellStyle name="Percent 9 2 3 2" xfId="8532"/>
    <cellStyle name="Percent 9 2 3 2 2" xfId="15084"/>
    <cellStyle name="Percent 9 2 3 3" xfId="6813"/>
    <cellStyle name="Percent 9 2 3 3 2" xfId="13503"/>
    <cellStyle name="Percent 9 2 3 4" xfId="11718"/>
    <cellStyle name="Percent 9 2 4" xfId="5247"/>
    <cellStyle name="Percent 9 2 4 2" xfId="8990"/>
    <cellStyle name="Percent 9 2 4 2 2" xfId="15534"/>
    <cellStyle name="Percent 9 2 4 3" xfId="7271"/>
    <cellStyle name="Percent 9 2 4 3 2" xfId="13953"/>
    <cellStyle name="Percent 9 2 4 4" xfId="12168"/>
    <cellStyle name="Percent 9 2 5" xfId="5680"/>
    <cellStyle name="Percent 9 2 5 2" xfId="9421"/>
    <cellStyle name="Percent 9 2 5 2 2" xfId="15928"/>
    <cellStyle name="Percent 9 2 5 3" xfId="7702"/>
    <cellStyle name="Percent 9 2 5 3 2" xfId="14347"/>
    <cellStyle name="Percent 9 2 5 4" xfId="12573"/>
    <cellStyle name="Percent 9 2 6" xfId="9779"/>
    <cellStyle name="Percent 9 2 6 2" xfId="16270"/>
    <cellStyle name="Percent 9 2 7" xfId="8143"/>
    <cellStyle name="Percent 9 2 7 2" xfId="14741"/>
    <cellStyle name="Percent 9 2 8" xfId="6425"/>
    <cellStyle name="Percent 9 2 8 2" xfId="13146"/>
    <cellStyle name="Percent 9 2 9" xfId="11356"/>
    <cellStyle name="Percent 9 3" xfId="4616"/>
    <cellStyle name="Percent 9 3 2" xfId="5071"/>
    <cellStyle name="Percent 9 3 2 2" xfId="8814"/>
    <cellStyle name="Percent 9 3 2 2 2" xfId="15362"/>
    <cellStyle name="Percent 9 3 2 3" xfId="7095"/>
    <cellStyle name="Percent 9 3 2 3 2" xfId="13781"/>
    <cellStyle name="Percent 9 3 2 4" xfId="11996"/>
    <cellStyle name="Percent 9 3 3" xfId="5443"/>
    <cellStyle name="Percent 9 3 3 2" xfId="9186"/>
    <cellStyle name="Percent 9 3 3 2 2" xfId="15730"/>
    <cellStyle name="Percent 9 3 3 3" xfId="7467"/>
    <cellStyle name="Percent 9 3 3 3 2" xfId="14149"/>
    <cellStyle name="Percent 9 3 3 4" xfId="12364"/>
    <cellStyle name="Percent 9 3 4" xfId="5881"/>
    <cellStyle name="Percent 9 3 4 2" xfId="9622"/>
    <cellStyle name="Percent 9 3 4 2 2" xfId="16124"/>
    <cellStyle name="Percent 9 3 4 3" xfId="7903"/>
    <cellStyle name="Percent 9 3 4 3 2" xfId="14543"/>
    <cellStyle name="Percent 9 3 4 4" xfId="12774"/>
    <cellStyle name="Percent 9 3 5" xfId="10067"/>
    <cellStyle name="Percent 9 3 5 2" xfId="16548"/>
    <cellStyle name="Percent 9 3 6" xfId="8380"/>
    <cellStyle name="Percent 9 3 6 2" xfId="14937"/>
    <cellStyle name="Percent 9 3 7" xfId="6661"/>
    <cellStyle name="Percent 9 3 7 2" xfId="13351"/>
    <cellStyle name="Percent 9 3 8" xfId="11561"/>
    <cellStyle name="Percent 9 4" xfId="4707"/>
    <cellStyle name="Percent 9 4 2" xfId="8451"/>
    <cellStyle name="Percent 9 4 2 2" xfId="15003"/>
    <cellStyle name="Percent 9 4 3" xfId="6732"/>
    <cellStyle name="Percent 9 4 3 2" xfId="13422"/>
    <cellStyle name="Percent 9 4 4" xfId="11636"/>
    <cellStyle name="Percent 9 5" xfId="5246"/>
    <cellStyle name="Percent 9 5 2" xfId="8989"/>
    <cellStyle name="Percent 9 5 2 2" xfId="15533"/>
    <cellStyle name="Percent 9 5 3" xfId="7270"/>
    <cellStyle name="Percent 9 5 3 2" xfId="13952"/>
    <cellStyle name="Percent 9 5 4" xfId="12167"/>
    <cellStyle name="Percent 9 6" xfId="5679"/>
    <cellStyle name="Percent 9 6 2" xfId="9420"/>
    <cellStyle name="Percent 9 6 2 2" xfId="15927"/>
    <cellStyle name="Percent 9 6 3" xfId="7701"/>
    <cellStyle name="Percent 9 6 3 2" xfId="14346"/>
    <cellStyle name="Percent 9 6 4" xfId="12572"/>
    <cellStyle name="Percent 9 7" xfId="9695"/>
    <cellStyle name="Percent 9 7 2" xfId="16188"/>
    <cellStyle name="Percent 9 8" xfId="8142"/>
    <cellStyle name="Percent 9 8 2" xfId="14740"/>
    <cellStyle name="Percent 9 9" xfId="6424"/>
    <cellStyle name="Percent 9 9 2" xfId="13145"/>
    <cellStyle name="Percent2" xfId="4275"/>
    <cellStyle name="percnt" xfId="4276"/>
    <cellStyle name="PGavStandard" xfId="4277"/>
    <cellStyle name="phasing" xfId="4278"/>
    <cellStyle name="point variable" xfId="4279"/>
    <cellStyle name="Print" xfId="4280"/>
    <cellStyle name="RangeName" xfId="4281"/>
    <cellStyle name="Ratio" xfId="4282"/>
    <cellStyle name="RISKbigPercent" xfId="4283"/>
    <cellStyle name="RISKblandrEdge" xfId="4284"/>
    <cellStyle name="RISKblCorner" xfId="4285"/>
    <cellStyle name="RISKbottomEdge" xfId="4286"/>
    <cellStyle name="RISKbrCorner" xfId="4287"/>
    <cellStyle name="RISKdarkBoxed" xfId="4288"/>
    <cellStyle name="RISKdarkBoxed 2" xfId="4289"/>
    <cellStyle name="RISKdarkBoxed 2 2" xfId="5474"/>
    <cellStyle name="RISKdarkBoxed 2 2 2" xfId="9217"/>
    <cellStyle name="RISKdarkBoxed 2 2 2 2" xfId="6228"/>
    <cellStyle name="RISKdarkBoxed 2 2 2 2 2" xfId="12953"/>
    <cellStyle name="RISKdarkBoxed 2 2 3" xfId="7498"/>
    <cellStyle name="RISKdarkBoxed 2 3" xfId="8146"/>
    <cellStyle name="RISKdarkBoxed 2 3 2" xfId="6169"/>
    <cellStyle name="RISKdarkBoxed 2 3 2 2" xfId="12894"/>
    <cellStyle name="RISKdarkBoxed 2 4" xfId="6427"/>
    <cellStyle name="RISKdarkBoxed 3" xfId="5473"/>
    <cellStyle name="RISKdarkBoxed 3 2" xfId="9216"/>
    <cellStyle name="RISKdarkBoxed 3 2 2" xfId="6227"/>
    <cellStyle name="RISKdarkBoxed 3 2 2 2" xfId="12952"/>
    <cellStyle name="RISKdarkBoxed 3 3" xfId="7497"/>
    <cellStyle name="RISKdarkBoxed 4" xfId="8145"/>
    <cellStyle name="RISKdarkBoxed 4 2" xfId="6168"/>
    <cellStyle name="RISKdarkBoxed 4 2 2" xfId="12893"/>
    <cellStyle name="RISKdarkBoxed 5" xfId="6426"/>
    <cellStyle name="RISKdarkShade" xfId="4290"/>
    <cellStyle name="RISKdbottomEdge" xfId="4291"/>
    <cellStyle name="RISKdrightEdge" xfId="4292"/>
    <cellStyle name="RISKdurationTime" xfId="4293"/>
    <cellStyle name="RISKinNumber" xfId="4294"/>
    <cellStyle name="RISKlandrEdge" xfId="4295"/>
    <cellStyle name="RISKleftEdge" xfId="4296"/>
    <cellStyle name="RISKlightBoxed" xfId="4297"/>
    <cellStyle name="RISKlightBoxed 2" xfId="10141"/>
    <cellStyle name="RISKltandbEdge" xfId="4298"/>
    <cellStyle name="RISKltandbEdge 2" xfId="4299"/>
    <cellStyle name="RISKltandbEdge 2 2" xfId="5476"/>
    <cellStyle name="RISKltandbEdge 2 2 2" xfId="9219"/>
    <cellStyle name="RISKltandbEdge 2 2 2 2" xfId="6230"/>
    <cellStyle name="RISKltandbEdge 2 2 2 2 2" xfId="12955"/>
    <cellStyle name="RISKltandbEdge 2 2 3" xfId="7500"/>
    <cellStyle name="RISKltandbEdge 2 3" xfId="8148"/>
    <cellStyle name="RISKltandbEdge 2 3 2" xfId="6171"/>
    <cellStyle name="RISKltandbEdge 2 3 2 2" xfId="12896"/>
    <cellStyle name="RISKltandbEdge 2 4" xfId="6429"/>
    <cellStyle name="RISKltandbEdge 3" xfId="5475"/>
    <cellStyle name="RISKltandbEdge 3 2" xfId="9218"/>
    <cellStyle name="RISKltandbEdge 3 2 2" xfId="6229"/>
    <cellStyle name="RISKltandbEdge 3 2 2 2" xfId="12954"/>
    <cellStyle name="RISKltandbEdge 3 3" xfId="7499"/>
    <cellStyle name="RISKltandbEdge 4" xfId="8147"/>
    <cellStyle name="RISKltandbEdge 4 2" xfId="6170"/>
    <cellStyle name="RISKltandbEdge 4 2 2" xfId="12895"/>
    <cellStyle name="RISKltandbEdge 5" xfId="6428"/>
    <cellStyle name="RISKnormBoxed" xfId="4300"/>
    <cellStyle name="RISKnormBoxed 2" xfId="10142"/>
    <cellStyle name="RISKnormCenter" xfId="4301"/>
    <cellStyle name="RISKnormHeading" xfId="4302"/>
    <cellStyle name="RISKnormItal" xfId="4303"/>
    <cellStyle name="RISKnormLabel" xfId="4304"/>
    <cellStyle name="RISKnormShade" xfId="4305"/>
    <cellStyle name="RISKnormTitle" xfId="4306"/>
    <cellStyle name="RISKoutNumber" xfId="4307"/>
    <cellStyle name="RISKrightEdge" xfId="4308"/>
    <cellStyle name="RISKrtandbEdge" xfId="4309"/>
    <cellStyle name="RISKrtandbEdge 2" xfId="4310"/>
    <cellStyle name="RISKrtandbEdge 2 2" xfId="5478"/>
    <cellStyle name="RISKrtandbEdge 2 2 2" xfId="9221"/>
    <cellStyle name="RISKrtandbEdge 2 2 2 2" xfId="6232"/>
    <cellStyle name="RISKrtandbEdge 2 2 2 2 2" xfId="12957"/>
    <cellStyle name="RISKrtandbEdge 2 2 3" xfId="7502"/>
    <cellStyle name="RISKrtandbEdge 2 3" xfId="8150"/>
    <cellStyle name="RISKrtandbEdge 2 3 2" xfId="6173"/>
    <cellStyle name="RISKrtandbEdge 2 3 2 2" xfId="12898"/>
    <cellStyle name="RISKrtandbEdge 2 4" xfId="6431"/>
    <cellStyle name="RISKrtandbEdge 3" xfId="5477"/>
    <cellStyle name="RISKrtandbEdge 3 2" xfId="9220"/>
    <cellStyle name="RISKrtandbEdge 3 2 2" xfId="6231"/>
    <cellStyle name="RISKrtandbEdge 3 2 2 2" xfId="12956"/>
    <cellStyle name="RISKrtandbEdge 3 3" xfId="7501"/>
    <cellStyle name="RISKrtandbEdge 4" xfId="8149"/>
    <cellStyle name="RISKrtandbEdge 4 2" xfId="6172"/>
    <cellStyle name="RISKrtandbEdge 4 2 2" xfId="12897"/>
    <cellStyle name="RISKrtandbEdge 5" xfId="6430"/>
    <cellStyle name="RISKssTime" xfId="4311"/>
    <cellStyle name="RISKtandbEdge" xfId="4312"/>
    <cellStyle name="RISKtandbEdge 2" xfId="4313"/>
    <cellStyle name="RISKtandbEdge 2 2" xfId="5480"/>
    <cellStyle name="RISKtandbEdge 2 2 2" xfId="9223"/>
    <cellStyle name="RISKtandbEdge 2 2 2 2" xfId="6234"/>
    <cellStyle name="RISKtandbEdge 2 2 2 2 2" xfId="12959"/>
    <cellStyle name="RISKtandbEdge 2 2 3" xfId="7504"/>
    <cellStyle name="RISKtandbEdge 2 3" xfId="8152"/>
    <cellStyle name="RISKtandbEdge 2 3 2" xfId="6175"/>
    <cellStyle name="RISKtandbEdge 2 3 2 2" xfId="12900"/>
    <cellStyle name="RISKtandbEdge 2 4" xfId="6433"/>
    <cellStyle name="RISKtandbEdge 3" xfId="5479"/>
    <cellStyle name="RISKtandbEdge 3 2" xfId="9222"/>
    <cellStyle name="RISKtandbEdge 3 2 2" xfId="6233"/>
    <cellStyle name="RISKtandbEdge 3 2 2 2" xfId="12958"/>
    <cellStyle name="RISKtandbEdge 3 3" xfId="7503"/>
    <cellStyle name="RISKtandbEdge 4" xfId="8151"/>
    <cellStyle name="RISKtandbEdge 4 2" xfId="6174"/>
    <cellStyle name="RISKtandbEdge 4 2 2" xfId="12899"/>
    <cellStyle name="RISKtandbEdge 5" xfId="6432"/>
    <cellStyle name="RISKtlandrEdge" xfId="4314"/>
    <cellStyle name="RISKtlandrEdge 2" xfId="4315"/>
    <cellStyle name="RISKtlandrEdge 2 2" xfId="5482"/>
    <cellStyle name="RISKtlandrEdge 2 2 2" xfId="9225"/>
    <cellStyle name="RISKtlandrEdge 2 2 2 2" xfId="6236"/>
    <cellStyle name="RISKtlandrEdge 2 2 2 2 2" xfId="12961"/>
    <cellStyle name="RISKtlandrEdge 2 2 3" xfId="7506"/>
    <cellStyle name="RISKtlandrEdge 2 3" xfId="8154"/>
    <cellStyle name="RISKtlandrEdge 2 3 2" xfId="6177"/>
    <cellStyle name="RISKtlandrEdge 2 3 2 2" xfId="12902"/>
    <cellStyle name="RISKtlandrEdge 2 4" xfId="6435"/>
    <cellStyle name="RISKtlandrEdge 3" xfId="5481"/>
    <cellStyle name="RISKtlandrEdge 3 2" xfId="9224"/>
    <cellStyle name="RISKtlandrEdge 3 2 2" xfId="6235"/>
    <cellStyle name="RISKtlandrEdge 3 2 2 2" xfId="12960"/>
    <cellStyle name="RISKtlandrEdge 3 3" xfId="7505"/>
    <cellStyle name="RISKtlandrEdge 4" xfId="8153"/>
    <cellStyle name="RISKtlandrEdge 4 2" xfId="6176"/>
    <cellStyle name="RISKtlandrEdge 4 2 2" xfId="12901"/>
    <cellStyle name="RISKtlandrEdge 5" xfId="6434"/>
    <cellStyle name="RISKtlCorner" xfId="4316"/>
    <cellStyle name="RISKtlCorner 2" xfId="4317"/>
    <cellStyle name="RISKtlCorner 2 2" xfId="5484"/>
    <cellStyle name="RISKtlCorner 2 2 2" xfId="9227"/>
    <cellStyle name="RISKtlCorner 2 2 2 2" xfId="6238"/>
    <cellStyle name="RISKtlCorner 2 2 2 2 2" xfId="12963"/>
    <cellStyle name="RISKtlCorner 2 2 3" xfId="7508"/>
    <cellStyle name="RISKtlCorner 2 3" xfId="8156"/>
    <cellStyle name="RISKtlCorner 2 3 2" xfId="6179"/>
    <cellStyle name="RISKtlCorner 2 3 2 2" xfId="12904"/>
    <cellStyle name="RISKtlCorner 2 4" xfId="6437"/>
    <cellStyle name="RISKtlCorner 3" xfId="5483"/>
    <cellStyle name="RISKtlCorner 3 2" xfId="9226"/>
    <cellStyle name="RISKtlCorner 3 2 2" xfId="6237"/>
    <cellStyle name="RISKtlCorner 3 2 2 2" xfId="12962"/>
    <cellStyle name="RISKtlCorner 3 3" xfId="7507"/>
    <cellStyle name="RISKtlCorner 4" xfId="8155"/>
    <cellStyle name="RISKtlCorner 4 2" xfId="6178"/>
    <cellStyle name="RISKtlCorner 4 2 2" xfId="12903"/>
    <cellStyle name="RISKtlCorner 5" xfId="6436"/>
    <cellStyle name="RISKtopEdge" xfId="4318"/>
    <cellStyle name="RISKtopEdge 2" xfId="4319"/>
    <cellStyle name="RISKtopEdge 2 2" xfId="5486"/>
    <cellStyle name="RISKtopEdge 2 2 2" xfId="9229"/>
    <cellStyle name="RISKtopEdge 2 2 2 2" xfId="6240"/>
    <cellStyle name="RISKtopEdge 2 2 2 2 2" xfId="12965"/>
    <cellStyle name="RISKtopEdge 2 2 3" xfId="7510"/>
    <cellStyle name="RISKtopEdge 2 3" xfId="8158"/>
    <cellStyle name="RISKtopEdge 2 3 2" xfId="6181"/>
    <cellStyle name="RISKtopEdge 2 3 2 2" xfId="12906"/>
    <cellStyle name="RISKtopEdge 2 4" xfId="6439"/>
    <cellStyle name="RISKtopEdge 3" xfId="5485"/>
    <cellStyle name="RISKtopEdge 3 2" xfId="9228"/>
    <cellStyle name="RISKtopEdge 3 2 2" xfId="6239"/>
    <cellStyle name="RISKtopEdge 3 2 2 2" xfId="12964"/>
    <cellStyle name="RISKtopEdge 3 3" xfId="7509"/>
    <cellStyle name="RISKtopEdge 4" xfId="8157"/>
    <cellStyle name="RISKtopEdge 4 2" xfId="6180"/>
    <cellStyle name="RISKtopEdge 4 2 2" xfId="12905"/>
    <cellStyle name="RISKtopEdge 5" xfId="6438"/>
    <cellStyle name="RISKtrCorner" xfId="4320"/>
    <cellStyle name="RISKtrCorner 2" xfId="4321"/>
    <cellStyle name="RISKtrCorner 2 2" xfId="5488"/>
    <cellStyle name="RISKtrCorner 2 2 2" xfId="9231"/>
    <cellStyle name="RISKtrCorner 2 2 2 2" xfId="6242"/>
    <cellStyle name="RISKtrCorner 2 2 2 2 2" xfId="12967"/>
    <cellStyle name="RISKtrCorner 2 2 3" xfId="7512"/>
    <cellStyle name="RISKtrCorner 2 3" xfId="8160"/>
    <cellStyle name="RISKtrCorner 2 3 2" xfId="6183"/>
    <cellStyle name="RISKtrCorner 2 3 2 2" xfId="12908"/>
    <cellStyle name="RISKtrCorner 2 4" xfId="6441"/>
    <cellStyle name="RISKtrCorner 3" xfId="5487"/>
    <cellStyle name="RISKtrCorner 3 2" xfId="9230"/>
    <cellStyle name="RISKtrCorner 3 2 2" xfId="6241"/>
    <cellStyle name="RISKtrCorner 3 2 2 2" xfId="12966"/>
    <cellStyle name="RISKtrCorner 3 3" xfId="7511"/>
    <cellStyle name="RISKtrCorner 4" xfId="8159"/>
    <cellStyle name="RISKtrCorner 4 2" xfId="6182"/>
    <cellStyle name="RISKtrCorner 4 2 2" xfId="12907"/>
    <cellStyle name="RISKtrCorner 5" xfId="6440"/>
    <cellStyle name="Sect_Title" xfId="4322"/>
    <cellStyle name="Section Heading" xfId="4323"/>
    <cellStyle name="Section Title no wrap" xfId="4324"/>
    <cellStyle name="Section Title wrap" xfId="4325"/>
    <cellStyle name="sheet background" xfId="4326"/>
    <cellStyle name="Sheet Title" xfId="4327"/>
    <cellStyle name="Sheet_Title" xfId="4328"/>
    <cellStyle name="Sous-Total" xfId="4329"/>
    <cellStyle name="Standard_RESULTS" xfId="4330"/>
    <cellStyle name="Std_%" xfId="4331"/>
    <cellStyle name="String point input" xfId="4332"/>
    <cellStyle name="stu" xfId="4333"/>
    <cellStyle name="Style 1" xfId="4334"/>
    <cellStyle name="Sub Heading 1" xfId="4335"/>
    <cellStyle name="Sub Heading 2" xfId="4336"/>
    <cellStyle name="Sub Heading 3" xfId="4337"/>
    <cellStyle name="Sub_sub_title" xfId="4338"/>
    <cellStyle name="Subheading" xfId="4339"/>
    <cellStyle name="SubHeading1" xfId="4340"/>
    <cellStyle name="SubHeading2" xfId="4341"/>
    <cellStyle name="Subsection Heading" xfId="4342"/>
    <cellStyle name="Sub-section heading" xfId="4343"/>
    <cellStyle name="subtitle" xfId="4344"/>
    <cellStyle name="subtotal" xfId="4345"/>
    <cellStyle name="Sub-Total" xfId="4346"/>
    <cellStyle name="subtotal 10" xfId="7977"/>
    <cellStyle name="Sub-Total 10" xfId="7967"/>
    <cellStyle name="subtotal 10 2" xfId="6139"/>
    <cellStyle name="Sub-Total 10 2" xfId="6131"/>
    <cellStyle name="subtotal 10 2 2" xfId="12864"/>
    <cellStyle name="Sub-Total 10 2 2" xfId="12856"/>
    <cellStyle name="subtotal 11" xfId="7968"/>
    <cellStyle name="Sub-Total 11" xfId="7973"/>
    <cellStyle name="subtotal 11 2" xfId="6132"/>
    <cellStyle name="Sub-Total 11 2" xfId="6135"/>
    <cellStyle name="subtotal 11 2 2" xfId="12857"/>
    <cellStyle name="Sub-Total 11 2 2" xfId="12860"/>
    <cellStyle name="subtotal 12" xfId="7972"/>
    <cellStyle name="Sub-Total 12" xfId="10103"/>
    <cellStyle name="subtotal 12 2" xfId="6134"/>
    <cellStyle name="Sub-Total 12 2" xfId="10205"/>
    <cellStyle name="subtotal 12 2 2" xfId="12859"/>
    <cellStyle name="Sub-Total 12 2 2" xfId="16590"/>
    <cellStyle name="subtotal 13" xfId="10093"/>
    <cellStyle name="Sub-Total 13" xfId="6443"/>
    <cellStyle name="subtotal 13 2" xfId="10195"/>
    <cellStyle name="subtotal 13 2 2" xfId="16580"/>
    <cellStyle name="subtotal 14" xfId="6442"/>
    <cellStyle name="Sub-Total 14" xfId="10144"/>
    <cellStyle name="subtotal 15" xfId="10143"/>
    <cellStyle name="Sub-Total 15" xfId="5946"/>
    <cellStyle name="Sub-Total 15 2" xfId="12834"/>
    <cellStyle name="subtotal 16" xfId="5945"/>
    <cellStyle name="Sub-Total 16" xfId="11358"/>
    <cellStyle name="subtotal 16 2" xfId="12833"/>
    <cellStyle name="subtotal 17" xfId="11357"/>
    <cellStyle name="subtotal 2" xfId="4347"/>
    <cellStyle name="Sub-Total 2" xfId="4348"/>
    <cellStyle name="subtotal 2 10" xfId="8163"/>
    <cellStyle name="Sub-Total 2 10" xfId="7974"/>
    <cellStyle name="subtotal 2 10 2" xfId="6186"/>
    <cellStyle name="Sub-Total 2 10 2" xfId="6136"/>
    <cellStyle name="subtotal 2 10 2 2" xfId="12911"/>
    <cellStyle name="Sub-Total 2 10 2 2" xfId="12861"/>
    <cellStyle name="subtotal 2 11" xfId="6444"/>
    <cellStyle name="Sub-Total 2 11" xfId="10083"/>
    <cellStyle name="subtotal 2 11 2" xfId="13147"/>
    <cellStyle name="Sub-Total 2 11 2" xfId="10185"/>
    <cellStyle name="Sub-Total 2 11 2 2" xfId="16570"/>
    <cellStyle name="subtotal 2 12" xfId="10145"/>
    <cellStyle name="Sub-Total 2 12" xfId="6445"/>
    <cellStyle name="subtotal 2 12 2" xfId="16552"/>
    <cellStyle name="Sub-Total 2 13" xfId="10146"/>
    <cellStyle name="Sub-Total 2 14" xfId="5947"/>
    <cellStyle name="Sub-Total 2 14 2" xfId="12835"/>
    <cellStyle name="Sub-Total 2 15" xfId="11359"/>
    <cellStyle name="subtotal 2 2" xfId="4349"/>
    <cellStyle name="Sub-Total 2 2" xfId="5492"/>
    <cellStyle name="subtotal 2 2 10" xfId="7975"/>
    <cellStyle name="subtotal 2 2 10 2" xfId="6137"/>
    <cellStyle name="subtotal 2 2 10 2 2" xfId="12862"/>
    <cellStyle name="subtotal 2 2 11" xfId="10091"/>
    <cellStyle name="subtotal 2 2 11 2" xfId="10193"/>
    <cellStyle name="subtotal 2 2 11 2 2" xfId="16578"/>
    <cellStyle name="subtotal 2 2 12" xfId="6446"/>
    <cellStyle name="subtotal 2 2 13" xfId="10147"/>
    <cellStyle name="subtotal 2 2 14" xfId="5948"/>
    <cellStyle name="subtotal 2 2 14 2" xfId="12836"/>
    <cellStyle name="subtotal 2 2 15" xfId="11360"/>
    <cellStyle name="subtotal 2 2 2" xfId="5493"/>
    <cellStyle name="Sub-Total 2 2 2" xfId="9235"/>
    <cellStyle name="subtotal 2 2 2 2" xfId="9236"/>
    <cellStyle name="Sub-Total 2 2 2 2" xfId="6246"/>
    <cellStyle name="subtotal 2 2 2 2 2" xfId="6247"/>
    <cellStyle name="Sub-Total 2 2 2 2 2" xfId="12971"/>
    <cellStyle name="subtotal 2 2 2 2 2 2" xfId="12972"/>
    <cellStyle name="subtotal 2 2 2 3" xfId="7517"/>
    <cellStyle name="subtotal 2 2 2 4" xfId="10162"/>
    <cellStyle name="subtotal 2 2 2 5" xfId="12398"/>
    <cellStyle name="subtotal 2 2 3" xfId="5684"/>
    <cellStyle name="Sub-Total 2 2 3" xfId="7516"/>
    <cellStyle name="subtotal 2 2 3 2" xfId="9425"/>
    <cellStyle name="subtotal 2 2 3 2 2" xfId="6267"/>
    <cellStyle name="subtotal 2 2 3 2 2 2" xfId="12992"/>
    <cellStyle name="subtotal 2 2 3 3" xfId="7706"/>
    <cellStyle name="subtotal 2 2 3 4" xfId="10170"/>
    <cellStyle name="subtotal 2 2 3 5" xfId="12577"/>
    <cellStyle name="subtotal 2 2 4" xfId="9805"/>
    <cellStyle name="Sub-Total 2 2 4" xfId="10161"/>
    <cellStyle name="subtotal 2 2 4 2" xfId="10119"/>
    <cellStyle name="subtotal 2 2 4 2 2" xfId="10221"/>
    <cellStyle name="subtotal 2 2 4 2 2 2" xfId="16606"/>
    <cellStyle name="subtotal 2 2 4 3" xfId="6367"/>
    <cellStyle name="subtotal 2 2 4 3 2" xfId="13090"/>
    <cellStyle name="subtotal 2 2 5" xfId="10073"/>
    <cellStyle name="Sub-Total 2 2 5" xfId="12397"/>
    <cellStyle name="subtotal 2 2 5 2" xfId="10134"/>
    <cellStyle name="subtotal 2 2 5 2 2" xfId="10236"/>
    <cellStyle name="subtotal 2 2 5 2 2 2" xfId="16621"/>
    <cellStyle name="subtotal 2 2 5 3" xfId="10175"/>
    <cellStyle name="subtotal 2 2 5 3 2" xfId="16560"/>
    <cellStyle name="subtotal 2 2 6" xfId="8165"/>
    <cellStyle name="subtotal 2 2 6 2" xfId="6188"/>
    <cellStyle name="subtotal 2 2 6 2 2" xfId="12913"/>
    <cellStyle name="subtotal 2 2 7" xfId="10080"/>
    <cellStyle name="subtotal 2 2 7 2" xfId="10182"/>
    <cellStyle name="subtotal 2 2 7 2 2" xfId="16567"/>
    <cellStyle name="subtotal 2 2 8" xfId="7980"/>
    <cellStyle name="subtotal 2 2 8 2" xfId="6142"/>
    <cellStyle name="subtotal 2 2 8 2 2" xfId="12867"/>
    <cellStyle name="subtotal 2 2 9" xfId="7965"/>
    <cellStyle name="subtotal 2 2 9 2" xfId="6129"/>
    <cellStyle name="subtotal 2 2 9 2 2" xfId="12854"/>
    <cellStyle name="subtotal 2 3" xfId="4663"/>
    <cellStyle name="Sub-Total 2 3" xfId="5683"/>
    <cellStyle name="subtotal 2 3 2" xfId="5506"/>
    <cellStyle name="Sub-Total 2 3 2" xfId="9424"/>
    <cellStyle name="subtotal 2 3 2 10" xfId="6120"/>
    <cellStyle name="subtotal 2 3 2 10 2" xfId="12845"/>
    <cellStyle name="subtotal 2 3 2 11" xfId="12400"/>
    <cellStyle name="subtotal 2 3 2 2" xfId="9248"/>
    <cellStyle name="Sub-Total 2 3 2 2" xfId="6266"/>
    <cellStyle name="subtotal 2 3 2 2 2" xfId="6259"/>
    <cellStyle name="Sub-Total 2 3 2 2 2" xfId="12991"/>
    <cellStyle name="subtotal 2 3 2 2 2 2" xfId="12984"/>
    <cellStyle name="subtotal 2 3 2 3" xfId="10097"/>
    <cellStyle name="subtotal 2 3 2 3 2" xfId="10199"/>
    <cellStyle name="subtotal 2 3 2 3 2 2" xfId="16584"/>
    <cellStyle name="subtotal 2 3 2 4" xfId="7995"/>
    <cellStyle name="subtotal 2 3 2 4 2" xfId="6151"/>
    <cellStyle name="subtotal 2 3 2 4 2 2" xfId="12876"/>
    <cellStyle name="subtotal 2 3 2 5" xfId="7963"/>
    <cellStyle name="subtotal 2 3 2 5 2" xfId="6127"/>
    <cellStyle name="subtotal 2 3 2 5 2 2" xfId="12852"/>
    <cellStyle name="subtotal 2 3 2 6" xfId="8144"/>
    <cellStyle name="subtotal 2 3 2 6 2" xfId="6167"/>
    <cellStyle name="subtotal 2 3 2 6 2 2" xfId="12892"/>
    <cellStyle name="subtotal 2 3 2 7" xfId="10094"/>
    <cellStyle name="subtotal 2 3 2 7 2" xfId="10196"/>
    <cellStyle name="subtotal 2 3 2 7 2 2" xfId="16581"/>
    <cellStyle name="subtotal 2 3 2 8" xfId="7529"/>
    <cellStyle name="subtotal 2 3 2 9" xfId="10164"/>
    <cellStyle name="subtotal 2 3 3" xfId="9840"/>
    <cellStyle name="Sub-Total 2 3 3" xfId="7705"/>
    <cellStyle name="subtotal 2 3 3 2" xfId="10125"/>
    <cellStyle name="subtotal 2 3 3 2 2" xfId="10227"/>
    <cellStyle name="subtotal 2 3 3 2 2 2" xfId="16612"/>
    <cellStyle name="subtotal 2 3 3 3" xfId="6374"/>
    <cellStyle name="subtotal 2 3 3 3 2" xfId="13095"/>
    <cellStyle name="subtotal 2 3 4" xfId="8410"/>
    <cellStyle name="Sub-Total 2 3 4" xfId="10169"/>
    <cellStyle name="subtotal 2 3 4 2" xfId="6208"/>
    <cellStyle name="subtotal 2 3 4 2 2" xfId="12933"/>
    <cellStyle name="subtotal 2 3 5" xfId="6691"/>
    <cellStyle name="Sub-Total 2 3 5" xfId="12576"/>
    <cellStyle name="subtotal 2 3 5 2" xfId="13381"/>
    <cellStyle name="subtotal 2 3 6" xfId="10153"/>
    <cellStyle name="subtotal 2 3 6 2" xfId="16553"/>
    <cellStyle name="subtotal 2 4" xfId="4664"/>
    <cellStyle name="Sub-Total 2 4" xfId="9743"/>
    <cellStyle name="subtotal 2 4 2" xfId="5507"/>
    <cellStyle name="Sub-Total 2 4 2" xfId="10115"/>
    <cellStyle name="subtotal 2 4 2 10" xfId="6121"/>
    <cellStyle name="subtotal 2 4 2 10 2" xfId="12846"/>
    <cellStyle name="subtotal 2 4 2 11" xfId="12401"/>
    <cellStyle name="subtotal 2 4 2 2" xfId="9249"/>
    <cellStyle name="Sub-Total 2 4 2 2" xfId="10217"/>
    <cellStyle name="subtotal 2 4 2 2 2" xfId="6260"/>
    <cellStyle name="Sub-Total 2 4 2 2 2" xfId="16602"/>
    <cellStyle name="subtotal 2 4 2 2 2 2" xfId="12985"/>
    <cellStyle name="subtotal 2 4 2 3" xfId="10098"/>
    <cellStyle name="subtotal 2 4 2 3 2" xfId="10200"/>
    <cellStyle name="subtotal 2 4 2 3 2 2" xfId="16585"/>
    <cellStyle name="subtotal 2 4 2 4" xfId="7996"/>
    <cellStyle name="subtotal 2 4 2 4 2" xfId="6152"/>
    <cellStyle name="subtotal 2 4 2 4 2 2" xfId="12877"/>
    <cellStyle name="subtotal 2 4 2 5" xfId="7962"/>
    <cellStyle name="subtotal 2 4 2 5 2" xfId="6126"/>
    <cellStyle name="subtotal 2 4 2 5 2 2" xfId="12851"/>
    <cellStyle name="subtotal 2 4 2 6" xfId="7982"/>
    <cellStyle name="subtotal 2 4 2 6 2" xfId="6144"/>
    <cellStyle name="subtotal 2 4 2 6 2 2" xfId="12869"/>
    <cellStyle name="subtotal 2 4 2 7" xfId="10092"/>
    <cellStyle name="subtotal 2 4 2 7 2" xfId="10194"/>
    <cellStyle name="subtotal 2 4 2 7 2 2" xfId="16579"/>
    <cellStyle name="subtotal 2 4 2 8" xfId="7530"/>
    <cellStyle name="subtotal 2 4 2 9" xfId="10165"/>
    <cellStyle name="subtotal 2 4 3" xfId="9841"/>
    <cellStyle name="Sub-Total 2 4 3" xfId="8016"/>
    <cellStyle name="subtotal 2 4 3 2" xfId="10126"/>
    <cellStyle name="Sub-Total 2 4 3 2" xfId="6162"/>
    <cellStyle name="subtotal 2 4 3 2 2" xfId="10228"/>
    <cellStyle name="Sub-Total 2 4 3 2 2" xfId="12887"/>
    <cellStyle name="subtotal 2 4 3 2 2 2" xfId="16613"/>
    <cellStyle name="subtotal 2 4 3 3" xfId="10131"/>
    <cellStyle name="subtotal 2 4 3 3 2" xfId="10233"/>
    <cellStyle name="subtotal 2 4 3 3 2 2" xfId="16618"/>
    <cellStyle name="subtotal 2 4 3 4" xfId="7984"/>
    <cellStyle name="subtotal 2 4 3 4 2" xfId="6146"/>
    <cellStyle name="subtotal 2 4 3 4 2 2" xfId="12871"/>
    <cellStyle name="subtotal 2 4 3 5" xfId="10130"/>
    <cellStyle name="subtotal 2 4 3 5 2" xfId="10232"/>
    <cellStyle name="subtotal 2 4 3 5 2 2" xfId="16617"/>
    <cellStyle name="subtotal 2 4 3 6" xfId="6375"/>
    <cellStyle name="subtotal 2 4 3 6 2" xfId="13096"/>
    <cellStyle name="subtotal 2 4 4" xfId="8411"/>
    <cellStyle name="Sub-Total 2 4 4" xfId="10124"/>
    <cellStyle name="subtotal 2 4 4 2" xfId="6209"/>
    <cellStyle name="Sub-Total 2 4 4 2" xfId="10226"/>
    <cellStyle name="subtotal 2 4 4 2 2" xfId="12934"/>
    <cellStyle name="Sub-Total 2 4 4 2 2" xfId="16611"/>
    <cellStyle name="subtotal 2 4 5" xfId="6692"/>
    <cellStyle name="Sub-Total 2 4 5" xfId="8000"/>
    <cellStyle name="subtotal 2 4 5 2" xfId="13382"/>
    <cellStyle name="Sub-Total 2 4 5 2" xfId="6156"/>
    <cellStyle name="Sub-Total 2 4 5 2 2" xfId="12881"/>
    <cellStyle name="subtotal 2 4 6" xfId="10154"/>
    <cellStyle name="Sub-Total 2 4 6" xfId="10090"/>
    <cellStyle name="subtotal 2 4 6 2" xfId="16554"/>
    <cellStyle name="Sub-Total 2 4 6 2" xfId="10192"/>
    <cellStyle name="Sub-Total 2 4 6 2 2" xfId="16577"/>
    <cellStyle name="Sub-Total 2 4 7" xfId="6290"/>
    <cellStyle name="Sub-Total 2 4 7 2" xfId="13013"/>
    <cellStyle name="subtotal 2 5" xfId="4665"/>
    <cellStyle name="Sub-Total 2 5" xfId="10071"/>
    <cellStyle name="subtotal 2 5 2" xfId="5508"/>
    <cellStyle name="Sub-Total 2 5 2" xfId="10132"/>
    <cellStyle name="subtotal 2 5 2 10" xfId="6122"/>
    <cellStyle name="subtotal 2 5 2 10 2" xfId="12847"/>
    <cellStyle name="subtotal 2 5 2 11" xfId="12402"/>
    <cellStyle name="subtotal 2 5 2 2" xfId="9250"/>
    <cellStyle name="Sub-Total 2 5 2 2" xfId="10234"/>
    <cellStyle name="subtotal 2 5 2 2 2" xfId="6261"/>
    <cellStyle name="Sub-Total 2 5 2 2 2" xfId="16619"/>
    <cellStyle name="subtotal 2 5 2 2 2 2" xfId="12986"/>
    <cellStyle name="subtotal 2 5 2 3" xfId="10099"/>
    <cellStyle name="subtotal 2 5 2 3 2" xfId="10201"/>
    <cellStyle name="subtotal 2 5 2 3 2 2" xfId="16586"/>
    <cellStyle name="subtotal 2 5 2 4" xfId="7997"/>
    <cellStyle name="subtotal 2 5 2 4 2" xfId="6153"/>
    <cellStyle name="subtotal 2 5 2 4 2 2" xfId="12878"/>
    <cellStyle name="subtotal 2 5 2 5" xfId="7961"/>
    <cellStyle name="subtotal 2 5 2 5 2" xfId="6125"/>
    <cellStyle name="subtotal 2 5 2 5 2 2" xfId="12850"/>
    <cellStyle name="subtotal 2 5 2 6" xfId="7983"/>
    <cellStyle name="subtotal 2 5 2 6 2" xfId="6145"/>
    <cellStyle name="subtotal 2 5 2 6 2 2" xfId="12870"/>
    <cellStyle name="subtotal 2 5 2 7" xfId="10076"/>
    <cellStyle name="subtotal 2 5 2 7 2" xfId="10178"/>
    <cellStyle name="subtotal 2 5 2 7 2 2" xfId="16563"/>
    <cellStyle name="subtotal 2 5 2 8" xfId="7531"/>
    <cellStyle name="subtotal 2 5 2 9" xfId="10166"/>
    <cellStyle name="subtotal 2 5 3" xfId="9842"/>
    <cellStyle name="Sub-Total 2 5 3" xfId="10135"/>
    <cellStyle name="subtotal 2 5 3 2" xfId="10127"/>
    <cellStyle name="Sub-Total 2 5 3 2" xfId="10237"/>
    <cellStyle name="subtotal 2 5 3 2 2" xfId="10229"/>
    <cellStyle name="Sub-Total 2 5 3 2 2" xfId="16622"/>
    <cellStyle name="subtotal 2 5 3 2 2 2" xfId="16614"/>
    <cellStyle name="subtotal 2 5 3 3" xfId="10084"/>
    <cellStyle name="subtotal 2 5 3 3 2" xfId="10186"/>
    <cellStyle name="subtotal 2 5 3 3 2 2" xfId="16571"/>
    <cellStyle name="subtotal 2 5 3 4" xfId="7990"/>
    <cellStyle name="subtotal 2 5 3 4 2" xfId="6148"/>
    <cellStyle name="subtotal 2 5 3 4 2 2" xfId="12873"/>
    <cellStyle name="subtotal 2 5 3 5" xfId="10137"/>
    <cellStyle name="subtotal 2 5 3 5 2" xfId="10239"/>
    <cellStyle name="subtotal 2 5 3 5 2 2" xfId="16624"/>
    <cellStyle name="subtotal 2 5 3 6" xfId="6376"/>
    <cellStyle name="subtotal 2 5 3 6 2" xfId="13097"/>
    <cellStyle name="subtotal 2 5 4" xfId="8412"/>
    <cellStyle name="Sub-Total 2 5 4" xfId="10138"/>
    <cellStyle name="subtotal 2 5 4 2" xfId="6210"/>
    <cellStyle name="Sub-Total 2 5 4 2" xfId="10240"/>
    <cellStyle name="subtotal 2 5 4 2 2" xfId="12935"/>
    <cellStyle name="Sub-Total 2 5 4 2 2" xfId="16625"/>
    <cellStyle name="subtotal 2 5 5" xfId="6693"/>
    <cellStyle name="Sub-Total 2 5 5" xfId="10139"/>
    <cellStyle name="subtotal 2 5 5 2" xfId="13383"/>
    <cellStyle name="Sub-Total 2 5 5 2" xfId="10241"/>
    <cellStyle name="Sub-Total 2 5 5 2 2" xfId="16626"/>
    <cellStyle name="subtotal 2 5 6" xfId="10155"/>
    <cellStyle name="Sub-Total 2 5 6" xfId="10140"/>
    <cellStyle name="subtotal 2 5 6 2" xfId="16555"/>
    <cellStyle name="Sub-Total 2 5 6 2" xfId="10242"/>
    <cellStyle name="Sub-Total 2 5 6 2 2" xfId="16627"/>
    <cellStyle name="Sub-Total 2 5 7" xfId="10173"/>
    <cellStyle name="Sub-Total 2 5 7 2" xfId="16558"/>
    <cellStyle name="subtotal 2 6" xfId="4666"/>
    <cellStyle name="Sub-Total 2 6" xfId="8164"/>
    <cellStyle name="subtotal 2 6 2" xfId="5509"/>
    <cellStyle name="Sub-Total 2 6 2" xfId="6187"/>
    <cellStyle name="subtotal 2 6 2 2" xfId="9251"/>
    <cellStyle name="Sub-Total 2 6 2 2" xfId="12912"/>
    <cellStyle name="subtotal 2 6 2 2 2" xfId="6262"/>
    <cellStyle name="subtotal 2 6 2 2 2 2" xfId="12987"/>
    <cellStyle name="subtotal 2 6 2 3" xfId="10100"/>
    <cellStyle name="subtotal 2 6 2 3 2" xfId="10202"/>
    <cellStyle name="subtotal 2 6 2 3 2 2" xfId="16587"/>
    <cellStyle name="subtotal 2 6 2 4" xfId="7532"/>
    <cellStyle name="subtotal 2 6 2 5" xfId="6123"/>
    <cellStyle name="subtotal 2 6 2 5 2" xfId="12848"/>
    <cellStyle name="subtotal 2 6 2 6" xfId="12403"/>
    <cellStyle name="subtotal 2 6 3" xfId="9843"/>
    <cellStyle name="subtotal 2 6 3 2" xfId="10128"/>
    <cellStyle name="subtotal 2 6 3 2 2" xfId="10230"/>
    <cellStyle name="subtotal 2 6 3 2 2 2" xfId="16615"/>
    <cellStyle name="subtotal 2 6 3 3" xfId="5911"/>
    <cellStyle name="subtotal 2 6 3 3 2" xfId="12804"/>
    <cellStyle name="subtotal 2 6 4" xfId="8413"/>
    <cellStyle name="subtotal 2 6 4 2" xfId="6211"/>
    <cellStyle name="subtotal 2 6 4 2 2" xfId="12936"/>
    <cellStyle name="subtotal 2 6 5" xfId="6694"/>
    <cellStyle name="subtotal 2 6 5 2" xfId="13384"/>
    <cellStyle name="subtotal 2 6 6" xfId="10156"/>
    <cellStyle name="subtotal 2 6 6 2" xfId="16556"/>
    <cellStyle name="subtotal 2 7" xfId="4667"/>
    <cellStyle name="Sub-Total 2 7" xfId="10079"/>
    <cellStyle name="subtotal 2 7 2" xfId="5510"/>
    <cellStyle name="Sub-Total 2 7 2" xfId="10181"/>
    <cellStyle name="subtotal 2 7 2 2" xfId="9252"/>
    <cellStyle name="Sub-Total 2 7 2 2" xfId="16566"/>
    <cellStyle name="subtotal 2 7 2 2 2" xfId="6263"/>
    <cellStyle name="subtotal 2 7 2 2 2 2" xfId="12988"/>
    <cellStyle name="subtotal 2 7 2 3" xfId="10101"/>
    <cellStyle name="subtotal 2 7 2 3 2" xfId="10203"/>
    <cellStyle name="subtotal 2 7 2 3 2 2" xfId="16588"/>
    <cellStyle name="subtotal 2 7 2 4" xfId="7533"/>
    <cellStyle name="subtotal 2 7 2 5" xfId="6124"/>
    <cellStyle name="subtotal 2 7 2 5 2" xfId="12849"/>
    <cellStyle name="subtotal 2 7 2 6" xfId="12404"/>
    <cellStyle name="subtotal 2 7 3" xfId="9844"/>
    <cellStyle name="subtotal 2 7 3 2" xfId="10129"/>
    <cellStyle name="subtotal 2 7 3 2 2" xfId="10231"/>
    <cellStyle name="subtotal 2 7 3 2 2 2" xfId="16616"/>
    <cellStyle name="subtotal 2 7 3 3" xfId="6377"/>
    <cellStyle name="subtotal 2 7 3 3 2" xfId="13098"/>
    <cellStyle name="subtotal 2 7 4" xfId="8414"/>
    <cellStyle name="subtotal 2 7 4 2" xfId="6212"/>
    <cellStyle name="subtotal 2 7 4 2 2" xfId="12937"/>
    <cellStyle name="subtotal 2 7 5" xfId="6695"/>
    <cellStyle name="subtotal 2 7 5 2" xfId="13385"/>
    <cellStyle name="subtotal 2 7 6" xfId="10157"/>
    <cellStyle name="subtotal 2 7 6 2" xfId="16557"/>
    <cellStyle name="subtotal 2 8" xfId="5491"/>
    <cellStyle name="Sub-Total 2 8" xfId="7979"/>
    <cellStyle name="subtotal 2 8 10" xfId="12396"/>
    <cellStyle name="subtotal 2 8 2" xfId="9234"/>
    <cellStyle name="Sub-Total 2 8 2" xfId="6141"/>
    <cellStyle name="subtotal 2 8 2 2" xfId="6245"/>
    <cellStyle name="Sub-Total 2 8 2 2" xfId="12866"/>
    <cellStyle name="subtotal 2 8 2 2 2" xfId="12970"/>
    <cellStyle name="subtotal 2 8 3" xfId="10096"/>
    <cellStyle name="subtotal 2 8 3 2" xfId="10198"/>
    <cellStyle name="subtotal 2 8 3 2 2" xfId="16583"/>
    <cellStyle name="subtotal 2 8 4" xfId="10118"/>
    <cellStyle name="subtotal 2 8 4 2" xfId="10220"/>
    <cellStyle name="subtotal 2 8 4 2 2" xfId="16605"/>
    <cellStyle name="subtotal 2 8 5" xfId="7999"/>
    <cellStyle name="subtotal 2 8 5 2" xfId="6155"/>
    <cellStyle name="subtotal 2 8 5 2 2" xfId="12880"/>
    <cellStyle name="subtotal 2 8 6" xfId="10117"/>
    <cellStyle name="subtotal 2 8 6 2" xfId="10219"/>
    <cellStyle name="subtotal 2 8 6 2 2" xfId="16604"/>
    <cellStyle name="subtotal 2 8 7" xfId="7515"/>
    <cellStyle name="subtotal 2 8 8" xfId="10160"/>
    <cellStyle name="subtotal 2 8 9" xfId="6119"/>
    <cellStyle name="subtotal 2 8 9 2" xfId="12844"/>
    <cellStyle name="subtotal 2 9" xfId="9684"/>
    <cellStyle name="Sub-Total 2 9" xfId="7966"/>
    <cellStyle name="subtotal 2 9 2" xfId="10108"/>
    <cellStyle name="Sub-Total 2 9 2" xfId="6130"/>
    <cellStyle name="subtotal 2 9 2 2" xfId="10210"/>
    <cellStyle name="Sub-Total 2 9 2 2" xfId="12855"/>
    <cellStyle name="subtotal 2 9 2 2 2" xfId="16595"/>
    <cellStyle name="subtotal 2 9 3" xfId="8001"/>
    <cellStyle name="subtotal 2 9 3 2" xfId="6157"/>
    <cellStyle name="subtotal 2 9 3 2 2" xfId="12882"/>
    <cellStyle name="subtotal 2 9 4" xfId="7969"/>
    <cellStyle name="subtotal 2 9 4 2" xfId="6133"/>
    <cellStyle name="subtotal 2 9 4 2 2" xfId="12858"/>
    <cellStyle name="subtotal 2 9 5" xfId="6285"/>
    <cellStyle name="subtotal 2 9 5 2" xfId="13008"/>
    <cellStyle name="subtotal 3" xfId="4350"/>
    <cellStyle name="Sub-Total 3" xfId="5490"/>
    <cellStyle name="subtotal 3 10" xfId="7976"/>
    <cellStyle name="subtotal 3 10 2" xfId="6138"/>
    <cellStyle name="subtotal 3 10 2 2" xfId="12863"/>
    <cellStyle name="subtotal 3 11" xfId="10102"/>
    <cellStyle name="subtotal 3 11 2" xfId="10204"/>
    <cellStyle name="subtotal 3 11 2 2" xfId="16589"/>
    <cellStyle name="subtotal 3 12" xfId="6447"/>
    <cellStyle name="subtotal 3 13" xfId="10148"/>
    <cellStyle name="subtotal 3 14" xfId="5949"/>
    <cellStyle name="subtotal 3 14 2" xfId="12837"/>
    <cellStyle name="subtotal 3 15" xfId="11361"/>
    <cellStyle name="subtotal 3 2" xfId="5494"/>
    <cellStyle name="Sub-Total 3 2" xfId="9233"/>
    <cellStyle name="subtotal 3 2 2" xfId="9237"/>
    <cellStyle name="Sub-Total 3 2 2" xfId="6244"/>
    <cellStyle name="subtotal 3 2 2 2" xfId="6248"/>
    <cellStyle name="Sub-Total 3 2 2 2" xfId="12969"/>
    <cellStyle name="subtotal 3 2 2 2 2" xfId="12973"/>
    <cellStyle name="subtotal 3 2 3" xfId="7518"/>
    <cellStyle name="subtotal 3 2 4" xfId="10163"/>
    <cellStyle name="subtotal 3 2 5" xfId="12399"/>
    <cellStyle name="subtotal 3 3" xfId="5685"/>
    <cellStyle name="Sub-Total 3 3" xfId="7514"/>
    <cellStyle name="subtotal 3 3 2" xfId="9426"/>
    <cellStyle name="subtotal 3 3 2 2" xfId="6268"/>
    <cellStyle name="subtotal 3 3 2 2 2" xfId="12993"/>
    <cellStyle name="subtotal 3 3 3" xfId="7707"/>
    <cellStyle name="subtotal 3 3 4" xfId="10171"/>
    <cellStyle name="subtotal 3 3 5" xfId="12578"/>
    <cellStyle name="subtotal 3 4" xfId="9744"/>
    <cellStyle name="Sub-Total 3 4" xfId="10159"/>
    <cellStyle name="subtotal 3 4 2" xfId="10116"/>
    <cellStyle name="subtotal 3 4 2 2" xfId="10218"/>
    <cellStyle name="subtotal 3 4 2 2 2" xfId="16603"/>
    <cellStyle name="subtotal 3 4 3" xfId="6291"/>
    <cellStyle name="subtotal 3 4 3 2" xfId="13014"/>
    <cellStyle name="subtotal 3 5" xfId="10072"/>
    <cellStyle name="Sub-Total 3 5" xfId="12395"/>
    <cellStyle name="subtotal 3 5 2" xfId="10133"/>
    <cellStyle name="subtotal 3 5 2 2" xfId="10235"/>
    <cellStyle name="subtotal 3 5 2 2 2" xfId="16620"/>
    <cellStyle name="subtotal 3 5 3" xfId="10174"/>
    <cellStyle name="subtotal 3 5 3 2" xfId="16559"/>
    <cellStyle name="subtotal 3 6" xfId="8166"/>
    <cellStyle name="subtotal 3 6 2" xfId="6189"/>
    <cellStyle name="subtotal 3 6 2 2" xfId="12914"/>
    <cellStyle name="subtotal 3 7" xfId="10081"/>
    <cellStyle name="subtotal 3 7 2" xfId="10183"/>
    <cellStyle name="subtotal 3 7 2 2" xfId="16568"/>
    <cellStyle name="subtotal 3 8" xfId="7981"/>
    <cellStyle name="subtotal 3 8 2" xfId="6143"/>
    <cellStyle name="subtotal 3 8 2 2" xfId="12868"/>
    <cellStyle name="subtotal 3 9" xfId="7964"/>
    <cellStyle name="subtotal 3 9 2" xfId="6128"/>
    <cellStyle name="subtotal 3 9 2 2" xfId="12853"/>
    <cellStyle name="subtotal 4" xfId="5489"/>
    <cellStyle name="Sub-Total 4" xfId="5682"/>
    <cellStyle name="subtotal 4 2" xfId="9232"/>
    <cellStyle name="Sub-Total 4 2" xfId="9423"/>
    <cellStyle name="subtotal 4 2 2" xfId="6243"/>
    <cellStyle name="Sub-Total 4 2 2" xfId="6265"/>
    <cellStyle name="subtotal 4 2 2 2" xfId="12968"/>
    <cellStyle name="Sub-Total 4 2 2 2" xfId="12990"/>
    <cellStyle name="subtotal 4 3" xfId="7513"/>
    <cellStyle name="Sub-Total 4 3" xfId="7704"/>
    <cellStyle name="subtotal 4 4" xfId="10158"/>
    <cellStyle name="Sub-Total 4 4" xfId="10168"/>
    <cellStyle name="subtotal 4 5" xfId="12394"/>
    <cellStyle name="Sub-Total 4 5" xfId="12575"/>
    <cellStyle name="subtotal 5" xfId="5681"/>
    <cellStyle name="Sub-Total 5" xfId="9683"/>
    <cellStyle name="subtotal 5 2" xfId="9422"/>
    <cellStyle name="Sub-Total 5 2" xfId="10107"/>
    <cellStyle name="subtotal 5 2 2" xfId="6264"/>
    <cellStyle name="Sub-Total 5 2 2" xfId="10209"/>
    <cellStyle name="subtotal 5 2 2 2" xfId="12989"/>
    <cellStyle name="Sub-Total 5 2 2 2" xfId="16594"/>
    <cellStyle name="subtotal 5 3" xfId="7703"/>
    <cellStyle name="Sub-Total 5 3" xfId="8005"/>
    <cellStyle name="Sub-Total 5 3 2" xfId="6161"/>
    <cellStyle name="Sub-Total 5 3 2 2" xfId="12886"/>
    <cellStyle name="subtotal 5 4" xfId="10167"/>
    <cellStyle name="Sub-Total 5 4" xfId="10075"/>
    <cellStyle name="Sub-Total 5 4 2" xfId="10177"/>
    <cellStyle name="Sub-Total 5 4 2 2" xfId="16562"/>
    <cellStyle name="subtotal 5 5" xfId="12574"/>
    <cellStyle name="Sub-Total 5 5" xfId="7998"/>
    <cellStyle name="Sub-Total 5 5 2" xfId="6154"/>
    <cellStyle name="Sub-Total 5 5 2 2" xfId="12879"/>
    <cellStyle name="Sub-Total 5 6" xfId="10082"/>
    <cellStyle name="Sub-Total 5 6 2" xfId="10184"/>
    <cellStyle name="Sub-Total 5 6 2 2" xfId="16569"/>
    <cellStyle name="Sub-Total 5 7" xfId="6284"/>
    <cellStyle name="Sub-Total 5 7 2" xfId="13007"/>
    <cellStyle name="subtotal 6" xfId="9682"/>
    <cellStyle name="Sub-Total 6" xfId="9672"/>
    <cellStyle name="subtotal 6 2" xfId="10106"/>
    <cellStyle name="Sub-Total 6 2" xfId="10104"/>
    <cellStyle name="subtotal 6 2 2" xfId="10208"/>
    <cellStyle name="Sub-Total 6 2 2" xfId="10206"/>
    <cellStyle name="subtotal 6 2 2 2" xfId="16593"/>
    <cellStyle name="Sub-Total 6 2 2 2" xfId="16591"/>
    <cellStyle name="subtotal 6 3" xfId="8004"/>
    <cellStyle name="Sub-Total 6 3" xfId="8002"/>
    <cellStyle name="subtotal 6 3 2" xfId="6160"/>
    <cellStyle name="Sub-Total 6 3 2" xfId="6158"/>
    <cellStyle name="subtotal 6 3 2 2" xfId="12885"/>
    <cellStyle name="Sub-Total 6 3 2 2" xfId="12883"/>
    <cellStyle name="subtotal 6 4" xfId="10114"/>
    <cellStyle name="Sub-Total 6 4" xfId="10113"/>
    <cellStyle name="subtotal 6 4 2" xfId="10216"/>
    <cellStyle name="Sub-Total 6 4 2" xfId="10215"/>
    <cellStyle name="subtotal 6 4 2 2" xfId="16601"/>
    <cellStyle name="Sub-Total 6 4 2 2" xfId="16600"/>
    <cellStyle name="subtotal 6 5" xfId="7991"/>
    <cellStyle name="Sub-Total 6 5" xfId="7985"/>
    <cellStyle name="subtotal 6 5 2" xfId="6149"/>
    <cellStyle name="Sub-Total 6 5 2" xfId="6147"/>
    <cellStyle name="subtotal 6 5 2 2" xfId="12874"/>
    <cellStyle name="Sub-Total 6 5 2 2" xfId="12872"/>
    <cellStyle name="subtotal 6 6" xfId="10085"/>
    <cellStyle name="Sub-Total 6 6" xfId="10095"/>
    <cellStyle name="subtotal 6 6 2" xfId="10187"/>
    <cellStyle name="Sub-Total 6 6 2" xfId="10197"/>
    <cellStyle name="subtotal 6 6 2 2" xfId="16572"/>
    <cellStyle name="Sub-Total 6 6 2 2" xfId="16582"/>
    <cellStyle name="subtotal 6 7" xfId="6283"/>
    <cellStyle name="Sub-Total 6 7" xfId="6281"/>
    <cellStyle name="subtotal 6 7 2" xfId="13006"/>
    <cellStyle name="Sub-Total 6 7 2" xfId="13004"/>
    <cellStyle name="subtotal 7" xfId="9673"/>
    <cellStyle name="Sub-Total 7" xfId="8162"/>
    <cellStyle name="subtotal 7 2" xfId="10105"/>
    <cellStyle name="Sub-Total 7 2" xfId="6185"/>
    <cellStyle name="subtotal 7 2 2" xfId="10207"/>
    <cellStyle name="Sub-Total 7 2 2" xfId="12910"/>
    <cellStyle name="subtotal 7 2 2 2" xfId="16592"/>
    <cellStyle name="subtotal 7 3" xfId="8003"/>
    <cellStyle name="subtotal 7 3 2" xfId="6159"/>
    <cellStyle name="subtotal 7 3 2 2" xfId="12884"/>
    <cellStyle name="subtotal 7 4" xfId="10074"/>
    <cellStyle name="subtotal 7 4 2" xfId="10176"/>
    <cellStyle name="subtotal 7 4 2 2" xfId="16561"/>
    <cellStyle name="subtotal 7 5" xfId="7992"/>
    <cellStyle name="subtotal 7 5 2" xfId="6150"/>
    <cellStyle name="subtotal 7 5 2 2" xfId="12875"/>
    <cellStyle name="subtotal 7 6" xfId="10136"/>
    <cellStyle name="subtotal 7 6 2" xfId="10238"/>
    <cellStyle name="subtotal 7 6 2 2" xfId="16623"/>
    <cellStyle name="subtotal 7 7" xfId="6282"/>
    <cellStyle name="subtotal 7 7 2" xfId="13005"/>
    <cellStyle name="subtotal 8" xfId="8161"/>
    <cellStyle name="Sub-Total 8" xfId="10078"/>
    <cellStyle name="subtotal 8 2" xfId="6184"/>
    <cellStyle name="Sub-Total 8 2" xfId="10180"/>
    <cellStyle name="subtotal 8 2 2" xfId="12909"/>
    <cellStyle name="Sub-Total 8 2 2" xfId="16565"/>
    <cellStyle name="subtotal 9" xfId="10077"/>
    <cellStyle name="Sub-Total 9" xfId="7978"/>
    <cellStyle name="subtotal 9 2" xfId="10179"/>
    <cellStyle name="Sub-Total 9 2" xfId="6140"/>
    <cellStyle name="subtotal 9 2 2" xfId="16564"/>
    <cellStyle name="Sub-Total 9 2 2" xfId="12865"/>
    <cellStyle name="Sweep Change" xfId="4351"/>
    <cellStyle name="SYSTEM" xfId="4352"/>
    <cellStyle name="t" xfId="4353"/>
    <cellStyle name="Table Heading" xfId="4354"/>
    <cellStyle name="Text_In" xfId="4355"/>
    <cellStyle name="Thousands£" xfId="4356"/>
    <cellStyle name="Thousands£ (2dp)" xfId="4357"/>
    <cellStyle name="TIME Detail" xfId="4358"/>
    <cellStyle name="TIME Period Start" xfId="4359"/>
    <cellStyle name="time variable" xfId="4360"/>
    <cellStyle name="Title 1" xfId="4361"/>
    <cellStyle name="Title 2" xfId="4362"/>
    <cellStyle name="Title 3" xfId="4363"/>
    <cellStyle name="Title 4" xfId="4364"/>
    <cellStyle name="TitlePage" xfId="4365"/>
    <cellStyle name="Titulo" xfId="4366"/>
    <cellStyle name="To" xfId="4367"/>
    <cellStyle name="Total - Grand" xfId="4368"/>
    <cellStyle name="Total - Sub" xfId="4369"/>
    <cellStyle name="Total - Sub 2" xfId="4370"/>
    <cellStyle name="Total - Sub 2 2" xfId="5496"/>
    <cellStyle name="Total - Sub 2 2 2" xfId="9239"/>
    <cellStyle name="Total - Sub 2 2 2 2" xfId="6250"/>
    <cellStyle name="Total - Sub 2 2 2 2 2" xfId="12975"/>
    <cellStyle name="Total - Sub 2 2 3" xfId="7520"/>
    <cellStyle name="Total - Sub 2 3" xfId="8168"/>
    <cellStyle name="Total - Sub 2 3 2" xfId="6191"/>
    <cellStyle name="Total - Sub 2 3 2 2" xfId="12916"/>
    <cellStyle name="Total - Sub 2 4" xfId="6449"/>
    <cellStyle name="Total - Sub 3" xfId="5495"/>
    <cellStyle name="Total - Sub 3 2" xfId="9238"/>
    <cellStyle name="Total - Sub 3 2 2" xfId="6249"/>
    <cellStyle name="Total - Sub 3 2 2 2" xfId="12974"/>
    <cellStyle name="Total - Sub 3 3" xfId="7519"/>
    <cellStyle name="Total - Sub 4" xfId="8167"/>
    <cellStyle name="Total - Sub 4 2" xfId="6190"/>
    <cellStyle name="Total - Sub 4 2 2" xfId="12915"/>
    <cellStyle name="Total - Sub 5" xfId="6448"/>
    <cellStyle name="Total 1" xfId="4371"/>
    <cellStyle name="Total 1 2" xfId="4372"/>
    <cellStyle name="Total 1 2 2" xfId="4373"/>
    <cellStyle name="Total 1 2 2 2" xfId="4816"/>
    <cellStyle name="Total 1 2 2 2 2" xfId="8559"/>
    <cellStyle name="Total 1 2 2 2 2 2" xfId="6218"/>
    <cellStyle name="Total 1 2 2 2 2 2 2" xfId="12943"/>
    <cellStyle name="Total 1 2 2 2 3" xfId="10087"/>
    <cellStyle name="Total 1 2 2 2 3 2" xfId="10189"/>
    <cellStyle name="Total 1 2 2 2 3 2 2" xfId="16574"/>
    <cellStyle name="Total 1 2 2 2 4" xfId="6840"/>
    <cellStyle name="Total 1 2 2 2 5" xfId="5951"/>
    <cellStyle name="Total 1 2 2 2 5 2" xfId="12839"/>
    <cellStyle name="Total 1 2 2 3" xfId="9807"/>
    <cellStyle name="Total 1 2 2 3 2" xfId="10121"/>
    <cellStyle name="Total 1 2 2 3 2 2" xfId="10223"/>
    <cellStyle name="Total 1 2 2 3 2 2 2" xfId="16608"/>
    <cellStyle name="Total 1 2 2 3 3" xfId="6369"/>
    <cellStyle name="Total 1 2 2 3 3 2" xfId="13092"/>
    <cellStyle name="Total 1 2 2 4" xfId="8171"/>
    <cellStyle name="Total 1 2 2 4 2" xfId="6194"/>
    <cellStyle name="Total 1 2 2 4 2 2" xfId="12919"/>
    <cellStyle name="Total 1 2 2 5" xfId="6452"/>
    <cellStyle name="Total 1 2 2 5 2" xfId="13150"/>
    <cellStyle name="Total 1 2 3" xfId="9686"/>
    <cellStyle name="Total 1 2 3 2" xfId="10110"/>
    <cellStyle name="Total 1 2 3 2 2" xfId="10212"/>
    <cellStyle name="Total 1 2 3 2 2 2" xfId="16597"/>
    <cellStyle name="Total 1 2 3 3" xfId="6287"/>
    <cellStyle name="Total 1 2 3 3 2" xfId="13010"/>
    <cellStyle name="Total 1 2 4" xfId="8170"/>
    <cellStyle name="Total 1 2 4 2" xfId="6193"/>
    <cellStyle name="Total 1 2 4 2 2" xfId="12918"/>
    <cellStyle name="Total 1 2 5" xfId="6451"/>
    <cellStyle name="Total 1 2 5 2" xfId="13149"/>
    <cellStyle name="Total 1 3" xfId="4374"/>
    <cellStyle name="Total 1 3 2" xfId="4815"/>
    <cellStyle name="Total 1 3 2 2" xfId="8558"/>
    <cellStyle name="Total 1 3 2 2 2" xfId="6217"/>
    <cellStyle name="Total 1 3 2 2 2 2" xfId="12942"/>
    <cellStyle name="Total 1 3 2 3" xfId="10086"/>
    <cellStyle name="Total 1 3 2 3 2" xfId="10188"/>
    <cellStyle name="Total 1 3 2 3 2 2" xfId="16573"/>
    <cellStyle name="Total 1 3 2 4" xfId="6839"/>
    <cellStyle name="Total 1 3 2 5" xfId="5950"/>
    <cellStyle name="Total 1 3 2 5 2" xfId="12838"/>
    <cellStyle name="Total 1 3 3" xfId="9806"/>
    <cellStyle name="Total 1 3 3 2" xfId="10120"/>
    <cellStyle name="Total 1 3 3 2 2" xfId="10222"/>
    <cellStyle name="Total 1 3 3 2 2 2" xfId="16607"/>
    <cellStyle name="Total 1 3 3 3" xfId="6368"/>
    <cellStyle name="Total 1 3 3 3 2" xfId="13091"/>
    <cellStyle name="Total 1 3 4" xfId="8172"/>
    <cellStyle name="Total 1 3 4 2" xfId="6195"/>
    <cellStyle name="Total 1 3 4 2 2" xfId="12920"/>
    <cellStyle name="Total 1 3 5" xfId="6453"/>
    <cellStyle name="Total 1 3 5 2" xfId="13151"/>
    <cellStyle name="Total 1 4" xfId="9685"/>
    <cellStyle name="Total 1 4 2" xfId="10109"/>
    <cellStyle name="Total 1 4 2 2" xfId="10211"/>
    <cellStyle name="Total 1 4 2 2 2" xfId="16596"/>
    <cellStyle name="Total 1 4 3" xfId="6286"/>
    <cellStyle name="Total 1 4 3 2" xfId="13009"/>
    <cellStyle name="Total 1 5" xfId="8169"/>
    <cellStyle name="Total 1 5 2" xfId="6192"/>
    <cellStyle name="Total 1 5 2 2" xfId="12917"/>
    <cellStyle name="Total 1 6" xfId="6450"/>
    <cellStyle name="Total 1 6 2" xfId="13148"/>
    <cellStyle name="Total 2" xfId="4375"/>
    <cellStyle name="Total 2 2" xfId="4376"/>
    <cellStyle name="Total 2 2 2" xfId="4377"/>
    <cellStyle name="Total 2 2 2 2" xfId="5499"/>
    <cellStyle name="Total 2 2 2 2 2" xfId="9242"/>
    <cellStyle name="Total 2 2 2 2 2 2" xfId="6253"/>
    <cellStyle name="Total 2 2 2 2 2 2 2" xfId="12978"/>
    <cellStyle name="Total 2 2 2 2 3" xfId="7523"/>
    <cellStyle name="Total 2 2 2 3" xfId="8175"/>
    <cellStyle name="Total 2 2 2 3 2" xfId="6198"/>
    <cellStyle name="Total 2 2 2 3 2 2" xfId="12923"/>
    <cellStyle name="Total 2 2 2 4" xfId="6456"/>
    <cellStyle name="Total 2 2 3" xfId="5498"/>
    <cellStyle name="Total 2 2 3 2" xfId="9241"/>
    <cellStyle name="Total 2 2 3 2 2" xfId="6252"/>
    <cellStyle name="Total 2 2 3 2 2 2" xfId="12977"/>
    <cellStyle name="Total 2 2 3 3" xfId="7522"/>
    <cellStyle name="Total 2 2 4" xfId="8174"/>
    <cellStyle name="Total 2 2 4 2" xfId="6197"/>
    <cellStyle name="Total 2 2 4 2 2" xfId="12922"/>
    <cellStyle name="Total 2 2 5" xfId="6455"/>
    <cellStyle name="Total 2 3" xfId="4378"/>
    <cellStyle name="Total 2 3 2" xfId="5500"/>
    <cellStyle name="Total 2 3 2 2" xfId="9243"/>
    <cellStyle name="Total 2 3 2 2 2" xfId="6254"/>
    <cellStyle name="Total 2 3 2 2 2 2" xfId="12979"/>
    <cellStyle name="Total 2 3 2 3" xfId="7524"/>
    <cellStyle name="Total 2 3 3" xfId="8176"/>
    <cellStyle name="Total 2 3 3 2" xfId="6199"/>
    <cellStyle name="Total 2 3 3 2 2" xfId="12924"/>
    <cellStyle name="Total 2 3 4" xfId="6457"/>
    <cellStyle name="Total 2 4" xfId="5497"/>
    <cellStyle name="Total 2 4 2" xfId="9240"/>
    <cellStyle name="Total 2 4 2 2" xfId="6251"/>
    <cellStyle name="Total 2 4 2 2 2" xfId="12976"/>
    <cellStyle name="Total 2 4 3" xfId="7521"/>
    <cellStyle name="Total 2 5" xfId="8173"/>
    <cellStyle name="Total 2 5 2" xfId="6196"/>
    <cellStyle name="Total 2 5 2 2" xfId="12921"/>
    <cellStyle name="Total 2 6" xfId="6454"/>
    <cellStyle name="Total 3" xfId="4379"/>
    <cellStyle name="Total 3 2" xfId="4380"/>
    <cellStyle name="Total 3 2 2" xfId="4381"/>
    <cellStyle name="Total 3 2 2 2" xfId="4818"/>
    <cellStyle name="Total 3 2 2 2 2" xfId="8561"/>
    <cellStyle name="Total 3 2 2 2 2 2" xfId="6220"/>
    <cellStyle name="Total 3 2 2 2 2 2 2" xfId="12945"/>
    <cellStyle name="Total 3 2 2 2 3" xfId="10089"/>
    <cellStyle name="Total 3 2 2 2 3 2" xfId="10191"/>
    <cellStyle name="Total 3 2 2 2 3 2 2" xfId="16576"/>
    <cellStyle name="Total 3 2 2 2 4" xfId="6842"/>
    <cellStyle name="Total 3 2 2 2 5" xfId="5953"/>
    <cellStyle name="Total 3 2 2 2 5 2" xfId="12841"/>
    <cellStyle name="Total 3 2 2 3" xfId="9809"/>
    <cellStyle name="Total 3 2 2 3 2" xfId="10123"/>
    <cellStyle name="Total 3 2 2 3 2 2" xfId="10225"/>
    <cellStyle name="Total 3 2 2 3 2 2 2" xfId="16610"/>
    <cellStyle name="Total 3 2 2 3 3" xfId="6371"/>
    <cellStyle name="Total 3 2 2 3 3 2" xfId="13094"/>
    <cellStyle name="Total 3 2 2 4" xfId="8179"/>
    <cellStyle name="Total 3 2 2 4 2" xfId="6202"/>
    <cellStyle name="Total 3 2 2 4 2 2" xfId="12927"/>
    <cellStyle name="Total 3 2 2 5" xfId="6460"/>
    <cellStyle name="Total 3 2 2 5 2" xfId="13154"/>
    <cellStyle name="Total 3 2 3" xfId="9688"/>
    <cellStyle name="Total 3 2 3 2" xfId="10112"/>
    <cellStyle name="Total 3 2 3 2 2" xfId="10214"/>
    <cellStyle name="Total 3 2 3 2 2 2" xfId="16599"/>
    <cellStyle name="Total 3 2 3 3" xfId="6289"/>
    <cellStyle name="Total 3 2 3 3 2" xfId="13012"/>
    <cellStyle name="Total 3 2 4" xfId="8178"/>
    <cellStyle name="Total 3 2 4 2" xfId="6201"/>
    <cellStyle name="Total 3 2 4 2 2" xfId="12926"/>
    <cellStyle name="Total 3 2 5" xfId="6459"/>
    <cellStyle name="Total 3 2 5 2" xfId="13153"/>
    <cellStyle name="Total 3 3" xfId="4382"/>
    <cellStyle name="Total 3 3 2" xfId="4817"/>
    <cellStyle name="Total 3 3 2 2" xfId="8560"/>
    <cellStyle name="Total 3 3 2 2 2" xfId="6219"/>
    <cellStyle name="Total 3 3 2 2 2 2" xfId="12944"/>
    <cellStyle name="Total 3 3 2 3" xfId="10088"/>
    <cellStyle name="Total 3 3 2 3 2" xfId="10190"/>
    <cellStyle name="Total 3 3 2 3 2 2" xfId="16575"/>
    <cellStyle name="Total 3 3 2 4" xfId="6841"/>
    <cellStyle name="Total 3 3 2 5" xfId="5952"/>
    <cellStyle name="Total 3 3 2 5 2" xfId="12840"/>
    <cellStyle name="Total 3 3 3" xfId="9808"/>
    <cellStyle name="Total 3 3 3 2" xfId="10122"/>
    <cellStyle name="Total 3 3 3 2 2" xfId="10224"/>
    <cellStyle name="Total 3 3 3 2 2 2" xfId="16609"/>
    <cellStyle name="Total 3 3 3 3" xfId="6370"/>
    <cellStyle name="Total 3 3 3 3 2" xfId="13093"/>
    <cellStyle name="Total 3 3 4" xfId="8180"/>
    <cellStyle name="Total 3 3 4 2" xfId="6203"/>
    <cellStyle name="Total 3 3 4 2 2" xfId="12928"/>
    <cellStyle name="Total 3 3 5" xfId="6461"/>
    <cellStyle name="Total 3 3 5 2" xfId="13155"/>
    <cellStyle name="Total 3 4" xfId="9687"/>
    <cellStyle name="Total 3 4 2" xfId="10111"/>
    <cellStyle name="Total 3 4 2 2" xfId="10213"/>
    <cellStyle name="Total 3 4 2 2 2" xfId="16598"/>
    <cellStyle name="Total 3 4 3" xfId="6288"/>
    <cellStyle name="Total 3 4 3 2" xfId="13011"/>
    <cellStyle name="Total 3 5" xfId="8177"/>
    <cellStyle name="Total 3 5 2" xfId="6200"/>
    <cellStyle name="Total 3 5 2 2" xfId="12925"/>
    <cellStyle name="Total 3 6" xfId="6458"/>
    <cellStyle name="Total 3 6 2" xfId="13152"/>
    <cellStyle name="Total 4" xfId="4383"/>
    <cellStyle name="Total 4 2" xfId="4384"/>
    <cellStyle name="Total 4 2 2" xfId="4385"/>
    <cellStyle name="Total 4 2 2 2" xfId="5503"/>
    <cellStyle name="Total 4 2 2 2 2" xfId="9246"/>
    <cellStyle name="Total 4 2 2 2 2 2" xfId="6257"/>
    <cellStyle name="Total 4 2 2 2 2 2 2" xfId="12982"/>
    <cellStyle name="Total 4 2 2 2 3" xfId="7527"/>
    <cellStyle name="Total 4 2 2 3" xfId="8183"/>
    <cellStyle name="Total 4 2 2 3 2" xfId="6206"/>
    <cellStyle name="Total 4 2 2 3 2 2" xfId="12931"/>
    <cellStyle name="Total 4 2 2 4" xfId="6464"/>
    <cellStyle name="Total 4 2 3" xfId="5502"/>
    <cellStyle name="Total 4 2 3 2" xfId="9245"/>
    <cellStyle name="Total 4 2 3 2 2" xfId="6256"/>
    <cellStyle name="Total 4 2 3 2 2 2" xfId="12981"/>
    <cellStyle name="Total 4 2 3 3" xfId="7526"/>
    <cellStyle name="Total 4 2 4" xfId="8182"/>
    <cellStyle name="Total 4 2 4 2" xfId="6205"/>
    <cellStyle name="Total 4 2 4 2 2" xfId="12930"/>
    <cellStyle name="Total 4 2 5" xfId="6463"/>
    <cellStyle name="Total 4 3" xfId="4386"/>
    <cellStyle name="Total 4 3 2" xfId="5504"/>
    <cellStyle name="Total 4 3 2 2" xfId="9247"/>
    <cellStyle name="Total 4 3 2 2 2" xfId="6258"/>
    <cellStyle name="Total 4 3 2 2 2 2" xfId="12983"/>
    <cellStyle name="Total 4 3 2 3" xfId="7528"/>
    <cellStyle name="Total 4 3 3" xfId="8184"/>
    <cellStyle name="Total 4 3 3 2" xfId="6207"/>
    <cellStyle name="Total 4 3 3 2 2" xfId="12932"/>
    <cellStyle name="Total 4 3 4" xfId="6465"/>
    <cellStyle name="Total 4 4" xfId="5501"/>
    <cellStyle name="Total 4 4 2" xfId="9244"/>
    <cellStyle name="Total 4 4 2 2" xfId="6255"/>
    <cellStyle name="Total 4 4 2 2 2" xfId="12980"/>
    <cellStyle name="Total 4 4 3" xfId="7525"/>
    <cellStyle name="Total 4 5" xfId="8181"/>
    <cellStyle name="Total 4 5 2" xfId="6204"/>
    <cellStyle name="Total 4 5 2 2" xfId="12929"/>
    <cellStyle name="Total 4 6" xfId="6462"/>
    <cellStyle name="total label" xfId="4387"/>
    <cellStyle name="total variable" xfId="4388"/>
    <cellStyle name="total variable 2" xfId="5505"/>
    <cellStyle name="True value/switch" xfId="4389"/>
    <cellStyle name="Units" xfId="4390"/>
    <cellStyle name="Währung [0]_RESULTS" xfId="4391"/>
    <cellStyle name="Währung_RESULTS" xfId="4392"/>
    <cellStyle name="Warning" xfId="4393"/>
    <cellStyle name="WorkbookLinkCurrency" xfId="4394"/>
    <cellStyle name="WorkbookLinkCurrency 2" xfId="10149"/>
    <cellStyle name="WorkbookLinkNumber" xfId="4395"/>
    <cellStyle name="WorkbookLinkNumber 2" xfId="10150"/>
    <cellStyle name="WorkbookLinkPercent" xfId="4396"/>
    <cellStyle name="WorkbookLinkPercent 2" xfId="10151"/>
    <cellStyle name="WorkbookLinkText" xfId="4397"/>
    <cellStyle name="WorkbookLinkText 2" xfId="10152"/>
    <cellStyle name="year" xfId="4398"/>
    <cellStyle name="yeardate" xfId="4399"/>
    <cellStyle name="years" xfId="4400"/>
    <cellStyle name="yesnoformat" xfId="4401"/>
  </cellStyles>
  <dxfs count="0"/>
  <tableStyles count="0" defaultTableStyle="TableStyleMedium9" defaultPivotStyle="PivotStyleLight16"/>
  <colors>
    <mruColors>
      <color rgb="FF0066FF"/>
      <color rgb="FF99FF99"/>
      <color rgb="FFFFFF99"/>
      <color rgb="FFFFFF66"/>
      <color rgb="FFFFFFCC"/>
      <color rgb="FF00FFFF"/>
      <color rgb="FF8FFC68"/>
      <color rgb="FF00FF00"/>
      <color rgb="FF99CC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Interest Cover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Financeability!$O$62</c:f>
              <c:strCache>
                <c:ptCount val="1"/>
                <c:pt idx="0">
                  <c:v>FFO Interest Cover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Financeability!$P$61:$AX$61</c:f>
              <c:numCache>
                <c:formatCode>0</c:formatCode>
                <c:ptCount val="3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</c:numCache>
            </c:numRef>
          </c:cat>
          <c:val>
            <c:numRef>
              <c:f>Financeability!$P$62:$AX$62</c:f>
              <c:numCache>
                <c:formatCode>0.0</c:formatCode>
                <c:ptCount val="35"/>
                <c:pt idx="0">
                  <c:v>5.0220438053618768</c:v>
                </c:pt>
                <c:pt idx="1">
                  <c:v>4.1799046557199731</c:v>
                </c:pt>
                <c:pt idx="2">
                  <c:v>3.845741049020361</c:v>
                </c:pt>
                <c:pt idx="3">
                  <c:v>3.4546940303875595</c:v>
                </c:pt>
                <c:pt idx="4">
                  <c:v>3.1679500997555747</c:v>
                </c:pt>
                <c:pt idx="5">
                  <c:v>2.9232543262841602</c:v>
                </c:pt>
                <c:pt idx="6">
                  <c:v>3.0087467134467287</c:v>
                </c:pt>
                <c:pt idx="7">
                  <c:v>3.1290114080088123</c:v>
                </c:pt>
                <c:pt idx="8">
                  <c:v>3.2238480296428551</c:v>
                </c:pt>
                <c:pt idx="9">
                  <c:v>3.3023579217277863</c:v>
                </c:pt>
                <c:pt idx="10">
                  <c:v>3.3502420901553411</c:v>
                </c:pt>
                <c:pt idx="11">
                  <c:v>3.4052115095978563</c:v>
                </c:pt>
                <c:pt idx="12">
                  <c:v>3.3167750637421163</c:v>
                </c:pt>
                <c:pt idx="13">
                  <c:v>3.3290596383196513</c:v>
                </c:pt>
                <c:pt idx="14">
                  <c:v>3.3404789587670667</c:v>
                </c:pt>
                <c:pt idx="15">
                  <c:v>3.370466423156798</c:v>
                </c:pt>
                <c:pt idx="16">
                  <c:v>3.4172934882820951</c:v>
                </c:pt>
                <c:pt idx="17">
                  <c:v>3.4694911950505229</c:v>
                </c:pt>
                <c:pt idx="18">
                  <c:v>3.5256480757800239</c:v>
                </c:pt>
                <c:pt idx="19">
                  <c:v>3.5793300304730091</c:v>
                </c:pt>
                <c:pt idx="20">
                  <c:v>3.6178415501447794</c:v>
                </c:pt>
                <c:pt idx="21">
                  <c:v>3.6713908266623259</c:v>
                </c:pt>
                <c:pt idx="22">
                  <c:v>3.7164657067331319</c:v>
                </c:pt>
                <c:pt idx="23">
                  <c:v>3.7689259659712842</c:v>
                </c:pt>
                <c:pt idx="24">
                  <c:v>3.8056626651022833</c:v>
                </c:pt>
                <c:pt idx="25">
                  <c:v>3.8600461729087931</c:v>
                </c:pt>
                <c:pt idx="26">
                  <c:v>3.8760847403639982</c:v>
                </c:pt>
                <c:pt idx="27">
                  <c:v>3.8980600875788016</c:v>
                </c:pt>
                <c:pt idx="28">
                  <c:v>3.9134410648369484</c:v>
                </c:pt>
                <c:pt idx="29">
                  <c:v>3.9336883343200868</c:v>
                </c:pt>
                <c:pt idx="30">
                  <c:v>3.9283621121731991</c:v>
                </c:pt>
                <c:pt idx="31">
                  <c:v>3.9236814596027361</c:v>
                </c:pt>
                <c:pt idx="32">
                  <c:v>3.905772859121095</c:v>
                </c:pt>
                <c:pt idx="33">
                  <c:v>3.885305347999839</c:v>
                </c:pt>
                <c:pt idx="34">
                  <c:v>3.8184560990569909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9-497D-9943-BBB8C2836A51}"/>
            </c:ext>
          </c:extLst>
        </c:ser>
        <c:ser>
          <c:idx val="1"/>
          <c:order val="1"/>
          <c:tx>
            <c:strRef>
              <c:f>Financeability!$O$63</c:f>
              <c:strCache>
                <c:ptCount val="1"/>
                <c:pt idx="0">
                  <c:v>PMICR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Financeability!$P$61:$AX$61</c:f>
              <c:numCache>
                <c:formatCode>0</c:formatCode>
                <c:ptCount val="3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</c:numCache>
            </c:numRef>
          </c:cat>
          <c:val>
            <c:numRef>
              <c:f>Financeability!$P$63:$AX$63</c:f>
              <c:numCache>
                <c:formatCode>0.0</c:formatCode>
                <c:ptCount val="35"/>
                <c:pt idx="0">
                  <c:v>0.77944734296926932</c:v>
                </c:pt>
                <c:pt idx="1">
                  <c:v>1.5947105330745057</c:v>
                </c:pt>
                <c:pt idx="2">
                  <c:v>1.8113394169825314</c:v>
                </c:pt>
                <c:pt idx="3">
                  <c:v>1.5344113903229271</c:v>
                </c:pt>
                <c:pt idx="4">
                  <c:v>1.4934369548511703</c:v>
                </c:pt>
                <c:pt idx="5">
                  <c:v>1.4573786561399324</c:v>
                </c:pt>
                <c:pt idx="6">
                  <c:v>1.4578667822205891</c:v>
                </c:pt>
                <c:pt idx="7">
                  <c:v>1.4579349224960092</c:v>
                </c:pt>
                <c:pt idx="8">
                  <c:v>1.457962787475892</c:v>
                </c:pt>
                <c:pt idx="9">
                  <c:v>1.4579867449326391</c:v>
                </c:pt>
                <c:pt idx="10">
                  <c:v>1.4579949135417802</c:v>
                </c:pt>
                <c:pt idx="11">
                  <c:v>1.4580028251849244</c:v>
                </c:pt>
                <c:pt idx="12">
                  <c:v>1.457978218493881</c:v>
                </c:pt>
                <c:pt idx="13">
                  <c:v>1.4579626429502424</c:v>
                </c:pt>
                <c:pt idx="14">
                  <c:v>1.4579484592910354</c:v>
                </c:pt>
                <c:pt idx="15">
                  <c:v>1.4579442847528015</c:v>
                </c:pt>
                <c:pt idx="16">
                  <c:v>1.4578755389337315</c:v>
                </c:pt>
                <c:pt idx="17">
                  <c:v>1.4579642069514289</c:v>
                </c:pt>
                <c:pt idx="18">
                  <c:v>1.4579583232219233</c:v>
                </c:pt>
                <c:pt idx="19">
                  <c:v>1.4579795546895351</c:v>
                </c:pt>
                <c:pt idx="20">
                  <c:v>1.4579859606417274</c:v>
                </c:pt>
                <c:pt idx="21">
                  <c:v>1.457997929829197</c:v>
                </c:pt>
                <c:pt idx="22">
                  <c:v>1.4580055366034055</c:v>
                </c:pt>
                <c:pt idx="23">
                  <c:v>1.4580006707885824</c:v>
                </c:pt>
                <c:pt idx="24">
                  <c:v>1.4580101913132366</c:v>
                </c:pt>
                <c:pt idx="25">
                  <c:v>1.4580102466437521</c:v>
                </c:pt>
                <c:pt idx="26">
                  <c:v>1.4580162871426499</c:v>
                </c:pt>
                <c:pt idx="27">
                  <c:v>1.4580235454422545</c:v>
                </c:pt>
                <c:pt idx="28">
                  <c:v>1.4580101237549135</c:v>
                </c:pt>
                <c:pt idx="29">
                  <c:v>1.4580058689208126</c:v>
                </c:pt>
                <c:pt idx="30">
                  <c:v>1.4580068156818273</c:v>
                </c:pt>
                <c:pt idx="31">
                  <c:v>1.4579999072801673</c:v>
                </c:pt>
                <c:pt idx="32">
                  <c:v>1.457981993569526</c:v>
                </c:pt>
                <c:pt idx="33">
                  <c:v>1.4579633719278442</c:v>
                </c:pt>
                <c:pt idx="34">
                  <c:v>1.4579288307770644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9-497D-9943-BBB8C2836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561960"/>
        <c:axId val="585572456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Financeability!$O$64</c15:sqref>
                        </c15:formulaRef>
                      </c:ext>
                    </c:extLst>
                    <c:strCache>
                      <c:ptCount val="1"/>
                      <c:pt idx="0">
                        <c:v>Nominal PMICR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Financeability!$P$61:$AX$61</c15:sqref>
                        </c15:formulaRef>
                      </c:ext>
                    </c:extLst>
                    <c:numCache>
                      <c:formatCode>0</c:formatCode>
                      <c:ptCount val="3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  <c:pt idx="32">
                        <c:v>2055</c:v>
                      </c:pt>
                      <c:pt idx="33">
                        <c:v>2056</c:v>
                      </c:pt>
                      <c:pt idx="34">
                        <c:v>2057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Financeability!$P$64:$AX$64</c15:sqref>
                        </c15:formulaRef>
                      </c:ext>
                    </c:extLst>
                    <c:numCache>
                      <c:formatCode>0.0</c:formatCode>
                      <c:ptCount val="35"/>
                      <c:pt idx="0">
                        <c:v>3.5381622062845999</c:v>
                      </c:pt>
                      <c:pt idx="1">
                        <c:v>2.6382303794911981</c:v>
                      </c:pt>
                      <c:pt idx="2">
                        <c:v>2.2651839323301326</c:v>
                      </c:pt>
                      <c:pt idx="3">
                        <c:v>2.3279824664250821</c:v>
                      </c:pt>
                      <c:pt idx="4">
                        <c:v>2.2507385962117463</c:v>
                      </c:pt>
                      <c:pt idx="5">
                        <c:v>2.1594109371029475</c:v>
                      </c:pt>
                      <c:pt idx="6">
                        <c:v>2.1834664365765928</c:v>
                      </c:pt>
                      <c:pt idx="7">
                        <c:v>2.1868244795589269</c:v>
                      </c:pt>
                      <c:pt idx="8">
                        <c:v>2.1881977026570443</c:v>
                      </c:pt>
                      <c:pt idx="9">
                        <c:v>2.1893783578422723</c:v>
                      </c:pt>
                      <c:pt idx="10">
                        <c:v>2.1897809177152197</c:v>
                      </c:pt>
                      <c:pt idx="11">
                        <c:v>2.1901708139635208</c:v>
                      </c:pt>
                      <c:pt idx="12">
                        <c:v>2.1889704043178022</c:v>
                      </c:pt>
                      <c:pt idx="13">
                        <c:v>2.1881916308334652</c:v>
                      </c:pt>
                      <c:pt idx="14">
                        <c:v>2.1874926718317216</c:v>
                      </c:pt>
                      <c:pt idx="15">
                        <c:v>2.1872869756589099</c:v>
                      </c:pt>
                      <c:pt idx="16">
                        <c:v>2.1838991155619607</c:v>
                      </c:pt>
                      <c:pt idx="17">
                        <c:v>2.1882688203100193</c:v>
                      </c:pt>
                      <c:pt idx="18">
                        <c:v>2.1879788937918199</c:v>
                      </c:pt>
                      <c:pt idx="19">
                        <c:v>2.1890252425973733</c:v>
                      </c:pt>
                      <c:pt idx="20">
                        <c:v>2.1893409731546649</c:v>
                      </c:pt>
                      <c:pt idx="21">
                        <c:v>2.1899308709650946</c:v>
                      </c:pt>
                      <c:pt idx="22">
                        <c:v>2.1903057827156616</c:v>
                      </c:pt>
                      <c:pt idx="23">
                        <c:v>2.1900660310037057</c:v>
                      </c:pt>
                      <c:pt idx="24">
                        <c:v>2.1905352584888718</c:v>
                      </c:pt>
                      <c:pt idx="25">
                        <c:v>2.19053803198033</c:v>
                      </c:pt>
                      <c:pt idx="26">
                        <c:v>2.1908357611664138</c:v>
                      </c:pt>
                      <c:pt idx="27">
                        <c:v>2.1911935091640831</c:v>
                      </c:pt>
                      <c:pt idx="28">
                        <c:v>2.1905321208194479</c:v>
                      </c:pt>
                      <c:pt idx="29">
                        <c:v>2.1903224882504886</c:v>
                      </c:pt>
                      <c:pt idx="30">
                        <c:v>2.1903691944760819</c:v>
                      </c:pt>
                      <c:pt idx="31">
                        <c:v>2.1900287895603192</c:v>
                      </c:pt>
                      <c:pt idx="32">
                        <c:v>2.1891460265235771</c:v>
                      </c:pt>
                      <c:pt idx="33">
                        <c:v>2.1882283739283062</c:v>
                      </c:pt>
                      <c:pt idx="34">
                        <c:v>2.1865261772178437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9D39-497D-9943-BBB8C2836A5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Financeability!$O$65</c15:sqref>
                        </c15:formulaRef>
                      </c:ext>
                    </c:extLst>
                    <c:strCache>
                      <c:ptCount val="1"/>
                      <c:pt idx="0">
                        <c:v>FFO / Net Debt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Financeability!$P$61:$AX$61</c15:sqref>
                        </c15:formulaRef>
                      </c:ext>
                    </c:extLst>
                    <c:numCache>
                      <c:formatCode>0</c:formatCode>
                      <c:ptCount val="3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  <c:pt idx="32">
                        <c:v>2055</c:v>
                      </c:pt>
                      <c:pt idx="33">
                        <c:v>2056</c:v>
                      </c:pt>
                      <c:pt idx="34">
                        <c:v>2057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Financeability!$P$65:$AX$65</c15:sqref>
                        </c15:formulaRef>
                      </c:ext>
                    </c:extLst>
                    <c:numCache>
                      <c:formatCode>0.0%</c:formatCode>
                      <c:ptCount val="35"/>
                      <c:pt idx="0">
                        <c:v>0.13956492004605714</c:v>
                      </c:pt>
                      <c:pt idx="1">
                        <c:v>0.12147235784850297</c:v>
                      </c:pt>
                      <c:pt idx="2">
                        <c:v>0.11866740174414905</c:v>
                      </c:pt>
                      <c:pt idx="3">
                        <c:v>0.1109521701735177</c:v>
                      </c:pt>
                      <c:pt idx="4">
                        <c:v>0.10557916985809648</c:v>
                      </c:pt>
                      <c:pt idx="5">
                        <c:v>0.10039387583203316</c:v>
                      </c:pt>
                      <c:pt idx="6">
                        <c:v>0.10485657844191922</c:v>
                      </c:pt>
                      <c:pt idx="7">
                        <c:v>0.11113439549805999</c:v>
                      </c:pt>
                      <c:pt idx="8">
                        <c:v>0.11608486714735701</c:v>
                      </c:pt>
                      <c:pt idx="9">
                        <c:v>0.12018308351419044</c:v>
                      </c:pt>
                      <c:pt idx="10">
                        <c:v>0.1226826371061088</c:v>
                      </c:pt>
                      <c:pt idx="11">
                        <c:v>0.1255520408010081</c:v>
                      </c:pt>
                      <c:pt idx="12">
                        <c:v>0.12093565832733846</c:v>
                      </c:pt>
                      <c:pt idx="13">
                        <c:v>0.12157691312028579</c:v>
                      </c:pt>
                      <c:pt idx="14">
                        <c:v>0.12217300164764086</c:v>
                      </c:pt>
                      <c:pt idx="15">
                        <c:v>0.12373834728878486</c:v>
                      </c:pt>
                      <c:pt idx="16">
                        <c:v>0.12618272008832535</c:v>
                      </c:pt>
                      <c:pt idx="17">
                        <c:v>0.12890744038163729</c:v>
                      </c:pt>
                      <c:pt idx="18">
                        <c:v>0.13183882955571724</c:v>
                      </c:pt>
                      <c:pt idx="19">
                        <c:v>0.13464102759069108</c:v>
                      </c:pt>
                      <c:pt idx="20">
                        <c:v>0.13665132891755749</c:v>
                      </c:pt>
                      <c:pt idx="21">
                        <c:v>0.1394466011517734</c:v>
                      </c:pt>
                      <c:pt idx="22">
                        <c:v>0.14179950989146947</c:v>
                      </c:pt>
                      <c:pt idx="23">
                        <c:v>0.14453793542370102</c:v>
                      </c:pt>
                      <c:pt idx="24">
                        <c:v>0.14645559111833917</c:v>
                      </c:pt>
                      <c:pt idx="25">
                        <c:v>0.14929441022583897</c:v>
                      </c:pt>
                      <c:pt idx="26">
                        <c:v>0.15013162344700068</c:v>
                      </c:pt>
                      <c:pt idx="27">
                        <c:v>0.15127873657161342</c:v>
                      </c:pt>
                      <c:pt idx="28">
                        <c:v>0.15208162358448868</c:v>
                      </c:pt>
                      <c:pt idx="29">
                        <c:v>0.15313853105150851</c:v>
                      </c:pt>
                      <c:pt idx="30">
                        <c:v>0.15286050225544096</c:v>
                      </c:pt>
                      <c:pt idx="31">
                        <c:v>0.15261617219126283</c:v>
                      </c:pt>
                      <c:pt idx="32">
                        <c:v>0.15168134324612115</c:v>
                      </c:pt>
                      <c:pt idx="33">
                        <c:v>0.1506129391655916</c:v>
                      </c:pt>
                      <c:pt idx="34">
                        <c:v>0.14712340837077492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D39-497D-9943-BBB8C2836A5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Financeability!$O$66</c15:sqref>
                        </c15:formulaRef>
                      </c:ext>
                    </c:extLst>
                    <c:strCache>
                      <c:ptCount val="1"/>
                      <c:pt idx="0">
                        <c:v>Gearing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Financeability!$P$61:$AX$61</c15:sqref>
                        </c15:formulaRef>
                      </c:ext>
                    </c:extLst>
                    <c:numCache>
                      <c:formatCode>0</c:formatCode>
                      <c:ptCount val="3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  <c:pt idx="25">
                        <c:v>2048</c:v>
                      </c:pt>
                      <c:pt idx="26">
                        <c:v>2049</c:v>
                      </c:pt>
                      <c:pt idx="27">
                        <c:v>2050</c:v>
                      </c:pt>
                      <c:pt idx="28">
                        <c:v>2051</c:v>
                      </c:pt>
                      <c:pt idx="29">
                        <c:v>2052</c:v>
                      </c:pt>
                      <c:pt idx="30">
                        <c:v>2053</c:v>
                      </c:pt>
                      <c:pt idx="31">
                        <c:v>2054</c:v>
                      </c:pt>
                      <c:pt idx="32">
                        <c:v>2055</c:v>
                      </c:pt>
                      <c:pt idx="33">
                        <c:v>2056</c:v>
                      </c:pt>
                      <c:pt idx="34">
                        <c:v>2057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Financeability!$P$66:$AX$66</c15:sqref>
                        </c15:formulaRef>
                      </c:ext>
                    </c:extLst>
                    <c:numCache>
                      <c:formatCode>0.0%</c:formatCode>
                      <c:ptCount val="35"/>
                      <c:pt idx="0">
                        <c:v>0.55000000000000004</c:v>
                      </c:pt>
                      <c:pt idx="1">
                        <c:v>0.55000000000000004</c:v>
                      </c:pt>
                      <c:pt idx="2">
                        <c:v>0.55000000000000004</c:v>
                      </c:pt>
                      <c:pt idx="3">
                        <c:v>0.55000000000000004</c:v>
                      </c:pt>
                      <c:pt idx="4">
                        <c:v>0.55000000000000004</c:v>
                      </c:pt>
                      <c:pt idx="5">
                        <c:v>0.55000000000000004</c:v>
                      </c:pt>
                      <c:pt idx="6">
                        <c:v>0.55000000000000004</c:v>
                      </c:pt>
                      <c:pt idx="7">
                        <c:v>0.55000000000000004</c:v>
                      </c:pt>
                      <c:pt idx="8">
                        <c:v>0.55000000000000004</c:v>
                      </c:pt>
                      <c:pt idx="9">
                        <c:v>0.55000000000000004</c:v>
                      </c:pt>
                      <c:pt idx="10">
                        <c:v>0.55000000000000004</c:v>
                      </c:pt>
                      <c:pt idx="11">
                        <c:v>0.55000000000000004</c:v>
                      </c:pt>
                      <c:pt idx="12">
                        <c:v>0.55000000000000004</c:v>
                      </c:pt>
                      <c:pt idx="13">
                        <c:v>0.55000000000000004</c:v>
                      </c:pt>
                      <c:pt idx="14">
                        <c:v>0.55000000000000004</c:v>
                      </c:pt>
                      <c:pt idx="15">
                        <c:v>0.55000000000000004</c:v>
                      </c:pt>
                      <c:pt idx="16">
                        <c:v>0.55000000000000004</c:v>
                      </c:pt>
                      <c:pt idx="17">
                        <c:v>0.55000000000000004</c:v>
                      </c:pt>
                      <c:pt idx="18">
                        <c:v>0.55000000000000004</c:v>
                      </c:pt>
                      <c:pt idx="19">
                        <c:v>0.55000000000000004</c:v>
                      </c:pt>
                      <c:pt idx="20">
                        <c:v>0.55000000000000004</c:v>
                      </c:pt>
                      <c:pt idx="21">
                        <c:v>0.55000000000000004</c:v>
                      </c:pt>
                      <c:pt idx="22">
                        <c:v>0.55000000000000004</c:v>
                      </c:pt>
                      <c:pt idx="23">
                        <c:v>0.55000000000000004</c:v>
                      </c:pt>
                      <c:pt idx="24">
                        <c:v>0.55000000000000004</c:v>
                      </c:pt>
                      <c:pt idx="25">
                        <c:v>0.55000000000000004</c:v>
                      </c:pt>
                      <c:pt idx="26">
                        <c:v>0.55000000000000004</c:v>
                      </c:pt>
                      <c:pt idx="27">
                        <c:v>0.55000000000000004</c:v>
                      </c:pt>
                      <c:pt idx="28">
                        <c:v>0.55000000000000004</c:v>
                      </c:pt>
                      <c:pt idx="29">
                        <c:v>0.55000000000000004</c:v>
                      </c:pt>
                      <c:pt idx="30">
                        <c:v>0.55000000000000004</c:v>
                      </c:pt>
                      <c:pt idx="31">
                        <c:v>0.55000000000000004</c:v>
                      </c:pt>
                      <c:pt idx="32">
                        <c:v>0.55000000000000004</c:v>
                      </c:pt>
                      <c:pt idx="33">
                        <c:v>0.55000000000000004</c:v>
                      </c:pt>
                      <c:pt idx="34">
                        <c:v>0.55000000000000004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D39-497D-9943-BBB8C2836A51}"/>
                  </c:ext>
                </c:extLst>
              </c15:ser>
            </c15:filteredLineSeries>
          </c:ext>
        </c:extLst>
      </c:lineChart>
      <c:catAx>
        <c:axId val="5855619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72456"/>
        <c:crosses val="autoZero"/>
        <c:auto val="1"/>
        <c:lblAlgn val="ctr"/>
        <c:lblOffset val="100"/>
        <c:noMultiLvlLbl val="0"/>
      </c:catAx>
      <c:valAx>
        <c:axId val="58557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61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101</xdr:row>
      <xdr:rowOff>0</xdr:rowOff>
    </xdr:from>
    <xdr:to>
      <xdr:col>0</xdr:col>
      <xdr:colOff>640080</xdr:colOff>
      <xdr:row>103</xdr:row>
      <xdr:rowOff>1953</xdr:rowOff>
    </xdr:to>
    <xdr:pic>
      <xdr:nvPicPr>
        <xdr:cNvPr id="9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885825"/>
          <a:ext cx="1905" cy="30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101</xdr:row>
      <xdr:rowOff>0</xdr:rowOff>
    </xdr:from>
    <xdr:to>
      <xdr:col>0</xdr:col>
      <xdr:colOff>1252579</xdr:colOff>
      <xdr:row>103</xdr:row>
      <xdr:rowOff>25852</xdr:rowOff>
    </xdr:to>
    <xdr:pic>
      <xdr:nvPicPr>
        <xdr:cNvPr id="10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885825"/>
          <a:ext cx="1905" cy="330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101</xdr:row>
      <xdr:rowOff>0</xdr:rowOff>
    </xdr:from>
    <xdr:to>
      <xdr:col>0</xdr:col>
      <xdr:colOff>1839319</xdr:colOff>
      <xdr:row>103</xdr:row>
      <xdr:rowOff>19594</xdr:rowOff>
    </xdr:to>
    <xdr:pic>
      <xdr:nvPicPr>
        <xdr:cNvPr id="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885825"/>
          <a:ext cx="1905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101</xdr:row>
      <xdr:rowOff>0</xdr:rowOff>
    </xdr:from>
    <xdr:to>
      <xdr:col>0</xdr:col>
      <xdr:colOff>640080</xdr:colOff>
      <xdr:row>103</xdr:row>
      <xdr:rowOff>1953</xdr:rowOff>
    </xdr:to>
    <xdr:pic>
      <xdr:nvPicPr>
        <xdr:cNvPr id="1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885825"/>
          <a:ext cx="1905" cy="30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101</xdr:row>
      <xdr:rowOff>0</xdr:rowOff>
    </xdr:from>
    <xdr:to>
      <xdr:col>0</xdr:col>
      <xdr:colOff>1252579</xdr:colOff>
      <xdr:row>103</xdr:row>
      <xdr:rowOff>25852</xdr:rowOff>
    </xdr:to>
    <xdr:pic>
      <xdr:nvPicPr>
        <xdr:cNvPr id="1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885825"/>
          <a:ext cx="1905" cy="330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101</xdr:row>
      <xdr:rowOff>0</xdr:rowOff>
    </xdr:from>
    <xdr:to>
      <xdr:col>0</xdr:col>
      <xdr:colOff>1839319</xdr:colOff>
      <xdr:row>103</xdr:row>
      <xdr:rowOff>19594</xdr:rowOff>
    </xdr:to>
    <xdr:pic>
      <xdr:nvPicPr>
        <xdr:cNvPr id="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885825"/>
          <a:ext cx="1905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36</xdr:row>
      <xdr:rowOff>0</xdr:rowOff>
    </xdr:from>
    <xdr:to>
      <xdr:col>0</xdr:col>
      <xdr:colOff>640080</xdr:colOff>
      <xdr:row>38</xdr:row>
      <xdr:rowOff>11975</xdr:rowOff>
    </xdr:to>
    <xdr:pic>
      <xdr:nvPicPr>
        <xdr:cNvPr id="21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937260"/>
          <a:ext cx="1905" cy="31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36</xdr:row>
      <xdr:rowOff>0</xdr:rowOff>
    </xdr:from>
    <xdr:to>
      <xdr:col>0</xdr:col>
      <xdr:colOff>1249680</xdr:colOff>
      <xdr:row>38</xdr:row>
      <xdr:rowOff>52522</xdr:rowOff>
    </xdr:to>
    <xdr:pic>
      <xdr:nvPicPr>
        <xdr:cNvPr id="22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937260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36</xdr:row>
      <xdr:rowOff>0</xdr:rowOff>
    </xdr:from>
    <xdr:to>
      <xdr:col>0</xdr:col>
      <xdr:colOff>1840230</xdr:colOff>
      <xdr:row>38</xdr:row>
      <xdr:rowOff>46264</xdr:rowOff>
    </xdr:to>
    <xdr:pic>
      <xdr:nvPicPr>
        <xdr:cNvPr id="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93726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36</xdr:row>
      <xdr:rowOff>0</xdr:rowOff>
    </xdr:from>
    <xdr:to>
      <xdr:col>0</xdr:col>
      <xdr:colOff>1249680</xdr:colOff>
      <xdr:row>38</xdr:row>
      <xdr:rowOff>52522</xdr:rowOff>
    </xdr:to>
    <xdr:pic>
      <xdr:nvPicPr>
        <xdr:cNvPr id="25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286000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36</xdr:row>
      <xdr:rowOff>0</xdr:rowOff>
    </xdr:from>
    <xdr:to>
      <xdr:col>0</xdr:col>
      <xdr:colOff>1840230</xdr:colOff>
      <xdr:row>38</xdr:row>
      <xdr:rowOff>46264</xdr:rowOff>
    </xdr:to>
    <xdr:pic>
      <xdr:nvPicPr>
        <xdr:cNvPr id="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228600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35</xdr:row>
      <xdr:rowOff>0</xdr:rowOff>
    </xdr:from>
    <xdr:to>
      <xdr:col>0</xdr:col>
      <xdr:colOff>640080</xdr:colOff>
      <xdr:row>37</xdr:row>
      <xdr:rowOff>1953</xdr:rowOff>
    </xdr:to>
    <xdr:pic>
      <xdr:nvPicPr>
        <xdr:cNvPr id="3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1671280"/>
          <a:ext cx="1905" cy="306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35</xdr:row>
      <xdr:rowOff>0</xdr:rowOff>
    </xdr:from>
    <xdr:to>
      <xdr:col>0</xdr:col>
      <xdr:colOff>1252579</xdr:colOff>
      <xdr:row>37</xdr:row>
      <xdr:rowOff>25852</xdr:rowOff>
    </xdr:to>
    <xdr:pic>
      <xdr:nvPicPr>
        <xdr:cNvPr id="4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1671280"/>
          <a:ext cx="4804" cy="330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35</xdr:row>
      <xdr:rowOff>0</xdr:rowOff>
    </xdr:from>
    <xdr:to>
      <xdr:col>0</xdr:col>
      <xdr:colOff>1845960</xdr:colOff>
      <xdr:row>37</xdr:row>
      <xdr:rowOff>19594</xdr:rowOff>
    </xdr:to>
    <xdr:pic>
      <xdr:nvPicPr>
        <xdr:cNvPr id="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21671280"/>
          <a:ext cx="994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35</xdr:row>
      <xdr:rowOff>0</xdr:rowOff>
    </xdr:from>
    <xdr:to>
      <xdr:col>0</xdr:col>
      <xdr:colOff>640080</xdr:colOff>
      <xdr:row>37</xdr:row>
      <xdr:rowOff>1953</xdr:rowOff>
    </xdr:to>
    <xdr:pic>
      <xdr:nvPicPr>
        <xdr:cNvPr id="6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1671280"/>
          <a:ext cx="1905" cy="306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35</xdr:row>
      <xdr:rowOff>0</xdr:rowOff>
    </xdr:from>
    <xdr:to>
      <xdr:col>0</xdr:col>
      <xdr:colOff>1252579</xdr:colOff>
      <xdr:row>37</xdr:row>
      <xdr:rowOff>25852</xdr:rowOff>
    </xdr:to>
    <xdr:pic>
      <xdr:nvPicPr>
        <xdr:cNvPr id="7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1671280"/>
          <a:ext cx="4804" cy="330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35</xdr:row>
      <xdr:rowOff>0</xdr:rowOff>
    </xdr:from>
    <xdr:to>
      <xdr:col>0</xdr:col>
      <xdr:colOff>1845960</xdr:colOff>
      <xdr:row>37</xdr:row>
      <xdr:rowOff>19594</xdr:rowOff>
    </xdr:to>
    <xdr:pic>
      <xdr:nvPicPr>
        <xdr:cNvPr id="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21671280"/>
          <a:ext cx="994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35</xdr:row>
      <xdr:rowOff>0</xdr:rowOff>
    </xdr:from>
    <xdr:to>
      <xdr:col>0</xdr:col>
      <xdr:colOff>640080</xdr:colOff>
      <xdr:row>37</xdr:row>
      <xdr:rowOff>11975</xdr:rowOff>
    </xdr:to>
    <xdr:pic>
      <xdr:nvPicPr>
        <xdr:cNvPr id="9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4602480"/>
          <a:ext cx="1905" cy="31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35</xdr:row>
      <xdr:rowOff>0</xdr:rowOff>
    </xdr:from>
    <xdr:to>
      <xdr:col>0</xdr:col>
      <xdr:colOff>1249680</xdr:colOff>
      <xdr:row>37</xdr:row>
      <xdr:rowOff>52522</xdr:rowOff>
    </xdr:to>
    <xdr:pic>
      <xdr:nvPicPr>
        <xdr:cNvPr id="10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4602480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35</xdr:row>
      <xdr:rowOff>0</xdr:rowOff>
    </xdr:from>
    <xdr:to>
      <xdr:col>0</xdr:col>
      <xdr:colOff>1845049</xdr:colOff>
      <xdr:row>37</xdr:row>
      <xdr:rowOff>46264</xdr:rowOff>
    </xdr:to>
    <xdr:pic>
      <xdr:nvPicPr>
        <xdr:cNvPr id="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460248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35</xdr:row>
      <xdr:rowOff>0</xdr:rowOff>
    </xdr:from>
    <xdr:to>
      <xdr:col>0</xdr:col>
      <xdr:colOff>640080</xdr:colOff>
      <xdr:row>37</xdr:row>
      <xdr:rowOff>11975</xdr:rowOff>
    </xdr:to>
    <xdr:pic>
      <xdr:nvPicPr>
        <xdr:cNvPr id="1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4602480"/>
          <a:ext cx="1905" cy="31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1229846</xdr:colOff>
      <xdr:row>34</xdr:row>
      <xdr:rowOff>116541</xdr:rowOff>
    </xdr:from>
    <xdr:to>
      <xdr:col>0</xdr:col>
      <xdr:colOff>1231751</xdr:colOff>
      <xdr:row>37</xdr:row>
      <xdr:rowOff>16663</xdr:rowOff>
    </xdr:to>
    <xdr:pic>
      <xdr:nvPicPr>
        <xdr:cNvPr id="1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9846" y="5701553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35</xdr:row>
      <xdr:rowOff>0</xdr:rowOff>
    </xdr:from>
    <xdr:to>
      <xdr:col>0</xdr:col>
      <xdr:colOff>1845049</xdr:colOff>
      <xdr:row>37</xdr:row>
      <xdr:rowOff>46264</xdr:rowOff>
    </xdr:to>
    <xdr:pic>
      <xdr:nvPicPr>
        <xdr:cNvPr id="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460248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0</xdr:rowOff>
    </xdr:from>
    <xdr:to>
      <xdr:col>0</xdr:col>
      <xdr:colOff>640080</xdr:colOff>
      <xdr:row>1</xdr:row>
      <xdr:rowOff>141515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825" y="590550"/>
          <a:ext cx="1905" cy="29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0</xdr:row>
      <xdr:rowOff>0</xdr:rowOff>
    </xdr:from>
    <xdr:to>
      <xdr:col>0</xdr:col>
      <xdr:colOff>1249680</xdr:colOff>
      <xdr:row>2</xdr:row>
      <xdr:rowOff>6803</xdr:rowOff>
    </xdr:to>
    <xdr:pic>
      <xdr:nvPicPr>
        <xdr:cNvPr id="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425" y="590550"/>
          <a:ext cx="1905" cy="327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0</xdr:row>
      <xdr:rowOff>0</xdr:rowOff>
    </xdr:from>
    <xdr:to>
      <xdr:col>1</xdr:col>
      <xdr:colOff>0</xdr:colOff>
      <xdr:row>2</xdr:row>
      <xdr:rowOff>6804</xdr:rowOff>
    </xdr:to>
    <xdr:pic>
      <xdr:nvPicPr>
        <xdr:cNvPr id="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8975" y="590550"/>
          <a:ext cx="1905" cy="32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9</xdr:row>
      <xdr:rowOff>0</xdr:rowOff>
    </xdr:from>
    <xdr:to>
      <xdr:col>0</xdr:col>
      <xdr:colOff>640080</xdr:colOff>
      <xdr:row>10</xdr:row>
      <xdr:rowOff>141515</xdr:rowOff>
    </xdr:to>
    <xdr:pic>
      <xdr:nvPicPr>
        <xdr:cNvPr id="5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825" y="958850"/>
          <a:ext cx="1905" cy="29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9</xdr:row>
      <xdr:rowOff>0</xdr:rowOff>
    </xdr:from>
    <xdr:to>
      <xdr:col>0</xdr:col>
      <xdr:colOff>1249680</xdr:colOff>
      <xdr:row>11</xdr:row>
      <xdr:rowOff>6802</xdr:rowOff>
    </xdr:to>
    <xdr:pic>
      <xdr:nvPicPr>
        <xdr:cNvPr id="6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425" y="958850"/>
          <a:ext cx="1905" cy="327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9</xdr:row>
      <xdr:rowOff>0</xdr:rowOff>
    </xdr:from>
    <xdr:to>
      <xdr:col>1</xdr:col>
      <xdr:colOff>0</xdr:colOff>
      <xdr:row>11</xdr:row>
      <xdr:rowOff>544</xdr:rowOff>
    </xdr:to>
    <xdr:pic>
      <xdr:nvPicPr>
        <xdr:cNvPr id="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8975" y="958850"/>
          <a:ext cx="1905" cy="319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9</xdr:row>
      <xdr:rowOff>0</xdr:rowOff>
    </xdr:from>
    <xdr:to>
      <xdr:col>0</xdr:col>
      <xdr:colOff>640080</xdr:colOff>
      <xdr:row>10</xdr:row>
      <xdr:rowOff>141515</xdr:rowOff>
    </xdr:to>
    <xdr:pic>
      <xdr:nvPicPr>
        <xdr:cNvPr id="8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825" y="958850"/>
          <a:ext cx="1905" cy="29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9</xdr:row>
      <xdr:rowOff>0</xdr:rowOff>
    </xdr:from>
    <xdr:to>
      <xdr:col>0</xdr:col>
      <xdr:colOff>1249680</xdr:colOff>
      <xdr:row>11</xdr:row>
      <xdr:rowOff>6802</xdr:rowOff>
    </xdr:to>
    <xdr:pic>
      <xdr:nvPicPr>
        <xdr:cNvPr id="9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425" y="958850"/>
          <a:ext cx="1905" cy="327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9</xdr:row>
      <xdr:rowOff>0</xdr:rowOff>
    </xdr:from>
    <xdr:to>
      <xdr:col>1</xdr:col>
      <xdr:colOff>0</xdr:colOff>
      <xdr:row>11</xdr:row>
      <xdr:rowOff>544</xdr:rowOff>
    </xdr:to>
    <xdr:pic>
      <xdr:nvPicPr>
        <xdr:cNvPr id="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8975" y="958850"/>
          <a:ext cx="1905" cy="319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120650</xdr:colOff>
      <xdr:row>67</xdr:row>
      <xdr:rowOff>34925</xdr:rowOff>
    </xdr:from>
    <xdr:to>
      <xdr:col>25</xdr:col>
      <xdr:colOff>349250</xdr:colOff>
      <xdr:row>81</xdr:row>
      <xdr:rowOff>136525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D8"/>
  <sheetViews>
    <sheetView tabSelected="1" zoomScaleNormal="100" workbookViewId="0">
      <selection activeCell="C5" sqref="C5"/>
    </sheetView>
  </sheetViews>
  <sheetFormatPr defaultRowHeight="12.5"/>
  <cols>
    <col min="2" max="2" width="12.36328125" bestFit="1" customWidth="1"/>
    <col min="3" max="3" width="5.6328125" bestFit="1" customWidth="1"/>
    <col min="4" max="4" width="56.36328125" bestFit="1" customWidth="1"/>
  </cols>
  <sheetData>
    <row r="3" spans="2:4">
      <c r="B3" s="59" t="s">
        <v>158</v>
      </c>
      <c r="C3" s="59" t="s">
        <v>194</v>
      </c>
    </row>
    <row r="4" spans="2:4">
      <c r="B4" s="59" t="s">
        <v>159</v>
      </c>
      <c r="C4" s="59" t="s">
        <v>157</v>
      </c>
    </row>
    <row r="5" spans="2:4">
      <c r="B5" s="59" t="s">
        <v>160</v>
      </c>
      <c r="C5" s="59" t="s">
        <v>299</v>
      </c>
      <c r="D5" s="141"/>
    </row>
    <row r="6" spans="2:4">
      <c r="B6" s="59"/>
      <c r="C6" s="59"/>
    </row>
    <row r="7" spans="2:4">
      <c r="B7" s="59"/>
      <c r="C7" s="59"/>
    </row>
    <row r="8" spans="2:4">
      <c r="B8" s="59"/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/>
    <pageSetUpPr fitToPage="1"/>
  </sheetPr>
  <dimension ref="A1:AX136"/>
  <sheetViews>
    <sheetView zoomScaleNormal="100" workbookViewId="0">
      <pane xSplit="3" ySplit="1" topLeftCell="N14" activePane="bottomRight" state="frozen"/>
      <selection pane="topRight" activeCell="D1" sqref="D1"/>
      <selection pane="bottomLeft" activeCell="A2" sqref="A2"/>
      <selection pane="bottomRight" activeCell="N29" sqref="N29"/>
    </sheetView>
  </sheetViews>
  <sheetFormatPr defaultColWidth="9.36328125" defaultRowHeight="12.25" customHeight="1"/>
  <cols>
    <col min="1" max="1" width="34.6328125" style="33" bestFit="1" customWidth="1"/>
    <col min="2" max="2" width="2.6328125" style="29" bestFit="1" customWidth="1"/>
    <col min="3" max="3" width="15.6328125" style="29" bestFit="1" customWidth="1"/>
    <col min="4" max="6" width="4.36328125" style="31" bestFit="1" customWidth="1"/>
    <col min="7" max="7" width="4.81640625" style="31" bestFit="1" customWidth="1"/>
    <col min="8" max="10" width="4.36328125" style="31" bestFit="1" customWidth="1"/>
    <col min="11" max="11" width="4.81640625" style="31" bestFit="1" customWidth="1"/>
    <col min="12" max="13" width="5.36328125" style="31" bestFit="1" customWidth="1"/>
    <col min="14" max="14" width="8.36328125" style="31" bestFit="1" customWidth="1"/>
    <col min="15" max="15" width="6.36328125" style="31" bestFit="1" customWidth="1"/>
    <col min="16" max="39" width="5.6328125" style="31" bestFit="1" customWidth="1"/>
    <col min="40" max="50" width="5.6328125" style="29" bestFit="1" customWidth="1"/>
    <col min="51" max="58" width="4.36328125" style="29" bestFit="1" customWidth="1"/>
    <col min="59" max="59" width="3.36328125" style="29" bestFit="1" customWidth="1"/>
    <col min="60" max="16384" width="9.36328125" style="29"/>
  </cols>
  <sheetData>
    <row r="1" spans="1:50" s="30" customFormat="1" ht="12.25" customHeight="1">
      <c r="A1" s="26" t="s">
        <v>53</v>
      </c>
      <c r="D1" s="36">
        <v>2011</v>
      </c>
      <c r="E1" s="36">
        <f t="shared" ref="E1" si="0">D1+1</f>
        <v>2012</v>
      </c>
      <c r="F1" s="36">
        <f t="shared" ref="F1:AM1" si="1">+E1+1</f>
        <v>2013</v>
      </c>
      <c r="G1" s="36">
        <f t="shared" si="1"/>
        <v>2014</v>
      </c>
      <c r="H1" s="36">
        <f t="shared" si="1"/>
        <v>2015</v>
      </c>
      <c r="I1" s="36">
        <f t="shared" si="1"/>
        <v>2016</v>
      </c>
      <c r="J1" s="36">
        <f t="shared" si="1"/>
        <v>2017</v>
      </c>
      <c r="K1" s="36">
        <f t="shared" si="1"/>
        <v>2018</v>
      </c>
      <c r="L1" s="36">
        <f t="shared" si="1"/>
        <v>2019</v>
      </c>
      <c r="M1" s="36">
        <f t="shared" si="1"/>
        <v>2020</v>
      </c>
      <c r="N1" s="36">
        <f t="shared" si="1"/>
        <v>2021</v>
      </c>
      <c r="O1" s="36">
        <f t="shared" si="1"/>
        <v>2022</v>
      </c>
      <c r="P1" s="36">
        <f t="shared" si="1"/>
        <v>2023</v>
      </c>
      <c r="Q1" s="36">
        <f t="shared" si="1"/>
        <v>2024</v>
      </c>
      <c r="R1" s="36">
        <f t="shared" si="1"/>
        <v>2025</v>
      </c>
      <c r="S1" s="36">
        <f t="shared" si="1"/>
        <v>2026</v>
      </c>
      <c r="T1" s="36">
        <f t="shared" si="1"/>
        <v>2027</v>
      </c>
      <c r="U1" s="36">
        <f t="shared" si="1"/>
        <v>2028</v>
      </c>
      <c r="V1" s="36">
        <f t="shared" si="1"/>
        <v>2029</v>
      </c>
      <c r="W1" s="36">
        <f t="shared" si="1"/>
        <v>2030</v>
      </c>
      <c r="X1" s="36">
        <f t="shared" si="1"/>
        <v>2031</v>
      </c>
      <c r="Y1" s="36">
        <f t="shared" si="1"/>
        <v>2032</v>
      </c>
      <c r="Z1" s="36">
        <f t="shared" si="1"/>
        <v>2033</v>
      </c>
      <c r="AA1" s="36">
        <f t="shared" si="1"/>
        <v>2034</v>
      </c>
      <c r="AB1" s="36">
        <f t="shared" si="1"/>
        <v>2035</v>
      </c>
      <c r="AC1" s="36">
        <f t="shared" si="1"/>
        <v>2036</v>
      </c>
      <c r="AD1" s="36">
        <f t="shared" si="1"/>
        <v>2037</v>
      </c>
      <c r="AE1" s="36">
        <f t="shared" si="1"/>
        <v>2038</v>
      </c>
      <c r="AF1" s="36">
        <f t="shared" si="1"/>
        <v>2039</v>
      </c>
      <c r="AG1" s="36">
        <f t="shared" si="1"/>
        <v>2040</v>
      </c>
      <c r="AH1" s="36">
        <f t="shared" si="1"/>
        <v>2041</v>
      </c>
      <c r="AI1" s="36">
        <f t="shared" si="1"/>
        <v>2042</v>
      </c>
      <c r="AJ1" s="36">
        <f t="shared" si="1"/>
        <v>2043</v>
      </c>
      <c r="AK1" s="36">
        <f t="shared" si="1"/>
        <v>2044</v>
      </c>
      <c r="AL1" s="36">
        <f t="shared" si="1"/>
        <v>2045</v>
      </c>
      <c r="AM1" s="36">
        <f t="shared" si="1"/>
        <v>2046</v>
      </c>
      <c r="AN1" s="36">
        <f t="shared" ref="AN1:AX1" si="2">+AM1+1</f>
        <v>2047</v>
      </c>
      <c r="AO1" s="36">
        <f t="shared" si="2"/>
        <v>2048</v>
      </c>
      <c r="AP1" s="36">
        <f t="shared" si="2"/>
        <v>2049</v>
      </c>
      <c r="AQ1" s="36">
        <f t="shared" si="2"/>
        <v>2050</v>
      </c>
      <c r="AR1" s="36">
        <f t="shared" si="2"/>
        <v>2051</v>
      </c>
      <c r="AS1" s="36">
        <f t="shared" si="2"/>
        <v>2052</v>
      </c>
      <c r="AT1" s="36">
        <f t="shared" si="2"/>
        <v>2053</v>
      </c>
      <c r="AU1" s="36">
        <f t="shared" si="2"/>
        <v>2054</v>
      </c>
      <c r="AV1" s="36">
        <f t="shared" si="2"/>
        <v>2055</v>
      </c>
      <c r="AW1" s="36">
        <f t="shared" si="2"/>
        <v>2056</v>
      </c>
      <c r="AX1" s="36">
        <f t="shared" si="2"/>
        <v>2057</v>
      </c>
    </row>
    <row r="2" spans="1:50" ht="13.4" customHeight="1"/>
    <row r="3" spans="1:50" ht="12.25" customHeight="1">
      <c r="A3" s="33" t="s">
        <v>52</v>
      </c>
      <c r="C3" s="29" t="s">
        <v>233</v>
      </c>
      <c r="P3" s="10">
        <v>1.46E-2</v>
      </c>
      <c r="Q3" s="10">
        <v>3.3700000000000001E-2</v>
      </c>
      <c r="R3" s="10">
        <v>4.2199999999999994E-2</v>
      </c>
      <c r="S3" s="10">
        <v>3.85E-2</v>
      </c>
      <c r="T3" s="10">
        <v>4.0399999999999998E-2</v>
      </c>
      <c r="U3" s="10">
        <v>4.2300000000000004E-2</v>
      </c>
    </row>
    <row r="4" spans="1:50" ht="12.25" customHeight="1">
      <c r="A4" s="33" t="s">
        <v>161</v>
      </c>
      <c r="P4" s="10">
        <v>0.55000000000000004</v>
      </c>
    </row>
    <row r="5" spans="1:50" ht="12.25" customHeight="1">
      <c r="A5" s="33" t="s">
        <v>162</v>
      </c>
      <c r="P5" s="82">
        <v>3.4700000000000002E-2</v>
      </c>
      <c r="Q5" s="10">
        <v>3.8200000000000005E-2</v>
      </c>
      <c r="R5" s="10">
        <v>4.1700000000000001E-2</v>
      </c>
      <c r="S5" s="10">
        <v>4.5199999999999997E-2</v>
      </c>
      <c r="T5" s="10">
        <v>4.87E-2</v>
      </c>
      <c r="U5" s="10">
        <v>5.2199999999999996E-2</v>
      </c>
    </row>
    <row r="7" spans="1:50" ht="12.25" customHeight="1">
      <c r="A7" s="51" t="s">
        <v>8</v>
      </c>
      <c r="P7" s="40">
        <v>3068.7589143826945</v>
      </c>
      <c r="Q7" s="40">
        <v>3367.4568702166835</v>
      </c>
      <c r="R7" s="40">
        <v>3576.7605681749073</v>
      </c>
      <c r="S7" s="40">
        <v>3855.3560758678741</v>
      </c>
      <c r="T7" s="40">
        <v>4022.9638464735658</v>
      </c>
      <c r="U7" s="40">
        <v>4203.1916331894672</v>
      </c>
      <c r="V7" s="40">
        <v>4205.0809917086299</v>
      </c>
      <c r="W7" s="40">
        <v>4261.3442862327356</v>
      </c>
      <c r="X7" s="40">
        <v>4338.8843436145789</v>
      </c>
      <c r="Y7" s="40">
        <v>4437.5754439206112</v>
      </c>
      <c r="Z7" s="40">
        <v>4548.7759253482463</v>
      </c>
      <c r="AA7" s="40">
        <v>4659.7982854257334</v>
      </c>
      <c r="AB7" s="40">
        <v>4775.2466170745547</v>
      </c>
      <c r="AC7" s="40">
        <v>4895.5432138829328</v>
      </c>
      <c r="AD7" s="40">
        <v>5007.5968120495063</v>
      </c>
      <c r="AE7" s="40">
        <v>5096.2859556802459</v>
      </c>
      <c r="AF7" s="40">
        <v>5142.9343794044589</v>
      </c>
      <c r="AG7" s="40">
        <v>5187.9158997382592</v>
      </c>
      <c r="AH7" s="40">
        <v>5228.6746301999146</v>
      </c>
      <c r="AI7" s="40">
        <v>5280.2530357965288</v>
      </c>
      <c r="AJ7" s="40">
        <v>5353.5539881922959</v>
      </c>
      <c r="AK7" s="40">
        <v>5421.8482406865096</v>
      </c>
      <c r="AL7" s="40">
        <v>5480.3441191368083</v>
      </c>
      <c r="AM7" s="40">
        <v>5537.8809300652574</v>
      </c>
      <c r="AN7" s="40">
        <v>5609.4487599280983</v>
      </c>
      <c r="AO7" s="40">
        <v>5672.3574525035783</v>
      </c>
      <c r="AP7" s="40">
        <v>5751.198703887595</v>
      </c>
      <c r="AQ7" s="40">
        <v>5832.0504720092586</v>
      </c>
      <c r="AR7" s="40">
        <v>5915.1709622771277</v>
      </c>
      <c r="AS7" s="40">
        <v>5996.5249594701527</v>
      </c>
      <c r="AT7" s="40">
        <v>6075.3111779838391</v>
      </c>
      <c r="AU7" s="40">
        <v>6154.4942613035064</v>
      </c>
      <c r="AV7" s="40">
        <v>6234.873607169885</v>
      </c>
      <c r="AW7" s="40">
        <v>6314.8879101639686</v>
      </c>
      <c r="AX7" s="40">
        <v>6398.1774866229462</v>
      </c>
    </row>
    <row r="8" spans="1:50" ht="12.25" customHeight="1">
      <c r="E8" s="40"/>
    </row>
    <row r="9" spans="1:50" ht="12.25" customHeight="1">
      <c r="A9" s="33" t="s">
        <v>3</v>
      </c>
      <c r="E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</row>
    <row r="10" spans="1:50" s="33" customFormat="1" ht="13">
      <c r="A10" s="49" t="s">
        <v>123</v>
      </c>
      <c r="B10" s="34"/>
      <c r="C10" s="31"/>
      <c r="D10" s="38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>
        <v>3867.1406962230531</v>
      </c>
      <c r="Q10" s="40">
        <v>3406.5668825214066</v>
      </c>
      <c r="R10" s="40">
        <v>4296.4490926368135</v>
      </c>
      <c r="S10" s="40">
        <v>5127.2003856010951</v>
      </c>
      <c r="T10" s="40">
        <v>3110.7273948715992</v>
      </c>
      <c r="U10" s="40">
        <v>3728.4901035306984</v>
      </c>
      <c r="V10" s="40">
        <v>1037.5894069713622</v>
      </c>
      <c r="W10" s="40">
        <v>825.27321513112781</v>
      </c>
      <c r="X10" s="40">
        <v>792.02951191961495</v>
      </c>
      <c r="Y10" s="40">
        <v>752.82069067925693</v>
      </c>
      <c r="Z10" s="40">
        <v>742.8090534309581</v>
      </c>
      <c r="AA10" s="40">
        <v>737.80323480680886</v>
      </c>
      <c r="AB10" s="40">
        <v>737.80323480680886</v>
      </c>
      <c r="AC10" s="40">
        <v>794.34299524922653</v>
      </c>
      <c r="AD10" s="40">
        <v>844.70114486447926</v>
      </c>
      <c r="AE10" s="40">
        <v>807.80571464418313</v>
      </c>
      <c r="AF10" s="40">
        <v>1167.8821644046461</v>
      </c>
      <c r="AG10" s="40">
        <v>692.3844378451995</v>
      </c>
      <c r="AH10" s="40">
        <v>663.947718349139</v>
      </c>
      <c r="AI10" s="40">
        <v>620.48541787593217</v>
      </c>
      <c r="AJ10" s="40">
        <v>643.3405605555248</v>
      </c>
      <c r="AK10" s="40">
        <v>617.61114761984595</v>
      </c>
      <c r="AL10" s="40">
        <v>579.83243558547395</v>
      </c>
      <c r="AM10" s="40">
        <v>578.14023950562114</v>
      </c>
      <c r="AN10" s="40">
        <v>573.81719385433746</v>
      </c>
      <c r="AO10" s="40">
        <v>565.39138792892459</v>
      </c>
      <c r="AP10" s="40">
        <v>565.40098699476357</v>
      </c>
      <c r="AQ10" s="40">
        <v>565.41033709060071</v>
      </c>
      <c r="AR10" s="40">
        <v>591.87726396735138</v>
      </c>
      <c r="AS10" s="40">
        <v>596.69098866169202</v>
      </c>
      <c r="AT10" s="40">
        <v>568.90278067739735</v>
      </c>
      <c r="AU10" s="40">
        <v>561.44458558667407</v>
      </c>
      <c r="AV10" s="40">
        <v>573.71491657630509</v>
      </c>
      <c r="AW10" s="40">
        <v>577.80250190676088</v>
      </c>
      <c r="AX10" s="40">
        <v>611.07899510725565</v>
      </c>
    </row>
    <row r="11" spans="1:50" s="33" customFormat="1" ht="13">
      <c r="A11" s="49" t="s">
        <v>124</v>
      </c>
      <c r="B11" s="34"/>
      <c r="C11" s="31"/>
      <c r="D11" s="38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>
        <v>296.56545970366841</v>
      </c>
      <c r="Q11" s="40">
        <v>297.53321475349298</v>
      </c>
      <c r="R11" s="40">
        <v>326.67833833047087</v>
      </c>
      <c r="S11" s="40">
        <v>444.62192040748317</v>
      </c>
      <c r="T11" s="40">
        <v>407.13862971852626</v>
      </c>
      <c r="U11" s="40">
        <v>386.62152835238243</v>
      </c>
      <c r="V11" s="40">
        <v>312.72601366389858</v>
      </c>
      <c r="W11" s="40">
        <v>245.62642618052465</v>
      </c>
      <c r="X11" s="40">
        <v>207.60653064672363</v>
      </c>
      <c r="Y11" s="40">
        <v>177.46305799870242</v>
      </c>
      <c r="Z11" s="40">
        <v>170.15077888740069</v>
      </c>
      <c r="AA11" s="40">
        <v>166.49463933174982</v>
      </c>
      <c r="AB11" s="40">
        <v>166.49463933174982</v>
      </c>
      <c r="AC11" s="40">
        <v>177.13118646149033</v>
      </c>
      <c r="AD11" s="40">
        <v>182.77870555703771</v>
      </c>
      <c r="AE11" s="40">
        <v>244.64650752052486</v>
      </c>
      <c r="AF11" s="40">
        <v>232.74036319173558</v>
      </c>
      <c r="AG11" s="40">
        <v>322.5591997005817</v>
      </c>
      <c r="AH11" s="40">
        <v>403.63807928909381</v>
      </c>
      <c r="AI11" s="40">
        <v>374.89794905405489</v>
      </c>
      <c r="AJ11" s="40">
        <v>330.09201947179753</v>
      </c>
      <c r="AK11" s="40">
        <v>323.50612083095103</v>
      </c>
      <c r="AL11" s="40">
        <v>338.89541700613802</v>
      </c>
      <c r="AM11" s="40">
        <v>372.41756702785904</v>
      </c>
      <c r="AN11" s="40">
        <v>339.33765316327299</v>
      </c>
      <c r="AO11" s="40">
        <v>358.77611232643562</v>
      </c>
      <c r="AP11" s="40">
        <v>318.34009664232599</v>
      </c>
      <c r="AQ11" s="40">
        <v>278.95286581572543</v>
      </c>
      <c r="AR11" s="40">
        <v>277.58304432729483</v>
      </c>
      <c r="AS11" s="40">
        <v>270.77862226454232</v>
      </c>
      <c r="AT11" s="40">
        <v>263.51713751882954</v>
      </c>
      <c r="AU11" s="40">
        <v>261.09715104265632</v>
      </c>
      <c r="AV11" s="40">
        <v>263.40550807932345</v>
      </c>
      <c r="AW11" s="40">
        <v>274.81150755461965</v>
      </c>
      <c r="AX11" s="40">
        <v>274.84818240170819</v>
      </c>
    </row>
    <row r="12" spans="1:50" s="33" customFormat="1" ht="13">
      <c r="A12" s="49" t="s">
        <v>125</v>
      </c>
      <c r="B12" s="34"/>
      <c r="C12" s="31"/>
      <c r="D12" s="38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>
        <v>54.233928461243174</v>
      </c>
      <c r="Q12" s="40">
        <v>53.906241702133336</v>
      </c>
      <c r="R12" s="40">
        <v>54.24838603201345</v>
      </c>
      <c r="S12" s="40">
        <v>54.219640919991342</v>
      </c>
      <c r="T12" s="40">
        <v>54.190911039417124</v>
      </c>
      <c r="U12" s="40">
        <v>54.16219638221996</v>
      </c>
      <c r="V12" s="40">
        <v>25</v>
      </c>
      <c r="W12" s="40">
        <v>25</v>
      </c>
      <c r="X12" s="40">
        <v>25</v>
      </c>
      <c r="Y12" s="40">
        <v>25</v>
      </c>
      <c r="Z12" s="40">
        <v>25</v>
      </c>
      <c r="AA12" s="40">
        <v>25</v>
      </c>
      <c r="AB12" s="40">
        <v>25</v>
      </c>
      <c r="AC12" s="40">
        <v>25</v>
      </c>
      <c r="AD12" s="40">
        <v>25</v>
      </c>
      <c r="AE12" s="40">
        <v>25</v>
      </c>
      <c r="AF12" s="40">
        <v>25</v>
      </c>
      <c r="AG12" s="40">
        <v>25</v>
      </c>
      <c r="AH12" s="40">
        <v>25</v>
      </c>
      <c r="AI12" s="40">
        <v>25</v>
      </c>
      <c r="AJ12" s="40">
        <v>25</v>
      </c>
      <c r="AK12" s="40">
        <v>25</v>
      </c>
      <c r="AL12" s="40">
        <v>25</v>
      </c>
      <c r="AM12" s="40">
        <v>25</v>
      </c>
      <c r="AN12" s="40">
        <v>25</v>
      </c>
      <c r="AO12" s="40">
        <v>25</v>
      </c>
      <c r="AP12" s="40">
        <v>25</v>
      </c>
      <c r="AQ12" s="40">
        <v>25</v>
      </c>
      <c r="AR12" s="40">
        <v>25</v>
      </c>
      <c r="AS12" s="40">
        <v>25</v>
      </c>
      <c r="AT12" s="40">
        <v>25</v>
      </c>
      <c r="AU12" s="40">
        <v>25</v>
      </c>
      <c r="AV12" s="40">
        <v>25</v>
      </c>
      <c r="AW12" s="40">
        <v>25</v>
      </c>
      <c r="AX12" s="40">
        <v>25</v>
      </c>
    </row>
    <row r="13" spans="1:50" s="33" customFormat="1" ht="13">
      <c r="A13" s="49" t="s">
        <v>126</v>
      </c>
      <c r="B13" s="34"/>
      <c r="C13" s="31"/>
      <c r="D13" s="38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</row>
    <row r="14" spans="1:50" s="33" customFormat="1" ht="13">
      <c r="A14" s="49" t="s">
        <v>127</v>
      </c>
      <c r="B14" s="34"/>
      <c r="C14" s="31"/>
      <c r="D14" s="38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AM14" s="40"/>
    </row>
    <row r="15" spans="1:50" s="33" customFormat="1" ht="13">
      <c r="A15" s="25" t="s">
        <v>122</v>
      </c>
      <c r="B15" s="31"/>
      <c r="C15" s="21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89">
        <f t="shared" ref="P15" si="3">SUM(P10:P14)</f>
        <v>4217.9400843879648</v>
      </c>
      <c r="Q15" s="89">
        <f t="shared" ref="Q15:AL15" si="4">SUM(Q10:Q14)</f>
        <v>3758.006338977033</v>
      </c>
      <c r="R15" s="89">
        <f t="shared" si="4"/>
        <v>4677.375816999298</v>
      </c>
      <c r="S15" s="89">
        <f t="shared" si="4"/>
        <v>5626.0419469285698</v>
      </c>
      <c r="T15" s="89">
        <f t="shared" si="4"/>
        <v>3572.0569356295427</v>
      </c>
      <c r="U15" s="89">
        <f t="shared" si="4"/>
        <v>4169.2738282653008</v>
      </c>
      <c r="V15" s="89">
        <f t="shared" si="4"/>
        <v>1375.3154206352608</v>
      </c>
      <c r="W15" s="89">
        <f t="shared" si="4"/>
        <v>1095.8996413116524</v>
      </c>
      <c r="X15" s="89">
        <f t="shared" si="4"/>
        <v>1024.6360425663386</v>
      </c>
      <c r="Y15" s="89">
        <f t="shared" si="4"/>
        <v>955.28374867795935</v>
      </c>
      <c r="Z15" s="89">
        <f t="shared" si="4"/>
        <v>937.95983231835885</v>
      </c>
      <c r="AA15" s="89">
        <f t="shared" si="4"/>
        <v>929.29787413855865</v>
      </c>
      <c r="AB15" s="89">
        <f t="shared" si="4"/>
        <v>929.29787413855865</v>
      </c>
      <c r="AC15" s="89">
        <f t="shared" si="4"/>
        <v>996.47418171071683</v>
      </c>
      <c r="AD15" s="89">
        <f t="shared" si="4"/>
        <v>1052.4798504215169</v>
      </c>
      <c r="AE15" s="89">
        <f t="shared" si="4"/>
        <v>1077.452222164708</v>
      </c>
      <c r="AF15" s="89">
        <f t="shared" si="4"/>
        <v>1425.6225275963816</v>
      </c>
      <c r="AG15" s="89">
        <f t="shared" si="4"/>
        <v>1039.9436375457813</v>
      </c>
      <c r="AH15" s="89">
        <f t="shared" si="4"/>
        <v>1092.5857976382329</v>
      </c>
      <c r="AI15" s="89">
        <f t="shared" si="4"/>
        <v>1020.383366929987</v>
      </c>
      <c r="AJ15" s="89">
        <f t="shared" si="4"/>
        <v>998.43258002732227</v>
      </c>
      <c r="AK15" s="89">
        <f t="shared" si="4"/>
        <v>966.11726845079693</v>
      </c>
      <c r="AL15" s="89">
        <f t="shared" si="4"/>
        <v>943.72785259161196</v>
      </c>
      <c r="AM15" s="89">
        <f t="shared" ref="AM15:AX15" si="5">SUM(AM10:AM14)</f>
        <v>975.55780653348017</v>
      </c>
      <c r="AN15" s="89">
        <f t="shared" si="5"/>
        <v>938.15484701761045</v>
      </c>
      <c r="AO15" s="89">
        <f t="shared" si="5"/>
        <v>949.16750025536021</v>
      </c>
      <c r="AP15" s="89">
        <f t="shared" si="5"/>
        <v>908.74108363708956</v>
      </c>
      <c r="AQ15" s="89">
        <f t="shared" si="5"/>
        <v>869.36320290632614</v>
      </c>
      <c r="AR15" s="89">
        <f t="shared" si="5"/>
        <v>894.46030829464621</v>
      </c>
      <c r="AS15" s="89">
        <f t="shared" si="5"/>
        <v>892.46961092623428</v>
      </c>
      <c r="AT15" s="89">
        <f t="shared" si="5"/>
        <v>857.41991819622694</v>
      </c>
      <c r="AU15" s="89">
        <f t="shared" si="5"/>
        <v>847.54173662933044</v>
      </c>
      <c r="AV15" s="89">
        <f t="shared" si="5"/>
        <v>862.12042465562854</v>
      </c>
      <c r="AW15" s="89">
        <f t="shared" si="5"/>
        <v>877.61400946138053</v>
      </c>
      <c r="AX15" s="89">
        <f t="shared" si="5"/>
        <v>910.92717750896384</v>
      </c>
    </row>
    <row r="16" spans="1:50" s="33" customFormat="1" ht="13">
      <c r="A16" s="25"/>
      <c r="B16" s="31"/>
      <c r="C16" s="21"/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</row>
    <row r="17" spans="1:50" ht="12.25" customHeight="1">
      <c r="A17" s="91" t="s">
        <v>18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7"/>
      <c r="AO17" s="7"/>
    </row>
    <row r="18" spans="1:50" ht="12.25" customHeight="1">
      <c r="A18" s="50" t="s">
        <v>39</v>
      </c>
      <c r="B18" s="7" t="s">
        <v>19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40">
        <v>1071.1012499999999</v>
      </c>
      <c r="Q18" s="40">
        <v>1273.6179</v>
      </c>
      <c r="R18" s="40">
        <v>1576.2671639999994</v>
      </c>
      <c r="S18" s="40">
        <v>1924.0857599999993</v>
      </c>
      <c r="T18" s="40">
        <v>2248.4471999999987</v>
      </c>
      <c r="U18" s="40">
        <v>2567.0246582399973</v>
      </c>
      <c r="V18" s="40">
        <v>2848.5541422206875</v>
      </c>
      <c r="W18" s="40">
        <v>3070.0778648275864</v>
      </c>
      <c r="X18" s="40">
        <v>3259.608910344828</v>
      </c>
      <c r="Y18" s="40">
        <v>3438.6694179310343</v>
      </c>
      <c r="Z18" s="40">
        <v>3608.7995420689667</v>
      </c>
      <c r="AA18" s="40">
        <v>3774.1503724137942</v>
      </c>
      <c r="AB18" s="40">
        <v>3935.5203227586221</v>
      </c>
      <c r="AC18" s="40">
        <v>4099.8110896551743</v>
      </c>
      <c r="AD18" s="40">
        <v>4267.7406041379318</v>
      </c>
      <c r="AE18" s="40">
        <v>4425.9481241379326</v>
      </c>
      <c r="AF18" s="40">
        <v>4567.9748896551737</v>
      </c>
      <c r="AG18" s="40">
        <v>4699.1662675862081</v>
      </c>
      <c r="AH18" s="40">
        <v>4821.4727627586217</v>
      </c>
      <c r="AI18" s="40">
        <v>4931.3892165517245</v>
      </c>
      <c r="AJ18" s="40">
        <v>5035.2130427586235</v>
      </c>
      <c r="AK18" s="40">
        <v>5135.2154482758642</v>
      </c>
      <c r="AL18" s="40">
        <v>5224.9690179310364</v>
      </c>
      <c r="AM18" s="40">
        <v>5307.1582344827611</v>
      </c>
      <c r="AN18" s="40">
        <v>5385.5775393103486</v>
      </c>
      <c r="AO18" s="40">
        <v>5459.66327172414</v>
      </c>
      <c r="AP18" s="40">
        <v>5530.0032000000028</v>
      </c>
      <c r="AQ18" s="40">
        <v>5597.6649931034499</v>
      </c>
      <c r="AR18" s="40">
        <v>5665.2731751724186</v>
      </c>
      <c r="AS18" s="40">
        <v>5733.2151393103486</v>
      </c>
      <c r="AT18" s="40">
        <v>5796.1262606896598</v>
      </c>
      <c r="AU18" s="40">
        <v>5852.9024689655207</v>
      </c>
      <c r="AV18" s="40">
        <v>5907.4582303448315</v>
      </c>
      <c r="AW18" s="40">
        <v>5960.8618262069012</v>
      </c>
      <c r="AX18" s="40">
        <v>6011.1190800000049</v>
      </c>
    </row>
    <row r="19" spans="1:50" ht="12.25" customHeight="1">
      <c r="A19" s="50" t="s">
        <v>42</v>
      </c>
      <c r="B19" s="7" t="s">
        <v>20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40">
        <v>137.91249999999999</v>
      </c>
      <c r="Q19" s="40">
        <v>234.267</v>
      </c>
      <c r="R19" s="40">
        <v>389.19375000000002</v>
      </c>
      <c r="S19" s="40">
        <v>641.52</v>
      </c>
      <c r="T19" s="40">
        <v>942.48</v>
      </c>
      <c r="U19" s="40">
        <v>1227.5999999999999</v>
      </c>
      <c r="V19" s="40">
        <v>1465.6551724137933</v>
      </c>
      <c r="W19" s="40">
        <v>1650.0910344827587</v>
      </c>
      <c r="X19" s="40">
        <v>1779.6331034482762</v>
      </c>
      <c r="Y19" s="40">
        <v>1863.2937931034485</v>
      </c>
      <c r="Z19" s="40">
        <v>1927.4958620689658</v>
      </c>
      <c r="AA19" s="40">
        <v>1982.7310344827592</v>
      </c>
      <c r="AB19" s="40">
        <v>2034.16551724138</v>
      </c>
      <c r="AC19" s="40">
        <v>2084.3255172413801</v>
      </c>
      <c r="AD19" s="40">
        <v>2133.2110344827593</v>
      </c>
      <c r="AE19" s="40">
        <v>2180.8220689655182</v>
      </c>
      <c r="AF19" s="40">
        <v>2227.1586206896563</v>
      </c>
      <c r="AG19" s="40">
        <v>2272.2206896551734</v>
      </c>
      <c r="AH19" s="40">
        <v>2316.0082758620701</v>
      </c>
      <c r="AI19" s="40">
        <v>2358.5213793103462</v>
      </c>
      <c r="AJ19" s="40">
        <v>2399.7600000000016</v>
      </c>
      <c r="AK19" s="40">
        <v>2439.7241379310362</v>
      </c>
      <c r="AL19" s="40">
        <v>2478.4137931034502</v>
      </c>
      <c r="AM19" s="40">
        <v>2515.8289655172434</v>
      </c>
      <c r="AN19" s="40">
        <v>2551.969655172416</v>
      </c>
      <c r="AO19" s="40">
        <v>2586.8358620689678</v>
      </c>
      <c r="AP19" s="40">
        <v>2620.4275862068989</v>
      </c>
      <c r="AQ19" s="40">
        <v>2652.7448275862098</v>
      </c>
      <c r="AR19" s="40">
        <v>2683.7875862068995</v>
      </c>
      <c r="AS19" s="40">
        <v>2713.555862068969</v>
      </c>
      <c r="AT19" s="40">
        <v>2742.0496551724168</v>
      </c>
      <c r="AU19" s="40">
        <v>2769.2689655172449</v>
      </c>
      <c r="AV19" s="40">
        <v>2795.2137931034517</v>
      </c>
      <c r="AW19" s="40">
        <v>2819.8841379310388</v>
      </c>
      <c r="AX19" s="40">
        <v>2843.2800000000043</v>
      </c>
    </row>
    <row r="20" spans="1:50" ht="12.25" customHeight="1">
      <c r="A20" s="50" t="s">
        <v>49</v>
      </c>
      <c r="B20" s="7" t="s">
        <v>50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40">
        <v>439.47723519051891</v>
      </c>
      <c r="Q20" s="40">
        <v>557.76293116685054</v>
      </c>
      <c r="R20" s="40">
        <v>626.25808192815771</v>
      </c>
      <c r="S20" s="40">
        <v>729.98430134022874</v>
      </c>
      <c r="T20" s="40">
        <v>854.58789335400184</v>
      </c>
      <c r="U20" s="40">
        <v>878.56369780514603</v>
      </c>
      <c r="V20" s="40">
        <v>868.6101190731822</v>
      </c>
      <c r="W20" s="40">
        <v>861.05698760298071</v>
      </c>
      <c r="X20" s="40">
        <v>853.50385613277911</v>
      </c>
      <c r="Y20" s="40">
        <v>848.26839788083078</v>
      </c>
      <c r="Z20" s="40">
        <v>838.39759319237601</v>
      </c>
      <c r="AA20" s="40">
        <v>830.8444617221744</v>
      </c>
      <c r="AB20" s="40">
        <v>823.29133025197291</v>
      </c>
      <c r="AC20" s="40">
        <v>817.97309795651552</v>
      </c>
      <c r="AD20" s="40">
        <v>808.18506731156981</v>
      </c>
      <c r="AE20" s="40">
        <v>800.63193584136832</v>
      </c>
      <c r="AF20" s="40">
        <v>793.07880437116671</v>
      </c>
      <c r="AG20" s="40">
        <v>787.67779803220026</v>
      </c>
      <c r="AH20" s="40">
        <v>777.9725414307635</v>
      </c>
      <c r="AI20" s="40">
        <v>770.41940996056201</v>
      </c>
      <c r="AJ20" s="40">
        <v>762.86627849036051</v>
      </c>
      <c r="AK20" s="40">
        <v>757.382498107885</v>
      </c>
      <c r="AL20" s="40">
        <v>747.76001554995742</v>
      </c>
      <c r="AM20" s="40">
        <v>740.20688407975581</v>
      </c>
      <c r="AN20" s="40">
        <v>732.65375260955432</v>
      </c>
      <c r="AO20" s="40">
        <v>727.08719818356985</v>
      </c>
      <c r="AP20" s="40">
        <v>717.54748966915122</v>
      </c>
      <c r="AQ20" s="40">
        <v>709.99435819894961</v>
      </c>
      <c r="AR20" s="40">
        <v>702.44122672874812</v>
      </c>
      <c r="AS20" s="40">
        <v>696.79189825925448</v>
      </c>
      <c r="AT20" s="40">
        <v>687.33496378834502</v>
      </c>
      <c r="AU20" s="40">
        <v>679.78183231814342</v>
      </c>
      <c r="AV20" s="40">
        <v>672.22870084794192</v>
      </c>
      <c r="AW20" s="40">
        <v>666.49659833493934</v>
      </c>
      <c r="AX20" s="40">
        <v>657.12243790753882</v>
      </c>
    </row>
    <row r="21" spans="1:50" ht="12.25" customHeight="1">
      <c r="A21" s="50" t="s">
        <v>21</v>
      </c>
      <c r="B21" s="7" t="s">
        <v>51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40">
        <v>285.66528247421269</v>
      </c>
      <c r="Q21" s="40">
        <v>286.44792708373114</v>
      </c>
      <c r="R21" s="40">
        <v>285.66528247421269</v>
      </c>
      <c r="S21" s="40">
        <v>285.66528247421269</v>
      </c>
      <c r="T21" s="40">
        <v>285.66528247421269</v>
      </c>
      <c r="U21" s="40">
        <v>286.44792708373114</v>
      </c>
      <c r="V21" s="40">
        <v>283.20265072874537</v>
      </c>
      <c r="W21" s="40">
        <v>280.74001898327799</v>
      </c>
      <c r="X21" s="40">
        <v>278.27738723781073</v>
      </c>
      <c r="Y21" s="40">
        <v>276.57041235670602</v>
      </c>
      <c r="Z21" s="40">
        <v>273.35212374687603</v>
      </c>
      <c r="AA21" s="40">
        <v>270.88949200140866</v>
      </c>
      <c r="AB21" s="40">
        <v>268.42686025594134</v>
      </c>
      <c r="AC21" s="40">
        <v>266.69289762968083</v>
      </c>
      <c r="AD21" s="40">
        <v>263.50159676500664</v>
      </c>
      <c r="AE21" s="40">
        <v>261.03896501953926</v>
      </c>
      <c r="AF21" s="40">
        <v>258.57633327407194</v>
      </c>
      <c r="AG21" s="40">
        <v>256.81538290265564</v>
      </c>
      <c r="AH21" s="40">
        <v>253.65106978313727</v>
      </c>
      <c r="AI21" s="40">
        <v>251.18843803766993</v>
      </c>
      <c r="AJ21" s="40">
        <v>248.72580629220258</v>
      </c>
      <c r="AK21" s="40">
        <v>246.93786817563048</v>
      </c>
      <c r="AL21" s="40">
        <v>243.80054280126794</v>
      </c>
      <c r="AM21" s="40">
        <v>241.33791105580059</v>
      </c>
      <c r="AN21" s="40">
        <v>238.87527931033324</v>
      </c>
      <c r="AO21" s="40">
        <v>237.0603534486053</v>
      </c>
      <c r="AP21" s="40">
        <v>233.95001581939857</v>
      </c>
      <c r="AQ21" s="40">
        <v>231.48738407393122</v>
      </c>
      <c r="AR21" s="40">
        <v>229.02475232846388</v>
      </c>
      <c r="AS21" s="40">
        <v>227.18283872158017</v>
      </c>
      <c r="AT21" s="40">
        <v>224.09948883752921</v>
      </c>
      <c r="AU21" s="40">
        <v>221.63685709206186</v>
      </c>
      <c r="AV21" s="40">
        <v>219.17422534659451</v>
      </c>
      <c r="AW21" s="40">
        <v>217.30532399455498</v>
      </c>
      <c r="AX21" s="40">
        <v>214.24896185565984</v>
      </c>
    </row>
    <row r="22" spans="1:50" ht="12.25" customHeight="1">
      <c r="A22" s="50" t="s">
        <v>163</v>
      </c>
      <c r="B22" s="7" t="s">
        <v>165</v>
      </c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40">
        <v>12038.204325914199</v>
      </c>
      <c r="Q22" s="40">
        <v>12196.340819885476</v>
      </c>
      <c r="R22" s="40">
        <v>12993.602907762361</v>
      </c>
      <c r="S22" s="40">
        <v>13504.379928413251</v>
      </c>
      <c r="T22" s="40">
        <v>13504.379928413251</v>
      </c>
      <c r="U22" s="40">
        <v>13541.378229586982</v>
      </c>
      <c r="V22" s="40">
        <v>13387.962860064863</v>
      </c>
      <c r="W22" s="40">
        <v>13271.545791716473</v>
      </c>
      <c r="X22" s="40">
        <v>13155.128723368081</v>
      </c>
      <c r="Y22" s="40">
        <v>13074.434152704674</v>
      </c>
      <c r="Z22" s="40">
        <v>12922.294586671303</v>
      </c>
      <c r="AA22" s="40">
        <v>12805.877518322915</v>
      </c>
      <c r="AB22" s="40">
        <v>12689.460449974524</v>
      </c>
      <c r="AC22" s="40">
        <v>12607.490075822368</v>
      </c>
      <c r="AD22" s="40">
        <v>12456.626313277746</v>
      </c>
      <c r="AE22" s="40">
        <v>12340.209244929356</v>
      </c>
      <c r="AF22" s="40">
        <v>12223.792176580966</v>
      </c>
      <c r="AG22" s="40">
        <v>12140.545998940061</v>
      </c>
      <c r="AH22" s="40">
        <v>11990.958039884188</v>
      </c>
      <c r="AI22" s="40">
        <v>11874.540971535798</v>
      </c>
      <c r="AJ22" s="40">
        <v>11758.123903187407</v>
      </c>
      <c r="AK22" s="40">
        <v>11673.601922057751</v>
      </c>
      <c r="AL22" s="40">
        <v>11525.289766490629</v>
      </c>
      <c r="AM22" s="40">
        <v>11408.872698142241</v>
      </c>
      <c r="AN22" s="40">
        <v>11292.455629793849</v>
      </c>
      <c r="AO22" s="40">
        <v>11206.657845175445</v>
      </c>
      <c r="AP22" s="40">
        <v>11059.621493097071</v>
      </c>
      <c r="AQ22" s="40">
        <v>10943.204424748681</v>
      </c>
      <c r="AR22" s="40">
        <v>10826.787356400291</v>
      </c>
      <c r="AS22" s="40">
        <v>10739.713768293137</v>
      </c>
      <c r="AT22" s="40">
        <v>10593.953219703511</v>
      </c>
      <c r="AU22" s="40">
        <v>10477.536151355123</v>
      </c>
      <c r="AV22" s="40">
        <v>10361.119083006732</v>
      </c>
      <c r="AW22" s="40">
        <v>10272.769691410829</v>
      </c>
      <c r="AX22" s="40">
        <v>10128.284946309954</v>
      </c>
    </row>
    <row r="23" spans="1:50" ht="12.25" customHeight="1">
      <c r="A23" s="50" t="s">
        <v>164</v>
      </c>
      <c r="B23" s="7" t="s">
        <v>166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</row>
    <row r="24" spans="1:50" ht="12.25" customHeight="1">
      <c r="A24" s="50" t="s">
        <v>178</v>
      </c>
      <c r="B24" s="7" t="s">
        <v>179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40">
        <v>11241.926339692429</v>
      </c>
      <c r="Q24" s="40">
        <v>11241.926339692429</v>
      </c>
      <c r="R24" s="40">
        <v>11241.926339692429</v>
      </c>
      <c r="S24" s="40">
        <v>11241.926339692429</v>
      </c>
      <c r="T24" s="40">
        <v>11241.926339692429</v>
      </c>
      <c r="U24" s="40">
        <v>11241.926339692429</v>
      </c>
      <c r="V24" s="40">
        <v>11145.013181591632</v>
      </c>
      <c r="W24" s="40">
        <v>11048.100023490837</v>
      </c>
      <c r="X24" s="40">
        <v>10951.18686539004</v>
      </c>
      <c r="Y24" s="40">
        <v>10854.273707289243</v>
      </c>
      <c r="Z24" s="40">
        <v>10757.360549188446</v>
      </c>
      <c r="AA24" s="40">
        <v>10660.447391087651</v>
      </c>
      <c r="AB24" s="40">
        <v>10563.534232986854</v>
      </c>
      <c r="AC24" s="40">
        <v>10466.621074886058</v>
      </c>
      <c r="AD24" s="40">
        <v>10369.707916785261</v>
      </c>
      <c r="AE24" s="40">
        <v>10272.794758684466</v>
      </c>
      <c r="AF24" s="40">
        <v>10175.881600583669</v>
      </c>
      <c r="AG24" s="40">
        <v>10078.968442482872</v>
      </c>
      <c r="AH24" s="40">
        <v>9982.0552843820751</v>
      </c>
      <c r="AI24" s="40">
        <v>9885.1421262812801</v>
      </c>
      <c r="AJ24" s="40">
        <v>9788.2289681804832</v>
      </c>
      <c r="AK24" s="40">
        <v>9691.3158100796863</v>
      </c>
      <c r="AL24" s="40">
        <v>9594.4026519788913</v>
      </c>
      <c r="AM24" s="40">
        <v>9497.4894938780944</v>
      </c>
      <c r="AN24" s="40">
        <v>9400.5763357772976</v>
      </c>
      <c r="AO24" s="40">
        <v>9303.6631776765007</v>
      </c>
      <c r="AP24" s="40">
        <v>9206.7500195757057</v>
      </c>
      <c r="AQ24" s="40">
        <v>9109.8368614749088</v>
      </c>
      <c r="AR24" s="40">
        <v>9012.9237033741119</v>
      </c>
      <c r="AS24" s="40">
        <v>8916.0105452733151</v>
      </c>
      <c r="AT24" s="40">
        <v>8819.09738717252</v>
      </c>
      <c r="AU24" s="40">
        <v>8722.1842290717232</v>
      </c>
      <c r="AV24" s="40">
        <v>8625.2710709709263</v>
      </c>
      <c r="AW24" s="40">
        <v>8528.3579128701294</v>
      </c>
      <c r="AX24" s="40">
        <v>8431.4447547693344</v>
      </c>
    </row>
    <row r="25" spans="1:50" ht="12.25" customHeight="1">
      <c r="A25" s="50"/>
      <c r="B25" s="7"/>
      <c r="F25" s="60"/>
      <c r="G25" s="60"/>
      <c r="H25" s="60"/>
      <c r="I25" s="60"/>
      <c r="J25" s="60"/>
      <c r="K25" s="60"/>
      <c r="L25" s="60"/>
      <c r="M25" s="60"/>
      <c r="N25" s="60"/>
      <c r="O25" s="60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</row>
    <row r="26" spans="1:50" ht="12.25" customHeight="1">
      <c r="A26" s="51" t="s">
        <v>57</v>
      </c>
      <c r="B26" s="47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115">
        <f>SUM(P18:P25)</f>
        <v>25214.28693327136</v>
      </c>
      <c r="Q26" s="115">
        <f t="shared" ref="Q26:AX26" si="6">SUM(Q18:Q25)</f>
        <v>25790.362917828486</v>
      </c>
      <c r="R26" s="115">
        <f t="shared" si="6"/>
        <v>27112.913525857159</v>
      </c>
      <c r="S26" s="115">
        <f t="shared" si="6"/>
        <v>28327.561611920122</v>
      </c>
      <c r="T26" s="115">
        <f t="shared" si="6"/>
        <v>29077.486643933895</v>
      </c>
      <c r="U26" s="115">
        <f t="shared" si="6"/>
        <v>29742.940852408286</v>
      </c>
      <c r="V26" s="115">
        <f t="shared" si="6"/>
        <v>29998.998126092905</v>
      </c>
      <c r="W26" s="115">
        <f t="shared" si="6"/>
        <v>30181.611721103916</v>
      </c>
      <c r="X26" s="115">
        <f t="shared" si="6"/>
        <v>30277.338845921819</v>
      </c>
      <c r="Y26" s="115">
        <f>SUM(Y18:Y25)</f>
        <v>30355.509881265934</v>
      </c>
      <c r="Z26" s="115">
        <f t="shared" si="6"/>
        <v>30327.700256936936</v>
      </c>
      <c r="AA26" s="115">
        <f t="shared" si="6"/>
        <v>30324.940270030704</v>
      </c>
      <c r="AB26" s="115">
        <f t="shared" si="6"/>
        <v>30314.398713469294</v>
      </c>
      <c r="AC26" s="115">
        <f t="shared" si="6"/>
        <v>30342.913753191177</v>
      </c>
      <c r="AD26" s="115">
        <f t="shared" si="6"/>
        <v>30298.972532760275</v>
      </c>
      <c r="AE26" s="115">
        <f t="shared" si="6"/>
        <v>30281.44509757818</v>
      </c>
      <c r="AF26" s="115">
        <f t="shared" si="6"/>
        <v>30246.462425154707</v>
      </c>
      <c r="AG26" s="115">
        <f t="shared" si="6"/>
        <v>30235.394579599168</v>
      </c>
      <c r="AH26" s="115">
        <f t="shared" si="6"/>
        <v>30142.117974100853</v>
      </c>
      <c r="AI26" s="115">
        <f t="shared" si="6"/>
        <v>30071.201541677379</v>
      </c>
      <c r="AJ26" s="115">
        <f t="shared" si="6"/>
        <v>29992.917998909077</v>
      </c>
      <c r="AK26" s="115">
        <f t="shared" si="6"/>
        <v>29944.177684627852</v>
      </c>
      <c r="AL26" s="115">
        <f t="shared" si="6"/>
        <v>29814.63578785523</v>
      </c>
      <c r="AM26" s="115">
        <f t="shared" si="6"/>
        <v>29710.894187155893</v>
      </c>
      <c r="AN26" s="115">
        <f t="shared" si="6"/>
        <v>29602.108191973799</v>
      </c>
      <c r="AO26" s="115">
        <f t="shared" si="6"/>
        <v>29520.967708277225</v>
      </c>
      <c r="AP26" s="115">
        <f t="shared" si="6"/>
        <v>29368.299804368227</v>
      </c>
      <c r="AQ26" s="115">
        <f t="shared" si="6"/>
        <v>29244.932849186131</v>
      </c>
      <c r="AR26" s="115">
        <f t="shared" si="6"/>
        <v>29120.237800210933</v>
      </c>
      <c r="AS26" s="115">
        <f t="shared" si="6"/>
        <v>29026.470051926608</v>
      </c>
      <c r="AT26" s="115">
        <f t="shared" si="6"/>
        <v>28862.660975363986</v>
      </c>
      <c r="AU26" s="115">
        <f t="shared" si="6"/>
        <v>28723.310504319816</v>
      </c>
      <c r="AV26" s="115">
        <f t="shared" si="6"/>
        <v>28580.465103620481</v>
      </c>
      <c r="AW26" s="115">
        <f t="shared" si="6"/>
        <v>28465.675490748392</v>
      </c>
      <c r="AX26" s="115">
        <f t="shared" si="6"/>
        <v>28285.500180842497</v>
      </c>
    </row>
    <row r="27" spans="1:50" s="33" customFormat="1" ht="13">
      <c r="A27" s="25"/>
      <c r="B27" s="31"/>
      <c r="C27" s="21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1:50" s="33" customFormat="1" ht="13">
      <c r="A28" s="25" t="s">
        <v>217</v>
      </c>
      <c r="B28" s="31"/>
      <c r="C28" s="21"/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</row>
    <row r="29" spans="1:50" s="33" customFormat="1" ht="13">
      <c r="A29" s="25"/>
      <c r="B29" s="31"/>
      <c r="C29" s="2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</row>
    <row r="30" spans="1:50" ht="12.25" customHeight="1">
      <c r="A30" s="33" t="s">
        <v>218</v>
      </c>
      <c r="C30" s="29" t="s">
        <v>219</v>
      </c>
      <c r="E30" s="88"/>
      <c r="F30" s="88"/>
      <c r="G30" s="88">
        <v>256</v>
      </c>
      <c r="H30" s="88"/>
      <c r="I30" s="88"/>
      <c r="J30" s="88"/>
      <c r="K30" s="88"/>
      <c r="L30" s="88"/>
      <c r="M30" s="88">
        <v>293.10000000000002</v>
      </c>
      <c r="N30" s="88"/>
      <c r="O30" s="88"/>
    </row>
    <row r="31" spans="1:50" ht="12.25" customHeight="1">
      <c r="C31" s="29" t="s">
        <v>220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>
        <v>355.2</v>
      </c>
    </row>
    <row r="32" spans="1:50" ht="12.25" customHeight="1">
      <c r="C32" s="29" t="s">
        <v>234</v>
      </c>
      <c r="E32" s="88"/>
      <c r="F32" s="88"/>
      <c r="G32" s="88"/>
      <c r="H32" s="88"/>
      <c r="I32" s="88"/>
      <c r="J32" s="88"/>
      <c r="K32" s="88"/>
      <c r="L32" s="88"/>
      <c r="M32" s="88">
        <v>108.9</v>
      </c>
      <c r="N32" s="88">
        <v>111.6</v>
      </c>
      <c r="O32" s="88"/>
    </row>
    <row r="33" spans="1:50" ht="12.25" customHeight="1">
      <c r="C33" s="29" t="s">
        <v>235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>
        <v>125.2</v>
      </c>
    </row>
    <row r="34" spans="1:50" ht="12.25" customHeight="1">
      <c r="C34" s="29" t="s">
        <v>236</v>
      </c>
      <c r="E34" s="88"/>
      <c r="F34" s="88"/>
      <c r="G34" s="88"/>
      <c r="H34" s="88"/>
      <c r="I34" s="88"/>
      <c r="J34" s="88"/>
      <c r="K34" s="88"/>
      <c r="L34" s="88"/>
      <c r="M34" s="44">
        <f>+O31/M30/O33*M32</f>
        <v>1.0540972724091811</v>
      </c>
      <c r="N34" s="88"/>
      <c r="O34" s="88"/>
    </row>
    <row r="35" spans="1:50" ht="12.25" customHeight="1">
      <c r="E35" s="88"/>
      <c r="F35" s="88"/>
      <c r="G35" s="88"/>
      <c r="H35" s="88"/>
      <c r="I35" s="88"/>
      <c r="J35" s="88"/>
      <c r="K35" s="88"/>
      <c r="L35" s="88"/>
      <c r="M35" s="88"/>
    </row>
    <row r="36" spans="1:50" ht="12.25" customHeight="1">
      <c r="E36" s="88"/>
      <c r="F36" s="88"/>
      <c r="G36" s="88"/>
      <c r="H36" s="88"/>
      <c r="I36" s="88"/>
      <c r="J36" s="88"/>
      <c r="K36" s="88"/>
      <c r="L36" s="88"/>
      <c r="M36" s="88"/>
      <c r="N36" s="31" t="s">
        <v>230</v>
      </c>
      <c r="O36" s="143" t="s">
        <v>231</v>
      </c>
      <c r="P36" s="143"/>
      <c r="Q36" s="143"/>
      <c r="R36" s="143"/>
      <c r="S36" s="143"/>
      <c r="T36" s="143"/>
      <c r="U36" s="143"/>
    </row>
    <row r="37" spans="1:50" ht="12.25" customHeight="1">
      <c r="A37" s="90" t="s">
        <v>232</v>
      </c>
      <c r="B37" s="22"/>
      <c r="C37" s="22" t="s">
        <v>237</v>
      </c>
      <c r="D37" s="61"/>
      <c r="E37" s="61"/>
      <c r="F37" s="62"/>
      <c r="G37" s="62"/>
      <c r="H37" s="62"/>
      <c r="I37" s="62"/>
      <c r="J37" s="62"/>
      <c r="K37" s="62"/>
      <c r="L37" s="62"/>
      <c r="M37" s="24"/>
      <c r="N37" s="67">
        <f>+N32/M32-1</f>
        <v>2.4793388429751984E-2</v>
      </c>
      <c r="O37" s="67">
        <v>0.08</v>
      </c>
      <c r="P37" s="67">
        <v>5.5500000000000001E-2</v>
      </c>
      <c r="Q37" s="67">
        <v>2.2799999999999997E-2</v>
      </c>
      <c r="R37" s="67">
        <v>1.09E-2</v>
      </c>
      <c r="S37" s="67">
        <v>2.0899999999999998E-2</v>
      </c>
      <c r="T37" s="67">
        <v>2.0899999999999998E-2</v>
      </c>
      <c r="U37" s="67">
        <v>2.0899999999999998E-2</v>
      </c>
      <c r="V37" s="67">
        <f t="shared" ref="V37" si="7">+U37</f>
        <v>2.0899999999999998E-2</v>
      </c>
      <c r="W37" s="67">
        <f t="shared" ref="W37:AX37" si="8">+V37</f>
        <v>2.0899999999999998E-2</v>
      </c>
      <c r="X37" s="67">
        <f t="shared" si="8"/>
        <v>2.0899999999999998E-2</v>
      </c>
      <c r="Y37" s="67">
        <f t="shared" si="8"/>
        <v>2.0899999999999998E-2</v>
      </c>
      <c r="Z37" s="67">
        <f t="shared" si="8"/>
        <v>2.0899999999999998E-2</v>
      </c>
      <c r="AA37" s="67">
        <f t="shared" si="8"/>
        <v>2.0899999999999998E-2</v>
      </c>
      <c r="AB37" s="67">
        <f t="shared" si="8"/>
        <v>2.0899999999999998E-2</v>
      </c>
      <c r="AC37" s="67">
        <f t="shared" si="8"/>
        <v>2.0899999999999998E-2</v>
      </c>
      <c r="AD37" s="67">
        <f t="shared" si="8"/>
        <v>2.0899999999999998E-2</v>
      </c>
      <c r="AE37" s="67">
        <f t="shared" si="8"/>
        <v>2.0899999999999998E-2</v>
      </c>
      <c r="AF37" s="67">
        <f t="shared" si="8"/>
        <v>2.0899999999999998E-2</v>
      </c>
      <c r="AG37" s="67">
        <f t="shared" si="8"/>
        <v>2.0899999999999998E-2</v>
      </c>
      <c r="AH37" s="67">
        <f t="shared" si="8"/>
        <v>2.0899999999999998E-2</v>
      </c>
      <c r="AI37" s="67">
        <f t="shared" si="8"/>
        <v>2.0899999999999998E-2</v>
      </c>
      <c r="AJ37" s="67">
        <f t="shared" si="8"/>
        <v>2.0899999999999998E-2</v>
      </c>
      <c r="AK37" s="67">
        <f t="shared" si="8"/>
        <v>2.0899999999999998E-2</v>
      </c>
      <c r="AL37" s="67">
        <f t="shared" si="8"/>
        <v>2.0899999999999998E-2</v>
      </c>
      <c r="AM37" s="67">
        <f t="shared" si="8"/>
        <v>2.0899999999999998E-2</v>
      </c>
      <c r="AN37" s="67">
        <f t="shared" si="8"/>
        <v>2.0899999999999998E-2</v>
      </c>
      <c r="AO37" s="67">
        <f t="shared" si="8"/>
        <v>2.0899999999999998E-2</v>
      </c>
      <c r="AP37" s="67">
        <f t="shared" si="8"/>
        <v>2.0899999999999998E-2</v>
      </c>
      <c r="AQ37" s="67">
        <f t="shared" si="8"/>
        <v>2.0899999999999998E-2</v>
      </c>
      <c r="AR37" s="67">
        <f t="shared" si="8"/>
        <v>2.0899999999999998E-2</v>
      </c>
      <c r="AS37" s="67">
        <f t="shared" si="8"/>
        <v>2.0899999999999998E-2</v>
      </c>
      <c r="AT37" s="67">
        <f t="shared" si="8"/>
        <v>2.0899999999999998E-2</v>
      </c>
      <c r="AU37" s="67">
        <f t="shared" si="8"/>
        <v>2.0899999999999998E-2</v>
      </c>
      <c r="AV37" s="67">
        <f t="shared" si="8"/>
        <v>2.0899999999999998E-2</v>
      </c>
      <c r="AW37" s="67">
        <f t="shared" si="8"/>
        <v>2.0899999999999998E-2</v>
      </c>
      <c r="AX37" s="67">
        <f t="shared" si="8"/>
        <v>2.0899999999999998E-2</v>
      </c>
    </row>
    <row r="38" spans="1:50" ht="12.25" customHeight="1">
      <c r="A38" s="33" t="s">
        <v>211</v>
      </c>
      <c r="M38" s="44">
        <v>1</v>
      </c>
      <c r="N38" s="44">
        <f>+M38+M38*N37</f>
        <v>1.024793388429752</v>
      </c>
      <c r="O38" s="44">
        <f t="shared" ref="O38:V38" si="9">+N38+N38*O37</f>
        <v>1.1067768595041321</v>
      </c>
      <c r="P38" s="44">
        <f t="shared" si="9"/>
        <v>1.1682029752066114</v>
      </c>
      <c r="Q38" s="44">
        <f t="shared" si="9"/>
        <v>1.1948380030413221</v>
      </c>
      <c r="R38" s="44">
        <f t="shared" si="9"/>
        <v>1.2078617372744727</v>
      </c>
      <c r="S38" s="44">
        <f t="shared" si="9"/>
        <v>1.2331060475835092</v>
      </c>
      <c r="T38" s="44">
        <f t="shared" si="9"/>
        <v>1.2588779639780046</v>
      </c>
      <c r="U38" s="44">
        <f t="shared" si="9"/>
        <v>1.2851885134251448</v>
      </c>
      <c r="V38" s="44">
        <f t="shared" si="9"/>
        <v>1.3120489533557305</v>
      </c>
      <c r="W38" s="44">
        <f t="shared" ref="W38:AX38" si="10">+V38+V38*W37</f>
        <v>1.3394707764808653</v>
      </c>
      <c r="X38" s="44">
        <f t="shared" si="10"/>
        <v>1.3674657157093153</v>
      </c>
      <c r="Y38" s="44">
        <f t="shared" si="10"/>
        <v>1.3960457491676399</v>
      </c>
      <c r="Z38" s="44">
        <f t="shared" si="10"/>
        <v>1.4252231053252435</v>
      </c>
      <c r="AA38" s="44">
        <f t="shared" si="10"/>
        <v>1.4550102682265411</v>
      </c>
      <c r="AB38" s="44">
        <f t="shared" si="10"/>
        <v>1.4854199828324759</v>
      </c>
      <c r="AC38" s="44">
        <f t="shared" si="10"/>
        <v>1.5164652604736746</v>
      </c>
      <c r="AD38" s="44">
        <f t="shared" si="10"/>
        <v>1.5481593844175743</v>
      </c>
      <c r="AE38" s="44">
        <f t="shared" si="10"/>
        <v>1.5805159155519015</v>
      </c>
      <c r="AF38" s="44">
        <f t="shared" si="10"/>
        <v>1.6135486981869362</v>
      </c>
      <c r="AG38" s="44">
        <f t="shared" si="10"/>
        <v>1.6472718659790433</v>
      </c>
      <c r="AH38" s="44">
        <f t="shared" si="10"/>
        <v>1.6816998479780052</v>
      </c>
      <c r="AI38" s="44">
        <f t="shared" si="10"/>
        <v>1.7168473748007456</v>
      </c>
      <c r="AJ38" s="44">
        <f t="shared" si="10"/>
        <v>1.7527294849340811</v>
      </c>
      <c r="AK38" s="44">
        <f t="shared" si="10"/>
        <v>1.7893615311692035</v>
      </c>
      <c r="AL38" s="44">
        <f t="shared" si="10"/>
        <v>1.8267591871706399</v>
      </c>
      <c r="AM38" s="44">
        <f t="shared" si="10"/>
        <v>1.8649384541825063</v>
      </c>
      <c r="AN38" s="44">
        <f t="shared" si="10"/>
        <v>1.9039156678749207</v>
      </c>
      <c r="AO38" s="44">
        <f t="shared" si="10"/>
        <v>1.9437075053335067</v>
      </c>
      <c r="AP38" s="44">
        <f t="shared" si="10"/>
        <v>1.984330992194977</v>
      </c>
      <c r="AQ38" s="44">
        <f t="shared" si="10"/>
        <v>2.0258035099318521</v>
      </c>
      <c r="AR38" s="44">
        <f t="shared" si="10"/>
        <v>2.0681428032894278</v>
      </c>
      <c r="AS38" s="44">
        <f t="shared" si="10"/>
        <v>2.1113669878781769</v>
      </c>
      <c r="AT38" s="44">
        <f t="shared" si="10"/>
        <v>2.1554945579248308</v>
      </c>
      <c r="AU38" s="44">
        <f t="shared" si="10"/>
        <v>2.2005443941854597</v>
      </c>
      <c r="AV38" s="44">
        <f t="shared" si="10"/>
        <v>2.2465357720239356</v>
      </c>
      <c r="AW38" s="44">
        <f t="shared" si="10"/>
        <v>2.2934883696592361</v>
      </c>
      <c r="AX38" s="44">
        <f t="shared" si="10"/>
        <v>2.341422276585114</v>
      </c>
    </row>
    <row r="39" spans="1:50" ht="12.25" customHeight="1"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</row>
    <row r="40" spans="1:50" ht="12.25" customHeight="1"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</row>
    <row r="41" spans="1:50" ht="12.25" customHeight="1">
      <c r="A41" s="26" t="s">
        <v>216</v>
      </c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</row>
    <row r="43" spans="1:50" ht="12.25" customHeight="1">
      <c r="A43" s="33" t="s">
        <v>139</v>
      </c>
      <c r="C43" s="29" t="s">
        <v>222</v>
      </c>
      <c r="G43" s="40">
        <v>1717.586</v>
      </c>
      <c r="M43" s="31">
        <f>+G43/G$30*M$30</f>
        <v>1966.5017835937501</v>
      </c>
    </row>
    <row r="44" spans="1:50" ht="12.25" customHeight="1">
      <c r="E44" s="40"/>
      <c r="Q44" s="112"/>
      <c r="R44" s="112"/>
    </row>
    <row r="45" spans="1:50" ht="12.25" customHeight="1">
      <c r="A45" s="15" t="s">
        <v>54</v>
      </c>
      <c r="C45" s="6"/>
      <c r="G45" s="14"/>
      <c r="M45" s="14"/>
      <c r="O45" s="31" t="s">
        <v>144</v>
      </c>
      <c r="P45" s="31" t="s">
        <v>237</v>
      </c>
    </row>
    <row r="46" spans="1:50" ht="12.25" customHeight="1">
      <c r="A46" s="15" t="s">
        <v>1</v>
      </c>
      <c r="C46" s="6" t="s">
        <v>208</v>
      </c>
      <c r="F46" s="63"/>
      <c r="G46" s="14"/>
      <c r="M46" s="31">
        <f>+'DAV Pi'!O31</f>
        <v>35788.861264298183</v>
      </c>
      <c r="O46" s="31">
        <f>+M46</f>
        <v>35788.861264298183</v>
      </c>
      <c r="P46" s="31">
        <f>+O46*M$34</f>
        <v>37724.941041327307</v>
      </c>
    </row>
    <row r="47" spans="1:50" ht="12.25" customHeight="1">
      <c r="A47" s="15" t="s">
        <v>2</v>
      </c>
      <c r="C47" s="6" t="s">
        <v>209</v>
      </c>
      <c r="G47" s="40">
        <v>1333</v>
      </c>
      <c r="M47" s="31">
        <f>+G47/G$30*M$30</f>
        <v>1526.1808593750002</v>
      </c>
      <c r="O47" s="31">
        <f>+M47+SUM(M48:M54)</f>
        <v>-5208.2238891737816</v>
      </c>
      <c r="P47" s="31">
        <f>+O47*M$34</f>
        <v>-5489.97459567442</v>
      </c>
      <c r="T47" s="63"/>
    </row>
    <row r="48" spans="1:50" ht="12.25" customHeight="1">
      <c r="A48" s="15" t="s">
        <v>206</v>
      </c>
      <c r="C48" s="6" t="s">
        <v>210</v>
      </c>
      <c r="G48" s="14">
        <v>-3040</v>
      </c>
      <c r="I48" s="65"/>
      <c r="M48" s="31">
        <f t="shared" ref="M48:M49" si="11">+G48/G$30*M$30</f>
        <v>-3480.5625000000005</v>
      </c>
    </row>
    <row r="49" spans="1:16" ht="12.25" customHeight="1">
      <c r="A49" s="15" t="s">
        <v>207</v>
      </c>
      <c r="C49" s="6" t="s">
        <v>210</v>
      </c>
      <c r="G49" s="14">
        <v>-1336.5747973034079</v>
      </c>
      <c r="I49" s="65"/>
      <c r="M49" s="31">
        <f t="shared" si="11"/>
        <v>-1530.2737230063628</v>
      </c>
    </row>
    <row r="50" spans="1:16" ht="12.25" customHeight="1">
      <c r="A50" s="15" t="s">
        <v>196</v>
      </c>
      <c r="C50" s="6" t="s">
        <v>208</v>
      </c>
      <c r="G50" s="14"/>
      <c r="M50" s="31">
        <f>SUM('DAV Pi'!K29:O29)</f>
        <v>4446.1670107857071</v>
      </c>
    </row>
    <row r="51" spans="1:16" ht="12.25" customHeight="1">
      <c r="A51" s="15" t="s">
        <v>197</v>
      </c>
      <c r="C51" s="6" t="s">
        <v>209</v>
      </c>
      <c r="G51" s="14">
        <v>-5098.1639999999998</v>
      </c>
      <c r="M51" s="31">
        <f>+G51/G$30*M$30</f>
        <v>-5836.9994859375001</v>
      </c>
    </row>
    <row r="52" spans="1:16" ht="12.25" customHeight="1">
      <c r="A52" s="15" t="s">
        <v>223</v>
      </c>
      <c r="C52" s="6" t="s">
        <v>222</v>
      </c>
      <c r="G52" s="14">
        <f>1272.662-1579.392</f>
        <v>-306.73</v>
      </c>
      <c r="M52" s="31">
        <f t="shared" ref="M52:M53" si="12">+G52/G$30*M$30</f>
        <v>-351.18188671875004</v>
      </c>
    </row>
    <row r="53" spans="1:16" ht="12.25" customHeight="1">
      <c r="A53" s="15" t="s">
        <v>224</v>
      </c>
      <c r="C53" s="6" t="s">
        <v>222</v>
      </c>
      <c r="G53" s="14">
        <f>-539.047--555.158</f>
        <v>16.11099999999999</v>
      </c>
      <c r="M53" s="31">
        <f t="shared" si="12"/>
        <v>18.44583632812499</v>
      </c>
    </row>
    <row r="54" spans="1:16" ht="12.25" customHeight="1">
      <c r="A54" s="15" t="s">
        <v>285</v>
      </c>
      <c r="C54" s="6" t="s">
        <v>222</v>
      </c>
      <c r="G54" s="14"/>
    </row>
    <row r="55" spans="1:16" ht="12.25" customHeight="1">
      <c r="A55" s="15" t="s">
        <v>0</v>
      </c>
      <c r="C55" s="6"/>
      <c r="G55" s="14"/>
      <c r="M55" s="116">
        <f>SUM(M46:M54)</f>
        <v>30580.63737512441</v>
      </c>
      <c r="O55" s="116">
        <f t="shared" ref="O55:P55" si="13">SUM(O46:O54)</f>
        <v>30580.637375124403</v>
      </c>
      <c r="P55" s="116">
        <f t="shared" si="13"/>
        <v>32234.966445652888</v>
      </c>
    </row>
    <row r="56" spans="1:16" ht="12.25" customHeight="1">
      <c r="A56" s="15"/>
      <c r="C56" s="6"/>
      <c r="G56" s="14"/>
      <c r="M56" s="14"/>
    </row>
    <row r="57" spans="1:16" ht="12.25" customHeight="1">
      <c r="A57" s="33" t="s">
        <v>203</v>
      </c>
    </row>
    <row r="58" spans="1:16" ht="12.25" customHeight="1">
      <c r="A58" s="33" t="s">
        <v>128</v>
      </c>
      <c r="C58" s="29">
        <v>40</v>
      </c>
    </row>
    <row r="59" spans="1:16" ht="12.25" customHeight="1">
      <c r="A59" s="33" t="s">
        <v>129</v>
      </c>
      <c r="C59" s="29">
        <v>15</v>
      </c>
    </row>
    <row r="60" spans="1:16" ht="12.25" customHeight="1">
      <c r="A60" s="33" t="s">
        <v>130</v>
      </c>
      <c r="C60" s="29">
        <v>5</v>
      </c>
    </row>
    <row r="61" spans="1:16" ht="12.25" customHeight="1">
      <c r="A61" s="33" t="s">
        <v>131</v>
      </c>
      <c r="C61" s="29">
        <v>35</v>
      </c>
    </row>
    <row r="62" spans="1:16" ht="12.25" customHeight="1">
      <c r="A62" s="33" t="s">
        <v>132</v>
      </c>
      <c r="C62" s="29">
        <v>40</v>
      </c>
    </row>
    <row r="63" spans="1:16" ht="12.25" customHeight="1">
      <c r="A63" s="33" t="s">
        <v>138</v>
      </c>
      <c r="C63" s="29">
        <v>40</v>
      </c>
    </row>
    <row r="65" spans="1:21" ht="12.25" customHeight="1">
      <c r="A65" s="33" t="s">
        <v>200</v>
      </c>
    </row>
    <row r="66" spans="1:21" ht="12.25" customHeight="1">
      <c r="A66" s="33" t="s">
        <v>123</v>
      </c>
      <c r="C66" s="29" t="s">
        <v>209</v>
      </c>
      <c r="K66" s="31">
        <v>3803.8945917379519</v>
      </c>
      <c r="L66" s="31">
        <v>10243.948833793444</v>
      </c>
      <c r="M66" s="31">
        <v>7855.7108567053547</v>
      </c>
      <c r="N66" s="31">
        <v>6050.112496552324</v>
      </c>
      <c r="O66" s="31">
        <v>6482.5783704244122</v>
      </c>
    </row>
    <row r="67" spans="1:21" ht="12.25" customHeight="1">
      <c r="A67" s="33" t="s">
        <v>124</v>
      </c>
      <c r="C67" s="29" t="s">
        <v>209</v>
      </c>
      <c r="K67" s="31">
        <v>236.90845119204522</v>
      </c>
      <c r="L67" s="31">
        <v>1925.3574716313408</v>
      </c>
      <c r="M67" s="31">
        <v>1317.1059633083512</v>
      </c>
      <c r="N67" s="31">
        <v>992.64129550857319</v>
      </c>
      <c r="O67" s="31">
        <v>1025.6506174122389</v>
      </c>
    </row>
    <row r="68" spans="1:21" ht="12.25" customHeight="1">
      <c r="A68" s="33" t="s">
        <v>125</v>
      </c>
      <c r="C68" s="29" t="s">
        <v>209</v>
      </c>
      <c r="K68" s="31">
        <v>386.86024941198934</v>
      </c>
      <c r="L68" s="31">
        <v>383.61029512250332</v>
      </c>
      <c r="M68" s="31">
        <v>381.10314181971086</v>
      </c>
      <c r="N68" s="31">
        <v>378.61237446318631</v>
      </c>
      <c r="O68" s="31">
        <v>376.13788595966395</v>
      </c>
    </row>
    <row r="69" spans="1:21" ht="12.25" customHeight="1">
      <c r="A69" s="33" t="s">
        <v>126</v>
      </c>
      <c r="C69" s="29" t="s">
        <v>209</v>
      </c>
    </row>
    <row r="70" spans="1:21" ht="12.25" customHeight="1">
      <c r="A70" s="33" t="s">
        <v>127</v>
      </c>
      <c r="C70" s="29" t="s">
        <v>209</v>
      </c>
    </row>
    <row r="71" spans="1:21" ht="12.25" customHeight="1">
      <c r="C71" s="29" t="s">
        <v>209</v>
      </c>
      <c r="K71" s="116">
        <f>SUM(K66:K70)</f>
        <v>4427.6632923419866</v>
      </c>
      <c r="L71" s="116">
        <f t="shared" ref="L71:O71" si="14">SUM(L66:L70)</f>
        <v>12552.916600547289</v>
      </c>
      <c r="M71" s="116">
        <f t="shared" si="14"/>
        <v>9553.9199618334169</v>
      </c>
      <c r="N71" s="116">
        <f t="shared" si="14"/>
        <v>7421.3661665240834</v>
      </c>
      <c r="O71" s="116">
        <f t="shared" si="14"/>
        <v>7884.3668737963153</v>
      </c>
    </row>
    <row r="73" spans="1:21" ht="12.25" customHeight="1">
      <c r="A73" s="33" t="s">
        <v>201</v>
      </c>
    </row>
    <row r="74" spans="1:21" ht="12.25" customHeight="1">
      <c r="A74" s="33" t="s">
        <v>123</v>
      </c>
      <c r="C74" s="29" t="s">
        <v>210</v>
      </c>
      <c r="K74" s="31">
        <v>-2200.5979059109827</v>
      </c>
      <c r="L74" s="31">
        <v>331.55870241491311</v>
      </c>
      <c r="M74" s="31">
        <v>-3119.7720454769974</v>
      </c>
      <c r="N74" s="31">
        <v>1092.6899351018094</v>
      </c>
      <c r="O74" s="31">
        <v>-1383.23987188655</v>
      </c>
    </row>
    <row r="75" spans="1:21" ht="12.25" customHeight="1">
      <c r="A75" s="33" t="s">
        <v>124</v>
      </c>
      <c r="C75" s="29" t="s">
        <v>210</v>
      </c>
      <c r="K75" s="31">
        <v>-73.075494080909934</v>
      </c>
      <c r="L75" s="31">
        <v>-1370.8852623954213</v>
      </c>
      <c r="M75" s="31">
        <v>-877.10574392769126</v>
      </c>
      <c r="N75" s="31">
        <v>-225.49756494093299</v>
      </c>
      <c r="O75" s="31">
        <v>-589.7331580260543</v>
      </c>
    </row>
    <row r="76" spans="1:21" ht="12.25" customHeight="1">
      <c r="A76" s="33" t="s">
        <v>125</v>
      </c>
      <c r="C76" s="29" t="s">
        <v>210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</row>
    <row r="77" spans="1:21" ht="12.25" customHeight="1">
      <c r="A77" s="33" t="s">
        <v>126</v>
      </c>
      <c r="C77" s="29" t="s">
        <v>210</v>
      </c>
    </row>
    <row r="78" spans="1:21" ht="12.25" customHeight="1">
      <c r="A78" s="33" t="s">
        <v>127</v>
      </c>
      <c r="C78" s="29" t="s">
        <v>210</v>
      </c>
    </row>
    <row r="79" spans="1:21" ht="12.25" customHeight="1">
      <c r="K79" s="116">
        <f>SUM(K74:K78)</f>
        <v>-2273.6733999918924</v>
      </c>
      <c r="L79" s="116">
        <f t="shared" ref="L79:O79" si="15">SUM(L74:L78)</f>
        <v>-1039.3265599805081</v>
      </c>
      <c r="M79" s="116">
        <f t="shared" si="15"/>
        <v>-3996.8777894046889</v>
      </c>
      <c r="N79" s="116">
        <f t="shared" si="15"/>
        <v>867.19237016087641</v>
      </c>
      <c r="O79" s="116">
        <f t="shared" si="15"/>
        <v>-1972.9730299126043</v>
      </c>
    </row>
    <row r="80" spans="1:21" ht="12.25" customHeight="1">
      <c r="A80" s="26" t="s">
        <v>103</v>
      </c>
      <c r="B80" s="33"/>
      <c r="N80" s="63"/>
      <c r="O80" s="63"/>
      <c r="P80" s="63"/>
      <c r="Q80" s="63"/>
      <c r="R80" s="63"/>
      <c r="S80" s="63"/>
      <c r="T80" s="63"/>
      <c r="U80" s="63"/>
    </row>
    <row r="81" spans="1:21" ht="12.25" customHeight="1">
      <c r="B81" s="33"/>
      <c r="N81" s="63"/>
      <c r="O81" s="63"/>
      <c r="P81" s="63"/>
      <c r="Q81" s="63"/>
      <c r="R81" s="63"/>
      <c r="S81" s="63"/>
      <c r="T81" s="63"/>
      <c r="U81" s="63"/>
    </row>
    <row r="82" spans="1:21" ht="12.25" customHeight="1">
      <c r="A82" s="33" t="s">
        <v>180</v>
      </c>
      <c r="B82" s="33"/>
      <c r="N82" s="10">
        <f>(27946884.3247873*0.05)/1000</f>
        <v>1397.3442162393651</v>
      </c>
      <c r="O82" s="63"/>
      <c r="P82" s="63"/>
      <c r="Q82" s="63"/>
      <c r="R82" s="63"/>
      <c r="S82" s="63"/>
      <c r="T82" s="63"/>
      <c r="U82" s="63"/>
    </row>
    <row r="83" spans="1:21" ht="12.25" customHeight="1">
      <c r="A83" s="33" t="s">
        <v>168</v>
      </c>
      <c r="B83" s="33"/>
      <c r="N83" s="10">
        <v>0.05</v>
      </c>
      <c r="O83" s="63"/>
      <c r="P83" s="63"/>
      <c r="Q83" s="63"/>
      <c r="R83" s="63"/>
      <c r="S83" s="63"/>
      <c r="T83" s="63"/>
      <c r="U83" s="63"/>
    </row>
    <row r="84" spans="1:21" ht="12.25" customHeight="1">
      <c r="A84" s="33" t="s">
        <v>169</v>
      </c>
      <c r="B84" s="33"/>
      <c r="N84" s="10">
        <v>0.95</v>
      </c>
      <c r="O84" s="63"/>
      <c r="P84" s="63"/>
      <c r="Q84" s="63"/>
      <c r="R84" s="63"/>
      <c r="S84" s="63"/>
      <c r="T84" s="63"/>
      <c r="U84" s="63"/>
    </row>
    <row r="85" spans="1:21" ht="12.25" customHeight="1">
      <c r="A85" s="33" t="s">
        <v>186</v>
      </c>
      <c r="B85" s="33"/>
      <c r="N85" s="10">
        <v>0</v>
      </c>
      <c r="O85" s="63"/>
      <c r="P85" s="63"/>
      <c r="Q85" s="63"/>
      <c r="R85" s="63"/>
      <c r="S85" s="63"/>
      <c r="T85" s="63"/>
      <c r="U85" s="63"/>
    </row>
    <row r="86" spans="1:21" ht="12.25" customHeight="1">
      <c r="A86" s="33" t="s">
        <v>170</v>
      </c>
      <c r="B86" s="33"/>
      <c r="N86" s="10">
        <v>0</v>
      </c>
      <c r="O86" s="63"/>
      <c r="P86" s="63"/>
      <c r="Q86" s="63"/>
      <c r="R86" s="63"/>
      <c r="S86" s="63"/>
      <c r="T86" s="63"/>
      <c r="U86" s="63"/>
    </row>
    <row r="87" spans="1:21" ht="12.25" customHeight="1">
      <c r="A87" s="33" t="s">
        <v>104</v>
      </c>
      <c r="B87" s="33"/>
      <c r="N87" s="81">
        <v>0.18</v>
      </c>
      <c r="P87" s="63"/>
      <c r="Q87" s="63"/>
      <c r="R87" s="63"/>
      <c r="S87" s="63"/>
      <c r="T87" s="63"/>
      <c r="U87" s="63"/>
    </row>
    <row r="88" spans="1:21" ht="12.25" customHeight="1">
      <c r="A88" s="33" t="s">
        <v>105</v>
      </c>
      <c r="B88" s="33"/>
      <c r="N88" s="81">
        <v>1.3</v>
      </c>
      <c r="P88" s="63"/>
      <c r="Q88" s="63"/>
      <c r="R88" s="63"/>
      <c r="S88" s="63"/>
      <c r="T88" s="63"/>
      <c r="U88" s="63"/>
    </row>
    <row r="89" spans="1:21" ht="12.25" customHeight="1">
      <c r="A89" s="33" t="s">
        <v>167</v>
      </c>
      <c r="B89" s="33"/>
      <c r="N89" s="81">
        <v>0</v>
      </c>
      <c r="P89" s="63"/>
      <c r="Q89" s="63"/>
      <c r="R89" s="63"/>
      <c r="S89" s="63"/>
      <c r="T89" s="63"/>
      <c r="U89" s="63"/>
    </row>
    <row r="90" spans="1:21" ht="12.25" customHeight="1">
      <c r="A90" s="33" t="s">
        <v>174</v>
      </c>
      <c r="B90" s="33"/>
      <c r="N90" s="81">
        <v>0</v>
      </c>
      <c r="P90" s="63"/>
      <c r="Q90" s="63"/>
      <c r="R90" s="63"/>
      <c r="S90" s="63"/>
      <c r="T90" s="63"/>
      <c r="U90" s="63"/>
    </row>
    <row r="91" spans="1:21" ht="12.25" customHeight="1">
      <c r="A91" s="33" t="s">
        <v>195</v>
      </c>
      <c r="B91" s="33"/>
      <c r="N91" s="63">
        <f>(27946884.3247873*0.95)/1000</f>
        <v>26549.540108547932</v>
      </c>
      <c r="O91" s="63"/>
      <c r="P91" s="63"/>
      <c r="Q91" s="63"/>
      <c r="R91" s="63"/>
      <c r="S91" s="63"/>
      <c r="T91" s="63"/>
      <c r="U91" s="63"/>
    </row>
    <row r="92" spans="1:21" ht="12.25" customHeight="1">
      <c r="A92" s="33" t="s">
        <v>106</v>
      </c>
      <c r="B92" s="33"/>
      <c r="N92" s="31">
        <v>-1000</v>
      </c>
      <c r="O92" s="31">
        <v>-1000</v>
      </c>
      <c r="P92" s="31">
        <v>-200</v>
      </c>
      <c r="Q92" s="31">
        <v>-200</v>
      </c>
      <c r="R92" s="31">
        <v>-200</v>
      </c>
      <c r="S92" s="31">
        <v>-200</v>
      </c>
      <c r="T92" s="31">
        <v>-200</v>
      </c>
      <c r="U92" s="31">
        <v>-200</v>
      </c>
    </row>
    <row r="93" spans="1:21" ht="12.25" customHeight="1">
      <c r="A93" s="33" t="s">
        <v>107</v>
      </c>
      <c r="B93" s="33"/>
      <c r="N93" s="81">
        <v>0.06</v>
      </c>
      <c r="O93" s="10"/>
      <c r="P93" s="81"/>
      <c r="Q93" s="81"/>
      <c r="R93" s="81"/>
      <c r="S93" s="81"/>
      <c r="T93" s="81"/>
      <c r="U93" s="81"/>
    </row>
    <row r="94" spans="1:21" ht="12.25" customHeight="1">
      <c r="A94" s="33" t="s">
        <v>108</v>
      </c>
      <c r="B94" s="33"/>
      <c r="N94" s="81">
        <v>0.5</v>
      </c>
      <c r="O94" s="10"/>
      <c r="P94" s="81"/>
      <c r="Q94" s="81"/>
      <c r="R94" s="81"/>
      <c r="S94" s="81"/>
      <c r="T94" s="81"/>
      <c r="U94" s="81"/>
    </row>
    <row r="95" spans="1:21" ht="12.25" customHeight="1">
      <c r="A95" s="33" t="s">
        <v>109</v>
      </c>
      <c r="B95" s="33"/>
      <c r="N95" s="81">
        <v>0</v>
      </c>
      <c r="O95" s="10"/>
      <c r="P95" s="81"/>
      <c r="Q95" s="81"/>
      <c r="R95" s="81"/>
      <c r="S95" s="81"/>
      <c r="T95" s="81"/>
      <c r="U95" s="81"/>
    </row>
    <row r="96" spans="1:21" ht="12.25" customHeight="1">
      <c r="A96" s="33" t="s">
        <v>110</v>
      </c>
      <c r="B96" s="33"/>
      <c r="N96" s="81">
        <v>0.02</v>
      </c>
      <c r="O96" s="10"/>
      <c r="P96" s="81"/>
      <c r="Q96" s="81"/>
      <c r="R96" s="81"/>
      <c r="S96" s="81"/>
      <c r="T96" s="81"/>
      <c r="U96" s="81"/>
    </row>
    <row r="97" spans="1:50" ht="12.25" customHeight="1">
      <c r="A97" s="33" t="s">
        <v>189</v>
      </c>
      <c r="N97" s="31">
        <v>-1388</v>
      </c>
      <c r="O97" s="10"/>
      <c r="P97" s="10"/>
      <c r="Q97" s="10"/>
      <c r="R97" s="10"/>
      <c r="S97" s="10"/>
      <c r="T97" s="10"/>
      <c r="U97" s="10"/>
    </row>
    <row r="98" spans="1:50" ht="12.25" customHeight="1">
      <c r="A98" s="33" t="s">
        <v>59</v>
      </c>
      <c r="F98" s="65"/>
      <c r="G98" s="66"/>
      <c r="H98" s="66"/>
      <c r="I98" s="66"/>
      <c r="J98" s="66"/>
      <c r="K98" s="66"/>
      <c r="L98" s="66"/>
      <c r="M98" s="66"/>
      <c r="N98" s="78"/>
      <c r="O98" s="78">
        <v>0.19</v>
      </c>
      <c r="P98" s="78">
        <f>+O98</f>
        <v>0.19</v>
      </c>
      <c r="Q98" s="78">
        <f t="shared" ref="Q98:AX98" si="16">+P98</f>
        <v>0.19</v>
      </c>
      <c r="R98" s="78">
        <f t="shared" si="16"/>
        <v>0.19</v>
      </c>
      <c r="S98" s="78">
        <f t="shared" si="16"/>
        <v>0.19</v>
      </c>
      <c r="T98" s="78">
        <f t="shared" si="16"/>
        <v>0.19</v>
      </c>
      <c r="U98" s="78">
        <f t="shared" si="16"/>
        <v>0.19</v>
      </c>
      <c r="V98" s="78">
        <f t="shared" si="16"/>
        <v>0.19</v>
      </c>
      <c r="W98" s="78">
        <f t="shared" si="16"/>
        <v>0.19</v>
      </c>
      <c r="X98" s="78">
        <f t="shared" si="16"/>
        <v>0.19</v>
      </c>
      <c r="Y98" s="78">
        <f t="shared" si="16"/>
        <v>0.19</v>
      </c>
      <c r="Z98" s="78">
        <f t="shared" si="16"/>
        <v>0.19</v>
      </c>
      <c r="AA98" s="78">
        <f t="shared" si="16"/>
        <v>0.19</v>
      </c>
      <c r="AB98" s="78">
        <f t="shared" si="16"/>
        <v>0.19</v>
      </c>
      <c r="AC98" s="78">
        <f t="shared" si="16"/>
        <v>0.19</v>
      </c>
      <c r="AD98" s="78">
        <f t="shared" si="16"/>
        <v>0.19</v>
      </c>
      <c r="AE98" s="78">
        <f t="shared" si="16"/>
        <v>0.19</v>
      </c>
      <c r="AF98" s="78">
        <f t="shared" si="16"/>
        <v>0.19</v>
      </c>
      <c r="AG98" s="78">
        <f t="shared" si="16"/>
        <v>0.19</v>
      </c>
      <c r="AH98" s="78">
        <f t="shared" si="16"/>
        <v>0.19</v>
      </c>
      <c r="AI98" s="78">
        <f t="shared" si="16"/>
        <v>0.19</v>
      </c>
      <c r="AJ98" s="78">
        <f t="shared" si="16"/>
        <v>0.19</v>
      </c>
      <c r="AK98" s="78">
        <f t="shared" si="16"/>
        <v>0.19</v>
      </c>
      <c r="AL98" s="78">
        <f t="shared" si="16"/>
        <v>0.19</v>
      </c>
      <c r="AM98" s="78">
        <f t="shared" si="16"/>
        <v>0.19</v>
      </c>
      <c r="AN98" s="78">
        <f t="shared" si="16"/>
        <v>0.19</v>
      </c>
      <c r="AO98" s="78">
        <f t="shared" si="16"/>
        <v>0.19</v>
      </c>
      <c r="AP98" s="78">
        <f t="shared" si="16"/>
        <v>0.19</v>
      </c>
      <c r="AQ98" s="78">
        <f t="shared" si="16"/>
        <v>0.19</v>
      </c>
      <c r="AR98" s="78">
        <f t="shared" si="16"/>
        <v>0.19</v>
      </c>
      <c r="AS98" s="78">
        <f t="shared" si="16"/>
        <v>0.19</v>
      </c>
      <c r="AT98" s="78">
        <f t="shared" si="16"/>
        <v>0.19</v>
      </c>
      <c r="AU98" s="78">
        <f t="shared" si="16"/>
        <v>0.19</v>
      </c>
      <c r="AV98" s="78">
        <f t="shared" si="16"/>
        <v>0.19</v>
      </c>
      <c r="AW98" s="78">
        <f t="shared" si="16"/>
        <v>0.19</v>
      </c>
      <c r="AX98" s="78">
        <f t="shared" si="16"/>
        <v>0.19</v>
      </c>
    </row>
    <row r="99" spans="1:50" ht="12.25" customHeight="1">
      <c r="A99" s="33" t="s">
        <v>60</v>
      </c>
      <c r="F99" s="65"/>
      <c r="G99" s="66"/>
      <c r="H99" s="66"/>
      <c r="I99" s="66"/>
      <c r="J99" s="66"/>
      <c r="K99" s="66"/>
      <c r="L99" s="66"/>
      <c r="M99" s="66"/>
      <c r="N99" s="78"/>
      <c r="O99" s="78"/>
      <c r="P99" s="78">
        <f t="shared" ref="P99:U99" si="17">+O98*0.25+P98*0.75</f>
        <v>0.19</v>
      </c>
      <c r="Q99" s="78">
        <f t="shared" si="17"/>
        <v>0.19</v>
      </c>
      <c r="R99" s="78">
        <f t="shared" si="17"/>
        <v>0.19</v>
      </c>
      <c r="S99" s="78">
        <f t="shared" si="17"/>
        <v>0.19</v>
      </c>
      <c r="T99" s="78">
        <f t="shared" si="17"/>
        <v>0.19</v>
      </c>
      <c r="U99" s="78">
        <f t="shared" si="17"/>
        <v>0.19</v>
      </c>
      <c r="V99" s="78">
        <f t="shared" ref="V99:AX99" si="18">+U98*0.25+V98*0.75</f>
        <v>0.19</v>
      </c>
      <c r="W99" s="78">
        <f t="shared" si="18"/>
        <v>0.19</v>
      </c>
      <c r="X99" s="78">
        <f t="shared" si="18"/>
        <v>0.19</v>
      </c>
      <c r="Y99" s="78">
        <f t="shared" si="18"/>
        <v>0.19</v>
      </c>
      <c r="Z99" s="78">
        <f t="shared" si="18"/>
        <v>0.19</v>
      </c>
      <c r="AA99" s="78">
        <f t="shared" si="18"/>
        <v>0.19</v>
      </c>
      <c r="AB99" s="78">
        <f t="shared" si="18"/>
        <v>0.19</v>
      </c>
      <c r="AC99" s="78">
        <f t="shared" si="18"/>
        <v>0.19</v>
      </c>
      <c r="AD99" s="78">
        <f t="shared" si="18"/>
        <v>0.19</v>
      </c>
      <c r="AE99" s="78">
        <f t="shared" si="18"/>
        <v>0.19</v>
      </c>
      <c r="AF99" s="78">
        <f t="shared" si="18"/>
        <v>0.19</v>
      </c>
      <c r="AG99" s="78">
        <f t="shared" si="18"/>
        <v>0.19</v>
      </c>
      <c r="AH99" s="78">
        <f t="shared" si="18"/>
        <v>0.19</v>
      </c>
      <c r="AI99" s="78">
        <f t="shared" si="18"/>
        <v>0.19</v>
      </c>
      <c r="AJ99" s="78">
        <f t="shared" si="18"/>
        <v>0.19</v>
      </c>
      <c r="AK99" s="78">
        <f t="shared" si="18"/>
        <v>0.19</v>
      </c>
      <c r="AL99" s="78">
        <f t="shared" si="18"/>
        <v>0.19</v>
      </c>
      <c r="AM99" s="78">
        <f t="shared" si="18"/>
        <v>0.19</v>
      </c>
      <c r="AN99" s="78">
        <f t="shared" si="18"/>
        <v>0.19</v>
      </c>
      <c r="AO99" s="78">
        <f t="shared" si="18"/>
        <v>0.19</v>
      </c>
      <c r="AP99" s="78">
        <f t="shared" si="18"/>
        <v>0.19</v>
      </c>
      <c r="AQ99" s="78">
        <f t="shared" si="18"/>
        <v>0.19</v>
      </c>
      <c r="AR99" s="78">
        <f t="shared" si="18"/>
        <v>0.19</v>
      </c>
      <c r="AS99" s="78">
        <f t="shared" si="18"/>
        <v>0.19</v>
      </c>
      <c r="AT99" s="78">
        <f t="shared" si="18"/>
        <v>0.19</v>
      </c>
      <c r="AU99" s="78">
        <f t="shared" si="18"/>
        <v>0.19</v>
      </c>
      <c r="AV99" s="78">
        <f t="shared" si="18"/>
        <v>0.19</v>
      </c>
      <c r="AW99" s="78">
        <f t="shared" si="18"/>
        <v>0.19</v>
      </c>
      <c r="AX99" s="78">
        <f t="shared" si="18"/>
        <v>0.19</v>
      </c>
    </row>
    <row r="100" spans="1:50" ht="12.25" customHeight="1">
      <c r="A100" s="33" t="s">
        <v>190</v>
      </c>
      <c r="P100" s="31">
        <v>5000</v>
      </c>
    </row>
    <row r="102" spans="1:50" ht="12.25" customHeight="1">
      <c r="A102" s="12" t="s">
        <v>184</v>
      </c>
      <c r="B102" s="13"/>
      <c r="C102" s="13"/>
      <c r="D102" s="79"/>
      <c r="E102" s="79"/>
      <c r="F102" s="79"/>
      <c r="G102" s="79"/>
      <c r="H102" s="79"/>
      <c r="I102" s="79"/>
      <c r="J102" s="79"/>
      <c r="K102" s="79"/>
      <c r="M102" s="79"/>
      <c r="N102" s="66"/>
      <c r="O102" s="87">
        <v>0.5</v>
      </c>
    </row>
    <row r="103" spans="1:50" ht="12.25" customHeight="1">
      <c r="A103" s="12" t="s">
        <v>7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80">
        <v>1</v>
      </c>
    </row>
    <row r="105" spans="1:50" ht="12.25" customHeight="1">
      <c r="A105" s="26" t="s">
        <v>205</v>
      </c>
    </row>
    <row r="106" spans="1:50" ht="12.25" customHeight="1">
      <c r="A106" s="33" t="s">
        <v>45</v>
      </c>
      <c r="O106" s="10" t="s">
        <v>204</v>
      </c>
    </row>
    <row r="107" spans="1:50" ht="12.25" customHeight="1">
      <c r="A107" s="33" t="s">
        <v>46</v>
      </c>
      <c r="O107" s="105">
        <v>1</v>
      </c>
      <c r="P107" s="105"/>
      <c r="Q107" s="105"/>
    </row>
    <row r="108" spans="1:50" ht="12.25" customHeight="1">
      <c r="A108" s="33" t="s">
        <v>47</v>
      </c>
      <c r="O108" s="105">
        <v>0.96599999999999997</v>
      </c>
      <c r="P108" s="105"/>
      <c r="Q108" s="105"/>
    </row>
    <row r="109" spans="1:50" ht="12.25" customHeight="1">
      <c r="A109" s="33" t="s">
        <v>48</v>
      </c>
      <c r="O109" s="105">
        <v>0.55000000000000004</v>
      </c>
      <c r="P109" s="105"/>
      <c r="Q109" s="105"/>
    </row>
    <row r="110" spans="1:50" ht="12.25" customHeight="1">
      <c r="A110" s="33" t="s">
        <v>181</v>
      </c>
      <c r="O110" s="105">
        <v>0.55000000000000004</v>
      </c>
      <c r="P110" s="105"/>
      <c r="Q110" s="105"/>
    </row>
    <row r="111" spans="1:50" ht="12.25" customHeight="1">
      <c r="A111" s="33" t="s">
        <v>182</v>
      </c>
      <c r="O111" s="105">
        <v>0.55000000000000004</v>
      </c>
      <c r="P111" s="105"/>
      <c r="Q111" s="105"/>
    </row>
    <row r="112" spans="1:50" ht="12.25" customHeight="1">
      <c r="A112" s="33" t="s">
        <v>183</v>
      </c>
      <c r="O112" s="105">
        <v>0.41628345801745509</v>
      </c>
      <c r="P112" s="105"/>
      <c r="Q112" s="105"/>
    </row>
    <row r="114" spans="1:15" ht="12.25" customHeight="1">
      <c r="A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</row>
    <row r="115" spans="1:15" ht="12.25" customHeight="1">
      <c r="A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</row>
    <row r="116" spans="1:15" ht="12.25" customHeight="1">
      <c r="A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</row>
    <row r="117" spans="1:15" ht="12.25" customHeight="1">
      <c r="A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</row>
    <row r="118" spans="1:15" ht="12.25" customHeight="1">
      <c r="A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</row>
    <row r="119" spans="1:15" ht="12.25" customHeight="1">
      <c r="A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</row>
    <row r="120" spans="1:15" ht="12.25" customHeight="1">
      <c r="A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</row>
    <row r="122" spans="1:15" ht="12.25" customHeight="1">
      <c r="A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</row>
    <row r="123" spans="1:15" ht="12.25" customHeight="1">
      <c r="A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</row>
    <row r="124" spans="1:15" ht="12.25" customHeight="1">
      <c r="A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</row>
    <row r="125" spans="1:15" ht="12.25" customHeight="1">
      <c r="A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</row>
    <row r="126" spans="1:15" ht="12.25" customHeight="1">
      <c r="A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</row>
    <row r="127" spans="1:15" ht="12.25" customHeight="1">
      <c r="A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</row>
    <row r="128" spans="1:15" ht="12.25" customHeight="1">
      <c r="A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</row>
    <row r="130" spans="1:15" ht="12.25" customHeight="1">
      <c r="A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</row>
    <row r="131" spans="1:15" ht="12.25" customHeight="1">
      <c r="A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</row>
    <row r="132" spans="1:15" ht="12.25" customHeight="1">
      <c r="A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</row>
    <row r="133" spans="1:15" ht="12.25" customHeight="1">
      <c r="A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</row>
    <row r="134" spans="1:15" ht="12.25" customHeight="1">
      <c r="A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</row>
    <row r="135" spans="1:15" ht="12.25" customHeight="1">
      <c r="A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</row>
    <row r="136" spans="1:15" ht="12.25" customHeight="1">
      <c r="A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</sheetData>
  <dataConsolidate link="1"/>
  <mergeCells count="1">
    <mergeCell ref="O36:U36"/>
  </mergeCells>
  <pageMargins left="0.70866141732283472" right="0.70866141732283472" top="0.74803149606299213" bottom="0.74803149606299213" header="0.31496062992125984" footer="0.31496062992125984"/>
  <pageSetup paperSize="8" scale="4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/>
    <pageSetUpPr fitToPage="1"/>
  </sheetPr>
  <dimension ref="A1:BY33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32" sqref="B32"/>
    </sheetView>
  </sheetViews>
  <sheetFormatPr defaultColWidth="4" defaultRowHeight="12.25" customHeight="1"/>
  <cols>
    <col min="1" max="1" width="28.6328125" style="28" bestFit="1" customWidth="1"/>
    <col min="2" max="2" width="4.6328125" style="31" bestFit="1" customWidth="1"/>
    <col min="3" max="3" width="8.36328125" style="31" customWidth="1"/>
    <col min="4" max="10" width="4.36328125" style="31" bestFit="1" customWidth="1"/>
    <col min="11" max="11" width="4.81640625" style="31" bestFit="1" customWidth="1"/>
    <col min="12" max="12" width="5.36328125" style="31" bestFit="1" customWidth="1"/>
    <col min="13" max="13" width="4.81640625" style="31" bestFit="1" customWidth="1"/>
    <col min="14" max="14" width="4.36328125" style="31" bestFit="1" customWidth="1"/>
    <col min="15" max="15" width="4.81640625" style="31" bestFit="1" customWidth="1"/>
    <col min="16" max="58" width="4.36328125" style="31" bestFit="1" customWidth="1"/>
    <col min="59" max="59" width="3" style="31" bestFit="1" customWidth="1"/>
    <col min="60" max="77" width="4" style="31"/>
    <col min="78" max="16384" width="4" style="29"/>
  </cols>
  <sheetData>
    <row r="1" spans="1:77" s="30" customFormat="1" ht="12.25" customHeight="1">
      <c r="A1" s="32" t="s">
        <v>53</v>
      </c>
      <c r="B1" s="36"/>
      <c r="C1" s="36"/>
      <c r="D1" s="36">
        <f>+Inputs!D1</f>
        <v>2011</v>
      </c>
      <c r="E1" s="36">
        <f>+Inputs!E1</f>
        <v>2012</v>
      </c>
      <c r="F1" s="36">
        <f>+Inputs!F1</f>
        <v>2013</v>
      </c>
      <c r="G1" s="36">
        <f>+Inputs!G1</f>
        <v>2014</v>
      </c>
      <c r="H1" s="36">
        <f>+Inputs!H1</f>
        <v>2015</v>
      </c>
      <c r="I1" s="36">
        <f>+Inputs!I1</f>
        <v>2016</v>
      </c>
      <c r="J1" s="36">
        <f>+Inputs!J1</f>
        <v>2017</v>
      </c>
      <c r="K1" s="36">
        <f>+Inputs!K1</f>
        <v>2018</v>
      </c>
      <c r="L1" s="36">
        <f>+Inputs!L1</f>
        <v>2019</v>
      </c>
      <c r="M1" s="36">
        <f>+Inputs!M1</f>
        <v>2020</v>
      </c>
      <c r="N1" s="36">
        <f>+Inputs!N1</f>
        <v>2021</v>
      </c>
      <c r="O1" s="36">
        <f>+Inputs!O1</f>
        <v>2022</v>
      </c>
      <c r="P1" s="36">
        <f>+Inputs!P1</f>
        <v>2023</v>
      </c>
      <c r="Q1" s="36">
        <f>+Inputs!Q1</f>
        <v>2024</v>
      </c>
      <c r="R1" s="36">
        <f>+Inputs!R1</f>
        <v>2025</v>
      </c>
      <c r="S1" s="36">
        <f>+Inputs!S1</f>
        <v>2026</v>
      </c>
      <c r="T1" s="36">
        <f>+Inputs!T1</f>
        <v>2027</v>
      </c>
      <c r="U1" s="36">
        <f>+Inputs!U1</f>
        <v>2028</v>
      </c>
      <c r="V1" s="36">
        <f>+Inputs!V1</f>
        <v>2029</v>
      </c>
      <c r="W1" s="36">
        <f>+Inputs!W1</f>
        <v>2030</v>
      </c>
      <c r="X1" s="36">
        <f>+Inputs!X1</f>
        <v>2031</v>
      </c>
      <c r="Y1" s="36">
        <f>+Inputs!Y1</f>
        <v>2032</v>
      </c>
      <c r="Z1" s="36">
        <f>+Inputs!Z1</f>
        <v>2033</v>
      </c>
      <c r="AA1" s="36">
        <f>+Inputs!AA1</f>
        <v>2034</v>
      </c>
      <c r="AB1" s="36">
        <f>+Inputs!AB1</f>
        <v>2035</v>
      </c>
      <c r="AC1" s="36">
        <f>+Inputs!AC1</f>
        <v>2036</v>
      </c>
      <c r="AD1" s="36">
        <f>+Inputs!AD1</f>
        <v>2037</v>
      </c>
      <c r="AE1" s="36">
        <f>+Inputs!AE1</f>
        <v>2038</v>
      </c>
      <c r="AF1" s="36">
        <f>+Inputs!AF1</f>
        <v>2039</v>
      </c>
      <c r="AG1" s="36">
        <f>+Inputs!AG1</f>
        <v>2040</v>
      </c>
      <c r="AH1" s="36">
        <f>+Inputs!AH1</f>
        <v>2041</v>
      </c>
      <c r="AI1" s="36">
        <f>+Inputs!AI1</f>
        <v>2042</v>
      </c>
      <c r="AJ1" s="36">
        <f>+Inputs!AJ1</f>
        <v>2043</v>
      </c>
      <c r="AK1" s="36">
        <f>+Inputs!AK1</f>
        <v>2044</v>
      </c>
      <c r="AL1" s="36">
        <f>+Inputs!AL1</f>
        <v>2045</v>
      </c>
      <c r="AM1" s="36">
        <f>+Inputs!AM1</f>
        <v>2046</v>
      </c>
      <c r="AN1" s="36">
        <f>+Inputs!AN1</f>
        <v>2047</v>
      </c>
      <c r="AO1" s="36">
        <f>+Inputs!AO1</f>
        <v>2048</v>
      </c>
      <c r="AP1" s="36">
        <f>+Inputs!AP1</f>
        <v>2049</v>
      </c>
      <c r="AQ1" s="36">
        <f>+Inputs!AQ1</f>
        <v>2050</v>
      </c>
      <c r="AR1" s="36">
        <f>+Inputs!AR1</f>
        <v>2051</v>
      </c>
      <c r="AS1" s="36">
        <f>+Inputs!AS1</f>
        <v>2052</v>
      </c>
      <c r="AT1" s="36">
        <f>+Inputs!AT1</f>
        <v>2053</v>
      </c>
      <c r="AU1" s="36">
        <f>+Inputs!AU1</f>
        <v>2054</v>
      </c>
      <c r="AV1" s="36">
        <f>+Inputs!AV1</f>
        <v>2055</v>
      </c>
      <c r="AW1" s="36">
        <f>+Inputs!AW1</f>
        <v>2056</v>
      </c>
      <c r="AX1" s="36">
        <f>+Inputs!AX1</f>
        <v>2057</v>
      </c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</row>
    <row r="3" spans="1:77" ht="12.25" customHeight="1">
      <c r="A3" s="32" t="s">
        <v>200</v>
      </c>
      <c r="B3" s="88"/>
    </row>
    <row r="4" spans="1:77" ht="12.25" customHeight="1">
      <c r="A4" s="27" t="s">
        <v>123</v>
      </c>
      <c r="B4" s="34"/>
      <c r="C4" s="38"/>
      <c r="D4" s="38"/>
      <c r="E4" s="38"/>
      <c r="F4" s="38"/>
      <c r="G4" s="38"/>
      <c r="H4" s="38"/>
      <c r="I4" s="38"/>
      <c r="J4" s="38"/>
      <c r="K4" s="38">
        <f>+Inputs!K66</f>
        <v>3803.8945917379519</v>
      </c>
      <c r="L4" s="38">
        <f>+Inputs!L66</f>
        <v>10243.948833793444</v>
      </c>
      <c r="M4" s="38">
        <f>+Inputs!M66</f>
        <v>7855.7108567053547</v>
      </c>
      <c r="N4" s="38">
        <f>+Inputs!N66</f>
        <v>6050.112496552324</v>
      </c>
      <c r="O4" s="38">
        <f>+Inputs!O66</f>
        <v>6482.5783704244122</v>
      </c>
      <c r="P4" s="38"/>
      <c r="Q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</row>
    <row r="5" spans="1:77" ht="12.25" customHeight="1">
      <c r="A5" s="27" t="s">
        <v>124</v>
      </c>
      <c r="B5" s="34"/>
      <c r="C5" s="38"/>
      <c r="D5" s="38"/>
      <c r="E5" s="38"/>
      <c r="F5" s="38"/>
      <c r="G5" s="38"/>
      <c r="H5" s="38"/>
      <c r="I5" s="38"/>
      <c r="J5" s="38"/>
      <c r="K5" s="38">
        <f>+Inputs!K67</f>
        <v>236.90845119204522</v>
      </c>
      <c r="L5" s="38">
        <f>+Inputs!L67</f>
        <v>1925.3574716313408</v>
      </c>
      <c r="M5" s="38">
        <f>+Inputs!M67</f>
        <v>1317.1059633083512</v>
      </c>
      <c r="N5" s="38">
        <f>+Inputs!N67</f>
        <v>992.64129550857319</v>
      </c>
      <c r="O5" s="38">
        <f>+Inputs!O67</f>
        <v>1025.6506174122389</v>
      </c>
      <c r="P5" s="38"/>
      <c r="Q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</row>
    <row r="6" spans="1:77" ht="12.25" customHeight="1">
      <c r="A6" s="27" t="s">
        <v>125</v>
      </c>
      <c r="B6" s="34"/>
      <c r="C6" s="38"/>
      <c r="D6" s="38"/>
      <c r="E6" s="38"/>
      <c r="F6" s="38"/>
      <c r="G6" s="38"/>
      <c r="H6" s="38"/>
      <c r="I6" s="38"/>
      <c r="J6" s="38"/>
      <c r="K6" s="38">
        <f>+Inputs!K68</f>
        <v>386.86024941198934</v>
      </c>
      <c r="L6" s="38">
        <f>+Inputs!L68</f>
        <v>383.61029512250332</v>
      </c>
      <c r="M6" s="38">
        <f>+Inputs!M68</f>
        <v>381.10314181971086</v>
      </c>
      <c r="N6" s="38">
        <f>+Inputs!N68</f>
        <v>378.61237446318631</v>
      </c>
      <c r="O6" s="38">
        <f>+Inputs!O68</f>
        <v>376.13788595966395</v>
      </c>
      <c r="P6" s="38"/>
      <c r="Q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</row>
    <row r="7" spans="1:77" ht="12.25" customHeight="1">
      <c r="A7" s="27" t="s">
        <v>126</v>
      </c>
      <c r="B7" s="34"/>
      <c r="C7" s="38"/>
      <c r="D7" s="38"/>
      <c r="E7" s="38"/>
      <c r="F7" s="38"/>
      <c r="G7" s="38"/>
      <c r="H7" s="38"/>
      <c r="I7" s="38"/>
      <c r="J7" s="38"/>
      <c r="K7" s="38">
        <f>+Inputs!K69</f>
        <v>0</v>
      </c>
      <c r="L7" s="38">
        <f>+Inputs!L69</f>
        <v>0</v>
      </c>
      <c r="M7" s="38">
        <f>+Inputs!M69</f>
        <v>0</v>
      </c>
      <c r="N7" s="38">
        <f>+Inputs!N69</f>
        <v>0</v>
      </c>
      <c r="O7" s="38">
        <f>+Inputs!O69</f>
        <v>0</v>
      </c>
      <c r="P7" s="38"/>
      <c r="Q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</row>
    <row r="8" spans="1:77" ht="12.25" customHeight="1">
      <c r="A8" s="27" t="s">
        <v>127</v>
      </c>
      <c r="B8" s="34"/>
      <c r="C8" s="38"/>
      <c r="D8" s="38"/>
      <c r="E8" s="38"/>
      <c r="F8" s="38"/>
      <c r="G8" s="38"/>
      <c r="H8" s="38"/>
      <c r="I8" s="38"/>
      <c r="J8" s="38"/>
      <c r="K8" s="38">
        <f>+Inputs!K70</f>
        <v>0</v>
      </c>
      <c r="L8" s="38">
        <f>+Inputs!L70</f>
        <v>0</v>
      </c>
      <c r="M8" s="38">
        <f>+Inputs!M70</f>
        <v>0</v>
      </c>
      <c r="N8" s="38">
        <f>+Inputs!N70</f>
        <v>0</v>
      </c>
      <c r="O8" s="38">
        <f>+Inputs!O70</f>
        <v>0</v>
      </c>
      <c r="P8" s="38"/>
      <c r="Q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</row>
    <row r="9" spans="1:77" ht="12.25" customHeight="1">
      <c r="A9" s="25" t="s">
        <v>122</v>
      </c>
      <c r="C9" s="41"/>
      <c r="D9" s="45"/>
      <c r="E9" s="45"/>
      <c r="F9" s="45"/>
      <c r="G9" s="45"/>
      <c r="H9" s="45"/>
      <c r="I9" s="45"/>
      <c r="J9" s="45"/>
      <c r="K9" s="45">
        <f t="shared" ref="K9:O9" si="0">SUM(K4:K8)</f>
        <v>4427.6632923419866</v>
      </c>
      <c r="L9" s="45">
        <f t="shared" si="0"/>
        <v>12552.916600547289</v>
      </c>
      <c r="M9" s="45">
        <f t="shared" si="0"/>
        <v>9553.9199618334169</v>
      </c>
      <c r="N9" s="45">
        <f t="shared" si="0"/>
        <v>7421.3661665240834</v>
      </c>
      <c r="O9" s="45">
        <f t="shared" si="0"/>
        <v>7884.3668737963153</v>
      </c>
      <c r="P9" s="41"/>
      <c r="Q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</row>
    <row r="10" spans="1:77" ht="15.65" customHeight="1"/>
    <row r="11" spans="1:77" ht="12.25" customHeight="1">
      <c r="A11" s="32" t="s">
        <v>201</v>
      </c>
      <c r="B11" s="88"/>
    </row>
    <row r="12" spans="1:77" ht="12.25" customHeight="1">
      <c r="A12" s="27" t="s">
        <v>123</v>
      </c>
      <c r="B12" s="34"/>
      <c r="C12" s="38"/>
      <c r="D12" s="38"/>
      <c r="E12" s="38"/>
      <c r="F12" s="38"/>
      <c r="G12" s="38"/>
      <c r="H12" s="38"/>
      <c r="I12" s="38"/>
      <c r="J12" s="38"/>
      <c r="K12" s="38">
        <f>+Inputs!K74</f>
        <v>-2200.5979059109827</v>
      </c>
      <c r="L12" s="38">
        <f>+Inputs!L74</f>
        <v>331.55870241491311</v>
      </c>
      <c r="M12" s="38">
        <f>+Inputs!M74</f>
        <v>-3119.7720454769974</v>
      </c>
      <c r="N12" s="38">
        <f>+Inputs!N74</f>
        <v>1092.6899351018094</v>
      </c>
      <c r="O12" s="38">
        <f>+Inputs!O74</f>
        <v>-1383.23987188655</v>
      </c>
      <c r="P12" s="38"/>
      <c r="Q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</row>
    <row r="13" spans="1:77" ht="12.25" customHeight="1">
      <c r="A13" s="27" t="s">
        <v>124</v>
      </c>
      <c r="B13" s="34"/>
      <c r="C13" s="38"/>
      <c r="D13" s="38"/>
      <c r="E13" s="38"/>
      <c r="F13" s="38"/>
      <c r="G13" s="38"/>
      <c r="H13" s="38"/>
      <c r="I13" s="38"/>
      <c r="J13" s="38"/>
      <c r="K13" s="38">
        <f>+Inputs!K75</f>
        <v>-73.075494080909934</v>
      </c>
      <c r="L13" s="38">
        <f>+Inputs!L75</f>
        <v>-1370.8852623954213</v>
      </c>
      <c r="M13" s="38">
        <f>+Inputs!M75</f>
        <v>-877.10574392769126</v>
      </c>
      <c r="N13" s="38">
        <f>+Inputs!N75</f>
        <v>-225.49756494093299</v>
      </c>
      <c r="O13" s="38">
        <f>+Inputs!O75</f>
        <v>-589.7331580260543</v>
      </c>
      <c r="P13" s="38"/>
      <c r="Q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</row>
    <row r="14" spans="1:77" ht="12.25" customHeight="1">
      <c r="A14" s="27" t="s">
        <v>125</v>
      </c>
      <c r="B14" s="34"/>
      <c r="C14" s="38"/>
      <c r="D14" s="38"/>
      <c r="E14" s="38"/>
      <c r="F14" s="38"/>
      <c r="G14" s="38"/>
      <c r="H14" s="38"/>
      <c r="I14" s="38"/>
      <c r="J14" s="38"/>
      <c r="K14" s="38">
        <f>+Inputs!K76</f>
        <v>0</v>
      </c>
      <c r="L14" s="38">
        <f>+Inputs!L76</f>
        <v>0</v>
      </c>
      <c r="M14" s="38">
        <f>+Inputs!M76</f>
        <v>0</v>
      </c>
      <c r="N14" s="38">
        <f>+Inputs!N76</f>
        <v>0</v>
      </c>
      <c r="O14" s="38">
        <f>+Inputs!O76</f>
        <v>0</v>
      </c>
      <c r="P14" s="38"/>
      <c r="Q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</row>
    <row r="15" spans="1:77" ht="12.25" customHeight="1">
      <c r="A15" s="27" t="s">
        <v>126</v>
      </c>
      <c r="B15" s="34"/>
      <c r="C15" s="38"/>
      <c r="D15" s="38"/>
      <c r="E15" s="38"/>
      <c r="F15" s="38"/>
      <c r="G15" s="38"/>
      <c r="H15" s="38"/>
      <c r="I15" s="38"/>
      <c r="J15" s="38"/>
      <c r="K15" s="38">
        <f>+Inputs!K77</f>
        <v>0</v>
      </c>
      <c r="L15" s="38">
        <f>+Inputs!L77</f>
        <v>0</v>
      </c>
      <c r="M15" s="38">
        <f>+Inputs!M77</f>
        <v>0</v>
      </c>
      <c r="N15" s="38">
        <f>+Inputs!N77</f>
        <v>0</v>
      </c>
      <c r="O15" s="38">
        <f>+Inputs!O77</f>
        <v>0</v>
      </c>
      <c r="P15" s="38"/>
      <c r="Q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</row>
    <row r="16" spans="1:77" ht="12.25" customHeight="1">
      <c r="A16" s="27" t="s">
        <v>127</v>
      </c>
      <c r="B16" s="34"/>
      <c r="C16" s="38"/>
      <c r="D16" s="38"/>
      <c r="E16" s="38"/>
      <c r="F16" s="38"/>
      <c r="G16" s="38"/>
      <c r="H16" s="38"/>
      <c r="I16" s="38"/>
      <c r="J16" s="38"/>
      <c r="K16" s="38">
        <f>+Inputs!K78</f>
        <v>0</v>
      </c>
      <c r="L16" s="38">
        <f>+Inputs!L78</f>
        <v>0</v>
      </c>
      <c r="M16" s="38">
        <f>+Inputs!M78</f>
        <v>0</v>
      </c>
      <c r="N16" s="38">
        <f>+Inputs!N78</f>
        <v>0</v>
      </c>
      <c r="O16" s="38">
        <f>+Inputs!O78</f>
        <v>0</v>
      </c>
      <c r="P16" s="38"/>
      <c r="Q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</row>
    <row r="17" spans="1:77" ht="12.25" customHeight="1">
      <c r="A17" s="25" t="s">
        <v>122</v>
      </c>
      <c r="C17" s="41"/>
      <c r="D17" s="45"/>
      <c r="E17" s="45"/>
      <c r="F17" s="45"/>
      <c r="G17" s="45"/>
      <c r="H17" s="45"/>
      <c r="I17" s="45"/>
      <c r="J17" s="45"/>
      <c r="K17" s="45">
        <f t="shared" ref="K17:O17" si="1">SUM(K12:K16)</f>
        <v>-2273.6733999918924</v>
      </c>
      <c r="L17" s="45">
        <f t="shared" si="1"/>
        <v>-1039.3265599805081</v>
      </c>
      <c r="M17" s="45">
        <f t="shared" si="1"/>
        <v>-3996.8777894046889</v>
      </c>
      <c r="N17" s="45">
        <f t="shared" si="1"/>
        <v>867.19237016087641</v>
      </c>
      <c r="O17" s="45">
        <f t="shared" si="1"/>
        <v>-1972.9730299126043</v>
      </c>
      <c r="P17" s="41"/>
      <c r="Q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</row>
    <row r="18" spans="1:77" ht="15.65" customHeight="1"/>
    <row r="19" spans="1:77" ht="12.25" customHeight="1">
      <c r="A19" s="32" t="s">
        <v>140</v>
      </c>
      <c r="B19" s="88">
        <f>+Inputs!G30</f>
        <v>256</v>
      </c>
    </row>
    <row r="20" spans="1:77" ht="12.25" customHeight="1">
      <c r="A20" s="27" t="s">
        <v>123</v>
      </c>
      <c r="B20" s="34"/>
      <c r="C20" s="38"/>
      <c r="D20" s="38"/>
      <c r="E20" s="38"/>
      <c r="F20" s="38"/>
      <c r="G20" s="38"/>
      <c r="H20" s="38"/>
      <c r="I20" s="38"/>
      <c r="J20" s="38"/>
      <c r="K20" s="38">
        <f t="shared" ref="K20:N24" si="2">+K4+K12</f>
        <v>1603.2966858269692</v>
      </c>
      <c r="L20" s="38">
        <f t="shared" si="2"/>
        <v>10575.507536208357</v>
      </c>
      <c r="M20" s="38">
        <f t="shared" si="2"/>
        <v>4735.9388112283577</v>
      </c>
      <c r="N20" s="38">
        <f t="shared" si="2"/>
        <v>7142.8024316541332</v>
      </c>
      <c r="O20" s="38">
        <f>+O4+O12</f>
        <v>5099.3384985378625</v>
      </c>
      <c r="P20" s="38"/>
      <c r="Q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</row>
    <row r="21" spans="1:77" ht="12.25" customHeight="1">
      <c r="A21" s="27" t="s">
        <v>124</v>
      </c>
      <c r="B21" s="34"/>
      <c r="C21" s="38"/>
      <c r="D21" s="38"/>
      <c r="E21" s="38"/>
      <c r="F21" s="38"/>
      <c r="G21" s="38"/>
      <c r="H21" s="38"/>
      <c r="I21" s="38"/>
      <c r="J21" s="38"/>
      <c r="K21" s="38">
        <f t="shared" si="2"/>
        <v>163.83295711113527</v>
      </c>
      <c r="L21" s="38">
        <f t="shared" si="2"/>
        <v>554.47220923591954</v>
      </c>
      <c r="M21" s="38">
        <f t="shared" si="2"/>
        <v>440.00021938065993</v>
      </c>
      <c r="N21" s="38">
        <f t="shared" si="2"/>
        <v>767.1437305676402</v>
      </c>
      <c r="O21" s="38">
        <f t="shared" ref="O21:O24" si="3">+O5+O13</f>
        <v>435.91745938618465</v>
      </c>
      <c r="P21" s="38"/>
      <c r="Q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</row>
    <row r="22" spans="1:77" ht="12.25" customHeight="1">
      <c r="A22" s="27" t="s">
        <v>125</v>
      </c>
      <c r="B22" s="34"/>
      <c r="C22" s="38"/>
      <c r="D22" s="38"/>
      <c r="E22" s="38"/>
      <c r="F22" s="38"/>
      <c r="G22" s="38"/>
      <c r="H22" s="38"/>
      <c r="I22" s="38"/>
      <c r="J22" s="38"/>
      <c r="K22" s="38">
        <f t="shared" si="2"/>
        <v>386.86024941198934</v>
      </c>
      <c r="L22" s="38">
        <f t="shared" si="2"/>
        <v>383.61029512250332</v>
      </c>
      <c r="M22" s="38">
        <f t="shared" si="2"/>
        <v>381.10314181971086</v>
      </c>
      <c r="N22" s="38">
        <f t="shared" si="2"/>
        <v>378.61237446318631</v>
      </c>
      <c r="O22" s="38">
        <f t="shared" si="3"/>
        <v>376.13788595966395</v>
      </c>
      <c r="P22" s="38"/>
      <c r="Q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</row>
    <row r="23" spans="1:77" ht="12.25" customHeight="1">
      <c r="A23" s="27" t="s">
        <v>126</v>
      </c>
      <c r="B23" s="34"/>
      <c r="C23" s="38"/>
      <c r="D23" s="38"/>
      <c r="E23" s="38"/>
      <c r="F23" s="38"/>
      <c r="G23" s="38"/>
      <c r="H23" s="38"/>
      <c r="I23" s="38"/>
      <c r="J23" s="38"/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3"/>
        <v>0</v>
      </c>
      <c r="P23" s="38"/>
      <c r="Q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</row>
    <row r="24" spans="1:77" ht="12.25" customHeight="1">
      <c r="A24" s="27" t="s">
        <v>127</v>
      </c>
      <c r="B24" s="34"/>
      <c r="C24" s="38"/>
      <c r="D24" s="38"/>
      <c r="E24" s="38"/>
      <c r="F24" s="38"/>
      <c r="G24" s="38"/>
      <c r="H24" s="38"/>
      <c r="I24" s="38"/>
      <c r="J24" s="38"/>
      <c r="K24" s="38">
        <f t="shared" si="2"/>
        <v>0</v>
      </c>
      <c r="L24" s="38">
        <f t="shared" si="2"/>
        <v>0</v>
      </c>
      <c r="M24" s="38">
        <f t="shared" si="2"/>
        <v>0</v>
      </c>
      <c r="N24" s="38">
        <f t="shared" si="2"/>
        <v>0</v>
      </c>
      <c r="O24" s="38">
        <f t="shared" si="3"/>
        <v>0</v>
      </c>
      <c r="P24" s="38"/>
      <c r="Q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</row>
    <row r="25" spans="1:77" ht="12.25" customHeight="1">
      <c r="A25" s="25" t="s">
        <v>122</v>
      </c>
      <c r="C25" s="41"/>
      <c r="D25" s="45"/>
      <c r="E25" s="45"/>
      <c r="F25" s="45"/>
      <c r="G25" s="45"/>
      <c r="H25" s="45"/>
      <c r="I25" s="45"/>
      <c r="J25" s="45"/>
      <c r="K25" s="45">
        <f t="shared" ref="K25:O25" si="4">SUM(K20:K24)</f>
        <v>2153.9898923500941</v>
      </c>
      <c r="L25" s="45">
        <f t="shared" si="4"/>
        <v>11513.59004056678</v>
      </c>
      <c r="M25" s="45">
        <f t="shared" si="4"/>
        <v>5557.042172428728</v>
      </c>
      <c r="N25" s="45">
        <f t="shared" si="4"/>
        <v>8288.5585366849591</v>
      </c>
      <c r="O25" s="45">
        <f t="shared" si="4"/>
        <v>5911.3938438837113</v>
      </c>
      <c r="P25" s="41"/>
      <c r="Q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</row>
    <row r="27" spans="1:77" ht="12.25" customHeight="1">
      <c r="A27" s="32" t="s">
        <v>202</v>
      </c>
      <c r="B27" s="88">
        <f>+Inputs!M30</f>
        <v>293.10000000000002</v>
      </c>
    </row>
    <row r="28" spans="1:77" ht="12.25" customHeight="1">
      <c r="A28" s="27" t="s">
        <v>123</v>
      </c>
      <c r="B28" s="34"/>
      <c r="C28" s="38"/>
      <c r="D28" s="38"/>
      <c r="E28" s="38"/>
      <c r="F28" s="38"/>
      <c r="G28" s="38"/>
      <c r="H28" s="38"/>
      <c r="I28" s="38"/>
      <c r="J28" s="38"/>
      <c r="K28" s="38">
        <f t="shared" ref="K28:N32" si="5">+K20*$B$27/$B$19</f>
        <v>1835.6494477182996</v>
      </c>
      <c r="L28" s="38">
        <f t="shared" si="5"/>
        <v>12108.129917432303</v>
      </c>
      <c r="M28" s="38">
        <f t="shared" si="5"/>
        <v>5422.2799436368432</v>
      </c>
      <c r="N28" s="38">
        <f t="shared" si="5"/>
        <v>8177.9507528040103</v>
      </c>
      <c r="O28" s="38">
        <f t="shared" ref="O28" si="6">+O20*$B$27/$B$19</f>
        <v>5838.3441950056549</v>
      </c>
      <c r="P28" s="38"/>
      <c r="Q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</row>
    <row r="29" spans="1:77" ht="12.25" customHeight="1">
      <c r="A29" s="27" t="s">
        <v>124</v>
      </c>
      <c r="B29" s="34"/>
      <c r="C29" s="38"/>
      <c r="D29" s="38"/>
      <c r="E29" s="38"/>
      <c r="F29" s="38"/>
      <c r="G29" s="38"/>
      <c r="H29" s="38"/>
      <c r="I29" s="38"/>
      <c r="J29" s="38"/>
      <c r="K29" s="38">
        <f t="shared" si="5"/>
        <v>187.57593644247558</v>
      </c>
      <c r="L29" s="38">
        <f t="shared" si="5"/>
        <v>634.82736143378133</v>
      </c>
      <c r="M29" s="38">
        <f t="shared" si="5"/>
        <v>503.76587617371655</v>
      </c>
      <c r="N29" s="38">
        <f t="shared" si="5"/>
        <v>878.31963839599746</v>
      </c>
      <c r="O29" s="38">
        <f t="shared" ref="O29" si="7">+O21*$B$27/$B$19</f>
        <v>499.09143494566689</v>
      </c>
      <c r="P29" s="38"/>
      <c r="Q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</row>
    <row r="30" spans="1:77" ht="12.25" customHeight="1">
      <c r="A30" s="27" t="s">
        <v>125</v>
      </c>
      <c r="B30" s="34"/>
      <c r="C30" s="38"/>
      <c r="D30" s="38"/>
      <c r="E30" s="38"/>
      <c r="F30" s="38"/>
      <c r="G30" s="38"/>
      <c r="H30" s="38"/>
      <c r="I30" s="38"/>
      <c r="J30" s="38"/>
      <c r="K30" s="38">
        <f t="shared" si="5"/>
        <v>442.92476211974252</v>
      </c>
      <c r="L30" s="38">
        <f t="shared" si="5"/>
        <v>439.20381836095987</v>
      </c>
      <c r="M30" s="38">
        <f t="shared" si="5"/>
        <v>436.3333237006143</v>
      </c>
      <c r="N30" s="38">
        <f t="shared" si="5"/>
        <v>433.48158966859341</v>
      </c>
      <c r="O30" s="38">
        <f t="shared" ref="O30" si="8">+O22*$B$27/$B$19</f>
        <v>430.64849365147467</v>
      </c>
      <c r="P30" s="38"/>
      <c r="Q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</row>
    <row r="31" spans="1:77" ht="12.25" customHeight="1">
      <c r="A31" s="27" t="s">
        <v>126</v>
      </c>
      <c r="B31" s="34"/>
      <c r="C31" s="38"/>
      <c r="D31" s="38"/>
      <c r="E31" s="38"/>
      <c r="F31" s="38"/>
      <c r="G31" s="38"/>
      <c r="H31" s="38"/>
      <c r="I31" s="38"/>
      <c r="J31" s="38"/>
      <c r="K31" s="38">
        <f t="shared" si="5"/>
        <v>0</v>
      </c>
      <c r="L31" s="38">
        <f t="shared" si="5"/>
        <v>0</v>
      </c>
      <c r="M31" s="38">
        <f t="shared" si="5"/>
        <v>0</v>
      </c>
      <c r="N31" s="38">
        <f t="shared" si="5"/>
        <v>0</v>
      </c>
      <c r="O31" s="38">
        <f t="shared" ref="O31" si="9">+O23*$B$27/$B$19</f>
        <v>0</v>
      </c>
      <c r="P31" s="38"/>
      <c r="Q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</row>
    <row r="32" spans="1:77" ht="12.25" customHeight="1">
      <c r="A32" s="27" t="s">
        <v>127</v>
      </c>
      <c r="B32" s="34"/>
      <c r="C32" s="38"/>
      <c r="D32" s="38"/>
      <c r="E32" s="38"/>
      <c r="F32" s="38"/>
      <c r="G32" s="38"/>
      <c r="H32" s="38"/>
      <c r="I32" s="38"/>
      <c r="J32" s="38"/>
      <c r="K32" s="38">
        <f t="shared" si="5"/>
        <v>0</v>
      </c>
      <c r="L32" s="38">
        <f t="shared" si="5"/>
        <v>0</v>
      </c>
      <c r="M32" s="38">
        <f t="shared" si="5"/>
        <v>0</v>
      </c>
      <c r="N32" s="38">
        <f t="shared" si="5"/>
        <v>0</v>
      </c>
      <c r="O32" s="38">
        <f t="shared" ref="O32" si="10">+O24*$B$27/$B$19</f>
        <v>0</v>
      </c>
      <c r="P32" s="38"/>
      <c r="Q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</row>
    <row r="33" spans="1:77" ht="12.25" customHeight="1">
      <c r="A33" s="25" t="s">
        <v>122</v>
      </c>
      <c r="C33" s="41"/>
      <c r="D33" s="45"/>
      <c r="E33" s="45"/>
      <c r="F33" s="45"/>
      <c r="G33" s="45"/>
      <c r="H33" s="45"/>
      <c r="I33" s="45"/>
      <c r="J33" s="45"/>
      <c r="K33" s="45">
        <f t="shared" ref="K33:O33" si="11">SUM(K28:K32)</f>
        <v>2466.1501462805177</v>
      </c>
      <c r="L33" s="45">
        <f t="shared" si="11"/>
        <v>13182.161097227045</v>
      </c>
      <c r="M33" s="45">
        <f t="shared" si="11"/>
        <v>6362.3791435111743</v>
      </c>
      <c r="N33" s="45">
        <f t="shared" si="11"/>
        <v>9489.7519808686011</v>
      </c>
      <c r="O33" s="45">
        <f t="shared" si="11"/>
        <v>6768.0841236027964</v>
      </c>
      <c r="P33" s="41"/>
      <c r="Q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</row>
  </sheetData>
  <dataConsolidate link="1"/>
  <pageMargins left="0.70866141732283472" right="0.70866141732283472" top="0.74803149606299213" bottom="0.74803149606299213" header="0.31496062992125984" footer="0.31496062992125984"/>
  <pageSetup paperSize="8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X61"/>
  <sheetViews>
    <sheetView zoomScaleNormal="100" zoomScaleSheetLayoutView="7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J31" sqref="J31"/>
    </sheetView>
  </sheetViews>
  <sheetFormatPr defaultColWidth="9.36328125" defaultRowHeight="13"/>
  <cols>
    <col min="1" max="1" width="34" style="33" bestFit="1" customWidth="1"/>
    <col min="2" max="2" width="2.6328125" style="31" bestFit="1" customWidth="1"/>
    <col min="3" max="3" width="2.36328125" style="31" bestFit="1" customWidth="1"/>
    <col min="4" max="9" width="2.6328125" style="31" hidden="1" customWidth="1"/>
    <col min="10" max="11" width="4.36328125" style="38" bestFit="1" customWidth="1"/>
    <col min="12" max="50" width="5.36328125" style="38" bestFit="1" customWidth="1"/>
    <col min="51" max="16384" width="9.36328125" style="33"/>
  </cols>
  <sheetData>
    <row r="1" spans="1:50" s="26" customFormat="1">
      <c r="A1" s="57" t="s">
        <v>53</v>
      </c>
      <c r="B1" s="36"/>
      <c r="C1" s="37"/>
      <c r="D1" s="37"/>
      <c r="E1" s="37"/>
      <c r="F1" s="37"/>
      <c r="G1" s="37"/>
      <c r="H1" s="37"/>
      <c r="I1" s="37"/>
      <c r="J1" s="117">
        <f>Inputs!J1</f>
        <v>2017</v>
      </c>
      <c r="K1" s="117">
        <f>Inputs!K1</f>
        <v>2018</v>
      </c>
      <c r="L1" s="117">
        <f>Inputs!L1</f>
        <v>2019</v>
      </c>
      <c r="M1" s="117">
        <f>Inputs!M1</f>
        <v>2020</v>
      </c>
      <c r="N1" s="117">
        <f>Inputs!N1</f>
        <v>2021</v>
      </c>
      <c r="O1" s="117">
        <f>Inputs!O1</f>
        <v>2022</v>
      </c>
      <c r="P1" s="117">
        <f>Inputs!P1</f>
        <v>2023</v>
      </c>
      <c r="Q1" s="117">
        <f>Inputs!Q1</f>
        <v>2024</v>
      </c>
      <c r="R1" s="117">
        <f>Inputs!R1</f>
        <v>2025</v>
      </c>
      <c r="S1" s="117">
        <f>Inputs!S1</f>
        <v>2026</v>
      </c>
      <c r="T1" s="117">
        <f>Inputs!T1</f>
        <v>2027</v>
      </c>
      <c r="U1" s="117">
        <f>Inputs!U1</f>
        <v>2028</v>
      </c>
      <c r="V1" s="117">
        <f>Inputs!V1</f>
        <v>2029</v>
      </c>
      <c r="W1" s="117">
        <f>Inputs!W1</f>
        <v>2030</v>
      </c>
      <c r="X1" s="117">
        <f>Inputs!X1</f>
        <v>2031</v>
      </c>
      <c r="Y1" s="117">
        <f>Inputs!Y1</f>
        <v>2032</v>
      </c>
      <c r="Z1" s="117">
        <f>Inputs!Z1</f>
        <v>2033</v>
      </c>
      <c r="AA1" s="117">
        <f>Inputs!AA1</f>
        <v>2034</v>
      </c>
      <c r="AB1" s="117">
        <f>Inputs!AB1</f>
        <v>2035</v>
      </c>
      <c r="AC1" s="117">
        <f>Inputs!AC1</f>
        <v>2036</v>
      </c>
      <c r="AD1" s="117">
        <f>Inputs!AD1</f>
        <v>2037</v>
      </c>
      <c r="AE1" s="117">
        <f>Inputs!AE1</f>
        <v>2038</v>
      </c>
      <c r="AF1" s="117">
        <f>Inputs!AF1</f>
        <v>2039</v>
      </c>
      <c r="AG1" s="117">
        <f>Inputs!AG1</f>
        <v>2040</v>
      </c>
      <c r="AH1" s="117">
        <f>Inputs!AH1</f>
        <v>2041</v>
      </c>
      <c r="AI1" s="117">
        <f>Inputs!AI1</f>
        <v>2042</v>
      </c>
      <c r="AJ1" s="117">
        <f>Inputs!AJ1</f>
        <v>2043</v>
      </c>
      <c r="AK1" s="117">
        <f>Inputs!AK1</f>
        <v>2044</v>
      </c>
      <c r="AL1" s="117">
        <f>Inputs!AL1</f>
        <v>2045</v>
      </c>
      <c r="AM1" s="117">
        <f>Inputs!AM1</f>
        <v>2046</v>
      </c>
      <c r="AN1" s="117">
        <f>Inputs!AN1</f>
        <v>2047</v>
      </c>
      <c r="AO1" s="117">
        <f>Inputs!AO1</f>
        <v>2048</v>
      </c>
      <c r="AP1" s="117">
        <f>Inputs!AP1</f>
        <v>2049</v>
      </c>
      <c r="AQ1" s="117">
        <f>Inputs!AQ1</f>
        <v>2050</v>
      </c>
      <c r="AR1" s="117">
        <f>Inputs!AR1</f>
        <v>2051</v>
      </c>
      <c r="AS1" s="117">
        <f>Inputs!AS1</f>
        <v>2052</v>
      </c>
      <c r="AT1" s="117">
        <f>Inputs!AT1</f>
        <v>2053</v>
      </c>
      <c r="AU1" s="117">
        <f>Inputs!AU1</f>
        <v>2054</v>
      </c>
      <c r="AV1" s="117">
        <f>Inputs!AV1</f>
        <v>2055</v>
      </c>
      <c r="AW1" s="117">
        <f>Inputs!AW1</f>
        <v>2056</v>
      </c>
      <c r="AX1" s="117">
        <f>Inputs!AX1</f>
        <v>2057</v>
      </c>
    </row>
    <row r="2" spans="1:50">
      <c r="A2" s="35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50">
      <c r="A3" s="113" t="s">
        <v>221</v>
      </c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50">
      <c r="A4" s="35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50">
      <c r="A5" s="25" t="s">
        <v>56</v>
      </c>
      <c r="C5" s="20"/>
      <c r="D5" s="20"/>
      <c r="E5" s="20"/>
      <c r="F5" s="20"/>
      <c r="G5" s="20"/>
      <c r="H5" s="20"/>
      <c r="I5" s="20"/>
      <c r="J5" s="20"/>
      <c r="K5" s="20">
        <f t="shared" ref="K5:O5" si="0">J31</f>
        <v>1966.5017835937501</v>
      </c>
      <c r="L5" s="20">
        <f t="shared" si="0"/>
        <v>4236.5081342380199</v>
      </c>
      <c r="M5" s="20">
        <f t="shared" si="0"/>
        <v>16789.659600125233</v>
      </c>
      <c r="N5" s="20">
        <f t="shared" si="0"/>
        <v>22266.621057220615</v>
      </c>
      <c r="O5" s="20">
        <f t="shared" si="0"/>
        <v>30521.255622359873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>
      <c r="A6" s="25" t="s">
        <v>55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0">
      <c r="A7" s="25" t="s">
        <v>17</v>
      </c>
      <c r="C7" s="21"/>
      <c r="D7" s="21"/>
      <c r="E7" s="21"/>
      <c r="F7" s="21"/>
      <c r="G7" s="21"/>
      <c r="H7" s="21"/>
      <c r="I7" s="21"/>
      <c r="J7" s="89"/>
      <c r="K7" s="89">
        <f t="shared" ref="K7:O7" si="1">+K5+K6</f>
        <v>1966.5017835937501</v>
      </c>
      <c r="L7" s="89">
        <f t="shared" si="1"/>
        <v>4236.5081342380199</v>
      </c>
      <c r="M7" s="89">
        <f t="shared" si="1"/>
        <v>16789.659600125233</v>
      </c>
      <c r="N7" s="89">
        <f t="shared" si="1"/>
        <v>22266.621057220615</v>
      </c>
      <c r="O7" s="89">
        <f t="shared" si="1"/>
        <v>30521.255622359873</v>
      </c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</row>
    <row r="8" spans="1:50">
      <c r="A8" s="35"/>
      <c r="C8" s="21"/>
      <c r="D8" s="21"/>
      <c r="E8" s="21"/>
      <c r="F8" s="21"/>
      <c r="G8" s="21"/>
      <c r="H8" s="21"/>
      <c r="I8" s="21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</row>
    <row r="9" spans="1:50">
      <c r="A9" s="27" t="s">
        <v>123</v>
      </c>
      <c r="B9" s="34"/>
      <c r="J9" s="63"/>
      <c r="K9" s="63">
        <f>+'DAV Inputs'!K28</f>
        <v>1835.6494477182996</v>
      </c>
      <c r="L9" s="63">
        <f>+'DAV Inputs'!L28</f>
        <v>12108.129917432303</v>
      </c>
      <c r="M9" s="63">
        <f>+'DAV Inputs'!M28</f>
        <v>5422.2799436368432</v>
      </c>
      <c r="N9" s="63">
        <f>+'DAV Inputs'!N28</f>
        <v>8177.9507528040103</v>
      </c>
      <c r="O9" s="63">
        <f>+'DAV Inputs'!O28</f>
        <v>5838.3441950056549</v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</row>
    <row r="10" spans="1:50">
      <c r="A10" s="27" t="s">
        <v>124</v>
      </c>
      <c r="B10" s="34"/>
      <c r="J10" s="31"/>
      <c r="K10" s="63">
        <f>+'DAV Inputs'!K29</f>
        <v>187.57593644247558</v>
      </c>
      <c r="L10" s="63">
        <f>+'DAV Inputs'!L29</f>
        <v>634.82736143378133</v>
      </c>
      <c r="M10" s="63">
        <f>+'DAV Inputs'!M29</f>
        <v>503.76587617371655</v>
      </c>
      <c r="N10" s="63">
        <f>+'DAV Inputs'!N29</f>
        <v>878.31963839599746</v>
      </c>
      <c r="O10" s="63">
        <f>+'DAV Inputs'!O29</f>
        <v>499.09143494566689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</row>
    <row r="11" spans="1:50">
      <c r="A11" s="27" t="s">
        <v>125</v>
      </c>
      <c r="B11" s="34"/>
      <c r="J11" s="63"/>
      <c r="K11" s="63">
        <f>+'DAV Inputs'!K30</f>
        <v>442.92476211974252</v>
      </c>
      <c r="L11" s="63">
        <f>+'DAV Inputs'!L30</f>
        <v>439.20381836095987</v>
      </c>
      <c r="M11" s="63">
        <f>+'DAV Inputs'!M30</f>
        <v>436.3333237006143</v>
      </c>
      <c r="N11" s="63">
        <f>+'DAV Inputs'!N30</f>
        <v>433.48158966859341</v>
      </c>
      <c r="O11" s="63">
        <f>+'DAV Inputs'!O30</f>
        <v>430.64849365147467</v>
      </c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</row>
    <row r="12" spans="1:50">
      <c r="A12" s="27" t="s">
        <v>126</v>
      </c>
      <c r="B12" s="34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</row>
    <row r="13" spans="1:50">
      <c r="A13" s="27" t="s">
        <v>127</v>
      </c>
      <c r="B13" s="34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</row>
    <row r="14" spans="1:50">
      <c r="A14" s="25"/>
      <c r="C14" s="21"/>
      <c r="D14" s="21"/>
      <c r="E14" s="21"/>
      <c r="F14" s="21"/>
      <c r="G14" s="21"/>
      <c r="H14" s="21"/>
      <c r="I14" s="21"/>
      <c r="J14" s="89"/>
      <c r="K14" s="89">
        <f t="shared" ref="K14:O14" si="2">SUM(K9:K13)</f>
        <v>2466.1501462805177</v>
      </c>
      <c r="L14" s="89">
        <f t="shared" si="2"/>
        <v>13182.161097227045</v>
      </c>
      <c r="M14" s="89">
        <f t="shared" si="2"/>
        <v>6362.3791435111743</v>
      </c>
      <c r="N14" s="89">
        <f t="shared" si="2"/>
        <v>9489.7519808686011</v>
      </c>
      <c r="O14" s="89">
        <f t="shared" si="2"/>
        <v>6768.0841236027964</v>
      </c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</row>
    <row r="15" spans="1:50">
      <c r="A15" s="27"/>
      <c r="B15" s="34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</row>
    <row r="16" spans="1:50">
      <c r="A16" s="27" t="s">
        <v>128</v>
      </c>
      <c r="B16" s="34"/>
      <c r="C16" s="34">
        <f>+Inputs!C58</f>
        <v>40</v>
      </c>
      <c r="D16" s="34"/>
      <c r="E16" s="34"/>
      <c r="F16" s="34"/>
      <c r="G16" s="34"/>
      <c r="H16" s="34"/>
      <c r="I16" s="34"/>
      <c r="J16" s="40"/>
      <c r="K16" s="40">
        <f t="shared" ref="K16:O16" si="3">K9/$C16</f>
        <v>45.891236192957493</v>
      </c>
      <c r="L16" s="40">
        <f t="shared" si="3"/>
        <v>302.70324793580755</v>
      </c>
      <c r="M16" s="40">
        <f t="shared" si="3"/>
        <v>135.55699859092107</v>
      </c>
      <c r="N16" s="40">
        <f t="shared" si="3"/>
        <v>204.44876882010027</v>
      </c>
      <c r="O16" s="40">
        <f t="shared" si="3"/>
        <v>145.95860487514136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</row>
    <row r="17" spans="1:50">
      <c r="A17" s="27" t="s">
        <v>129</v>
      </c>
      <c r="B17" s="34"/>
      <c r="C17" s="34">
        <f>+Inputs!C59</f>
        <v>15</v>
      </c>
      <c r="D17" s="34"/>
      <c r="E17" s="34"/>
      <c r="F17" s="34"/>
      <c r="G17" s="34"/>
      <c r="H17" s="34"/>
      <c r="I17" s="34"/>
      <c r="J17" s="40"/>
      <c r="K17" s="40">
        <f t="shared" ref="K17:O17" si="4">K10/$C17</f>
        <v>12.505062429498372</v>
      </c>
      <c r="L17" s="40">
        <f t="shared" si="4"/>
        <v>42.32182409558542</v>
      </c>
      <c r="M17" s="40">
        <f t="shared" si="4"/>
        <v>33.584391744914434</v>
      </c>
      <c r="N17" s="40">
        <f t="shared" si="4"/>
        <v>58.554642559733161</v>
      </c>
      <c r="O17" s="40">
        <f t="shared" si="4"/>
        <v>33.272762329711128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1:50">
      <c r="A18" s="27" t="s">
        <v>130</v>
      </c>
      <c r="B18" s="34"/>
      <c r="C18" s="34">
        <f>+Inputs!C60</f>
        <v>5</v>
      </c>
      <c r="D18" s="34"/>
      <c r="E18" s="34"/>
      <c r="F18" s="34"/>
      <c r="G18" s="34"/>
      <c r="H18" s="34"/>
      <c r="I18" s="34"/>
      <c r="J18" s="40"/>
      <c r="K18" s="40">
        <f t="shared" ref="K18:O18" si="5">K11/$C18</f>
        <v>88.584952423948508</v>
      </c>
      <c r="L18" s="40">
        <f t="shared" si="5"/>
        <v>87.840763672191969</v>
      </c>
      <c r="M18" s="40">
        <f t="shared" si="5"/>
        <v>87.266664740122863</v>
      </c>
      <c r="N18" s="40">
        <f t="shared" si="5"/>
        <v>86.696317933718689</v>
      </c>
      <c r="O18" s="40">
        <f t="shared" si="5"/>
        <v>86.129698730294933</v>
      </c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</row>
    <row r="19" spans="1:50">
      <c r="A19" s="27" t="s">
        <v>131</v>
      </c>
      <c r="B19" s="34"/>
      <c r="C19" s="34">
        <f>+Inputs!C61</f>
        <v>35</v>
      </c>
      <c r="D19" s="34"/>
      <c r="E19" s="34"/>
      <c r="F19" s="34"/>
      <c r="G19" s="34"/>
      <c r="H19" s="34"/>
      <c r="I19" s="34"/>
      <c r="J19" s="40"/>
      <c r="K19" s="40">
        <f t="shared" ref="K19:O19" si="6">K12/$C19</f>
        <v>0</v>
      </c>
      <c r="L19" s="40">
        <f t="shared" si="6"/>
        <v>0</v>
      </c>
      <c r="M19" s="40">
        <f t="shared" si="6"/>
        <v>0</v>
      </c>
      <c r="N19" s="40">
        <f t="shared" si="6"/>
        <v>0</v>
      </c>
      <c r="O19" s="40">
        <f t="shared" si="6"/>
        <v>0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</row>
    <row r="20" spans="1:50">
      <c r="A20" s="27" t="s">
        <v>132</v>
      </c>
      <c r="B20" s="34"/>
      <c r="C20" s="34">
        <f>+Inputs!C62</f>
        <v>40</v>
      </c>
      <c r="D20" s="34"/>
      <c r="E20" s="34"/>
      <c r="F20" s="34"/>
      <c r="G20" s="34"/>
      <c r="H20" s="34"/>
      <c r="I20" s="34"/>
      <c r="J20" s="40"/>
      <c r="K20" s="40">
        <f t="shared" ref="K20:O20" si="7">K13/$C20</f>
        <v>0</v>
      </c>
      <c r="L20" s="40">
        <f t="shared" si="7"/>
        <v>0</v>
      </c>
      <c r="M20" s="40">
        <f t="shared" si="7"/>
        <v>0</v>
      </c>
      <c r="N20" s="40">
        <f t="shared" si="7"/>
        <v>0</v>
      </c>
      <c r="O20" s="40">
        <f t="shared" si="7"/>
        <v>0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</row>
    <row r="21" spans="1:50">
      <c r="A21" s="25"/>
      <c r="C21" s="34"/>
      <c r="D21" s="21"/>
      <c r="E21" s="21"/>
      <c r="F21" s="21"/>
      <c r="G21" s="21"/>
      <c r="H21" s="21"/>
      <c r="I21" s="21"/>
      <c r="J21" s="89"/>
      <c r="K21" s="89">
        <f t="shared" ref="K21:O21" si="8">SUM(K16:K20)</f>
        <v>146.98125104640437</v>
      </c>
      <c r="L21" s="89">
        <f t="shared" si="8"/>
        <v>432.86583570358493</v>
      </c>
      <c r="M21" s="89">
        <f t="shared" si="8"/>
        <v>256.40805507595837</v>
      </c>
      <c r="N21" s="89">
        <f t="shared" si="8"/>
        <v>349.6997293135521</v>
      </c>
      <c r="O21" s="89">
        <f t="shared" si="8"/>
        <v>265.36106593514739</v>
      </c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</row>
    <row r="22" spans="1:50">
      <c r="A22" s="35"/>
      <c r="C22" s="34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</row>
    <row r="23" spans="1:50">
      <c r="A23" s="25" t="s">
        <v>138</v>
      </c>
      <c r="B23" s="34"/>
      <c r="C23" s="34">
        <f>+Inputs!C63</f>
        <v>40</v>
      </c>
      <c r="D23" s="21"/>
      <c r="E23" s="21"/>
      <c r="F23" s="21"/>
      <c r="G23" s="21"/>
      <c r="H23" s="21"/>
      <c r="I23" s="21"/>
      <c r="J23" s="40"/>
      <c r="K23" s="40">
        <f>$K$5/$C$23</f>
        <v>49.162544589843755</v>
      </c>
      <c r="L23" s="40">
        <f t="shared" ref="L23:O23" si="9">$K$5/$C$23</f>
        <v>49.162544589843755</v>
      </c>
      <c r="M23" s="40">
        <f t="shared" si="9"/>
        <v>49.162544589843755</v>
      </c>
      <c r="N23" s="40">
        <f t="shared" si="9"/>
        <v>49.162544589843755</v>
      </c>
      <c r="O23" s="40">
        <f t="shared" si="9"/>
        <v>49.162544589843755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</row>
    <row r="24" spans="1:50">
      <c r="A24" s="27" t="s">
        <v>133</v>
      </c>
      <c r="B24" s="21"/>
      <c r="C24" s="21"/>
      <c r="D24" s="21"/>
      <c r="E24" s="21"/>
      <c r="F24" s="21"/>
      <c r="G24" s="21"/>
      <c r="H24" s="21"/>
      <c r="I24" s="21"/>
      <c r="J24" s="94"/>
      <c r="K24" s="94">
        <f>SUM($K$16:K$16)</f>
        <v>45.891236192957493</v>
      </c>
      <c r="L24" s="94">
        <f>SUM($K$16:L$16)</f>
        <v>348.59448412876503</v>
      </c>
      <c r="M24" s="94">
        <f>SUM($K$16:M$16)</f>
        <v>484.1514827196861</v>
      </c>
      <c r="N24" s="94">
        <f>SUM($K$16:N$16)</f>
        <v>688.60025153978631</v>
      </c>
      <c r="O24" s="94">
        <f>SUM($K$16:O$16)</f>
        <v>834.55885641492773</v>
      </c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</row>
    <row r="25" spans="1:50">
      <c r="A25" s="27" t="s">
        <v>134</v>
      </c>
      <c r="B25" s="21"/>
      <c r="C25" s="21"/>
      <c r="D25" s="21"/>
      <c r="E25" s="21"/>
      <c r="F25" s="21"/>
      <c r="G25" s="21"/>
      <c r="H25" s="21"/>
      <c r="I25" s="21"/>
      <c r="J25" s="94"/>
      <c r="K25" s="94">
        <f>SUM($K$17:K$17)</f>
        <v>12.505062429498372</v>
      </c>
      <c r="L25" s="94">
        <f>SUM($K$17:L$17)</f>
        <v>54.826886525083793</v>
      </c>
      <c r="M25" s="94">
        <f>SUM($K$17:M$17)</f>
        <v>88.411278269998235</v>
      </c>
      <c r="N25" s="94">
        <f>SUM(K$17:N$17)</f>
        <v>146.9659208297314</v>
      </c>
      <c r="O25" s="94">
        <f>SUM(K$17:O$17)</f>
        <v>180.23868315944253</v>
      </c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</row>
    <row r="26" spans="1:50">
      <c r="A26" s="27" t="s">
        <v>135</v>
      </c>
      <c r="B26" s="21"/>
      <c r="C26" s="21"/>
      <c r="D26" s="21"/>
      <c r="E26" s="21"/>
      <c r="F26" s="21"/>
      <c r="G26" s="21"/>
      <c r="H26" s="21"/>
      <c r="I26" s="21"/>
      <c r="J26" s="94"/>
      <c r="K26" s="94">
        <f>SUM(K$18:K$18)</f>
        <v>88.584952423948508</v>
      </c>
      <c r="L26" s="94">
        <f>SUM(K$18:L$18)</f>
        <v>176.42571609614049</v>
      </c>
      <c r="M26" s="94">
        <f>SUM(K$18:M$18)</f>
        <v>263.69238083626334</v>
      </c>
      <c r="N26" s="94">
        <f>SUM(K$18:N$18)</f>
        <v>350.38869876998206</v>
      </c>
      <c r="O26" s="94">
        <f t="shared" ref="O26" si="10">SUM(K$18:O$18)</f>
        <v>436.51839750027699</v>
      </c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</row>
    <row r="27" spans="1:50">
      <c r="A27" s="27" t="s">
        <v>136</v>
      </c>
      <c r="B27" s="21"/>
      <c r="C27" s="21"/>
      <c r="D27" s="21"/>
      <c r="E27" s="21"/>
      <c r="F27" s="21"/>
      <c r="G27" s="21"/>
      <c r="H27" s="21"/>
      <c r="I27" s="21"/>
      <c r="J27" s="94"/>
      <c r="K27" s="94">
        <f>SUM($K$19:K$19)</f>
        <v>0</v>
      </c>
      <c r="L27" s="94">
        <f>SUM($K$19:L$19)</f>
        <v>0</v>
      </c>
      <c r="M27" s="94">
        <f>SUM($K$19:M$19)</f>
        <v>0</v>
      </c>
      <c r="N27" s="94">
        <f>SUM($K$19:N$19)</f>
        <v>0</v>
      </c>
      <c r="O27" s="94">
        <f>SUM($K$19:O$19)</f>
        <v>0</v>
      </c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</row>
    <row r="28" spans="1:50">
      <c r="A28" s="27" t="s">
        <v>137</v>
      </c>
      <c r="B28" s="21"/>
      <c r="C28" s="21"/>
      <c r="D28" s="21"/>
      <c r="E28" s="21"/>
      <c r="F28" s="21"/>
      <c r="G28" s="21"/>
      <c r="H28" s="21"/>
      <c r="I28" s="21"/>
      <c r="J28" s="94"/>
      <c r="K28" s="94">
        <f>SUM($K$20:K$20)</f>
        <v>0</v>
      </c>
      <c r="L28" s="94">
        <f>SUM($K$20:L$20)</f>
        <v>0</v>
      </c>
      <c r="M28" s="94">
        <f>SUM($K$20:M$20)</f>
        <v>0</v>
      </c>
      <c r="N28" s="94">
        <f>SUM($K$20:N$20)</f>
        <v>0</v>
      </c>
      <c r="O28" s="94">
        <f>SUM($K$20:O$20)</f>
        <v>0</v>
      </c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</row>
    <row r="29" spans="1:50">
      <c r="A29" s="25"/>
      <c r="C29" s="21"/>
      <c r="D29" s="21"/>
      <c r="E29" s="21"/>
      <c r="F29" s="21"/>
      <c r="G29" s="21"/>
      <c r="H29" s="21"/>
      <c r="I29" s="21"/>
      <c r="J29" s="89"/>
      <c r="K29" s="89">
        <f t="shared" ref="K29:O29" si="11">SUM(K23:K28)</f>
        <v>196.14379563624811</v>
      </c>
      <c r="L29" s="89">
        <f t="shared" si="11"/>
        <v>629.00963133983305</v>
      </c>
      <c r="M29" s="89">
        <f t="shared" si="11"/>
        <v>885.41768641579142</v>
      </c>
      <c r="N29" s="89">
        <f t="shared" si="11"/>
        <v>1235.1174157293435</v>
      </c>
      <c r="O29" s="89">
        <f t="shared" si="11"/>
        <v>1500.478481664491</v>
      </c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</row>
    <row r="30" spans="1:50">
      <c r="A30" s="35"/>
      <c r="C30" s="21"/>
      <c r="D30" s="21"/>
      <c r="E30" s="21"/>
      <c r="F30" s="21"/>
      <c r="G30" s="21"/>
      <c r="H30" s="21"/>
      <c r="I30" s="21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</row>
    <row r="31" spans="1:50" s="86" customFormat="1">
      <c r="A31" s="84" t="s">
        <v>5</v>
      </c>
      <c r="B31" s="83"/>
      <c r="C31" s="85"/>
      <c r="D31" s="85"/>
      <c r="E31" s="85"/>
      <c r="F31" s="85"/>
      <c r="G31" s="85"/>
      <c r="H31" s="85"/>
      <c r="I31" s="85"/>
      <c r="J31" s="118">
        <f>+Inputs!M43</f>
        <v>1966.5017835937501</v>
      </c>
      <c r="K31" s="118">
        <f t="shared" ref="K31:O31" si="12">K7+K14-K29</f>
        <v>4236.5081342380199</v>
      </c>
      <c r="L31" s="118">
        <f t="shared" si="12"/>
        <v>16789.659600125233</v>
      </c>
      <c r="M31" s="118">
        <f t="shared" si="12"/>
        <v>22266.621057220615</v>
      </c>
      <c r="N31" s="118">
        <f t="shared" si="12"/>
        <v>30521.255622359873</v>
      </c>
      <c r="O31" s="118">
        <f t="shared" si="12"/>
        <v>35788.861264298183</v>
      </c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</row>
    <row r="32" spans="1:50"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</row>
    <row r="33" spans="1:50">
      <c r="A33" s="113" t="s">
        <v>238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50">
      <c r="A34" s="35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50">
      <c r="A35" s="25" t="s">
        <v>56</v>
      </c>
      <c r="C35" s="20"/>
      <c r="D35" s="20"/>
      <c r="E35" s="20"/>
      <c r="F35" s="20"/>
      <c r="G35" s="20"/>
      <c r="H35" s="20"/>
      <c r="I35" s="20"/>
      <c r="J35" s="20"/>
      <c r="K35" s="20">
        <f t="shared" ref="K35" si="13">J61</f>
        <v>2072.8841662739615</v>
      </c>
      <c r="L35" s="20">
        <f t="shared" ref="L35" si="14">K61</f>
        <v>4465.691668839605</v>
      </c>
      <c r="M35" s="20">
        <f t="shared" ref="M35" si="15">L61</f>
        <v>17697.934389170627</v>
      </c>
      <c r="N35" s="20">
        <f t="shared" ref="N35" si="16">M61</f>
        <v>23471.184522185085</v>
      </c>
      <c r="O35" s="20">
        <f t="shared" ref="O35" si="17">N61</f>
        <v>32172.372302032923</v>
      </c>
      <c r="P35" s="20">
        <f t="shared" ref="P35" si="18">O61</f>
        <v>37724.9410413273</v>
      </c>
      <c r="Q35" s="20">
        <f t="shared" ref="Q35" si="19">P61</f>
        <v>40327.311673865901</v>
      </c>
      <c r="R35" s="20">
        <f t="shared" ref="R35" si="20">Q61</f>
        <v>42446.560302333077</v>
      </c>
      <c r="S35" s="20">
        <f t="shared" ref="S35" si="21">R61</f>
        <v>45437.126501686296</v>
      </c>
      <c r="T35" s="20">
        <f t="shared" ref="T35" si="22">S61</f>
        <v>49299.079784046124</v>
      </c>
      <c r="U35" s="20">
        <f t="shared" ref="U35" si="23">T61</f>
        <v>51082.088193217707</v>
      </c>
      <c r="V35" s="20">
        <f t="shared" ref="V35" si="24">U61</f>
        <v>53343.340820295758</v>
      </c>
      <c r="W35" s="20">
        <f t="shared" ref="W35" si="25">V61</f>
        <v>52769.628151998986</v>
      </c>
      <c r="X35" s="20">
        <f t="shared" ref="X35" si="26">W61</f>
        <v>51885.342456128034</v>
      </c>
      <c r="Y35" s="20">
        <f t="shared" ref="Y35" si="27">X61</f>
        <v>50901.995916521322</v>
      </c>
      <c r="Z35" s="20">
        <f t="shared" ref="Z35" si="28">Y61</f>
        <v>49824.483877433886</v>
      </c>
      <c r="AA35" s="20">
        <f t="shared" ref="AA35" si="29">Z61</f>
        <v>48718.748301866603</v>
      </c>
      <c r="AB35" s="20">
        <f t="shared" ref="AB35" si="30">AA61</f>
        <v>47619.417363969769</v>
      </c>
      <c r="AC35" s="20">
        <f t="shared" ref="AC35" si="31">AB61</f>
        <v>46525.942918314482</v>
      </c>
      <c r="AD35" s="20">
        <f t="shared" ref="AD35" si="32">AC61</f>
        <v>45529.699748595129</v>
      </c>
      <c r="AE35" s="20">
        <f t="shared" ref="AE35" si="33">AD61</f>
        <v>44591.232199945101</v>
      </c>
      <c r="AF35" s="20">
        <f t="shared" ref="AF35" si="34">AE61</f>
        <v>43661.003143651033</v>
      </c>
      <c r="AG35" s="20">
        <f t="shared" ref="AG35" si="35">AF61</f>
        <v>43054.066862115978</v>
      </c>
      <c r="AH35" s="20">
        <f t="shared" ref="AH35" si="36">AG61</f>
        <v>42044.416688826183</v>
      </c>
      <c r="AI35" s="20">
        <f t="shared" ref="AI35" si="37">AH61</f>
        <v>41073.542238744667</v>
      </c>
      <c r="AJ35" s="20">
        <f t="shared" ref="AJ35" si="38">AI61</f>
        <v>40017.102601218976</v>
      </c>
      <c r="AK35" s="20">
        <f t="shared" ref="AK35" si="39">AJ61</f>
        <v>38926.397296702104</v>
      </c>
      <c r="AL35" s="20">
        <f t="shared" ref="AL35" si="40">AK61</f>
        <v>37787.217728107076</v>
      </c>
      <c r="AM35" s="20">
        <f>AL61</f>
        <v>36604.935000041514</v>
      </c>
      <c r="AN35" s="20">
        <f>AM61</f>
        <v>35429.041317504772</v>
      </c>
      <c r="AO35" s="20">
        <f t="shared" ref="AO35" si="41">AN61</f>
        <v>34190.60760592817</v>
      </c>
      <c r="AP35" s="20">
        <f t="shared" ref="AP35" si="42">AO61</f>
        <v>32936.476740661819</v>
      </c>
      <c r="AQ35" s="20">
        <f t="shared" ref="AQ35" si="43">AP61</f>
        <v>31617.661403614959</v>
      </c>
      <c r="AR35" s="20">
        <f t="shared" ref="AR35" si="44">AQ61</f>
        <v>30237.835712311138</v>
      </c>
      <c r="AS35" s="20">
        <f t="shared" ref="AS35" si="45">AR61</f>
        <v>28861.613404272066</v>
      </c>
      <c r="AT35" s="20">
        <f t="shared" ref="AT35" si="46">AS61</f>
        <v>27462.616463034206</v>
      </c>
      <c r="AU35" s="20">
        <f t="shared" ref="AU35" si="47">AT61</f>
        <v>26013.089217549517</v>
      </c>
      <c r="AV35" s="20">
        <f t="shared" ref="AV35" si="48">AU61</f>
        <v>24537.757223334869</v>
      </c>
      <c r="AW35" s="20">
        <f t="shared" ref="AW35" si="49">AV61</f>
        <v>23066.604623673531</v>
      </c>
      <c r="AX35" s="20">
        <f t="shared" ref="AX35" si="50">AW61</f>
        <v>21605.088984385904</v>
      </c>
    </row>
    <row r="36" spans="1:50">
      <c r="A36" s="25" t="s">
        <v>55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</row>
    <row r="37" spans="1:50">
      <c r="A37" s="25" t="s">
        <v>17</v>
      </c>
      <c r="C37" s="21"/>
      <c r="D37" s="21"/>
      <c r="E37" s="21"/>
      <c r="F37" s="21"/>
      <c r="G37" s="21"/>
      <c r="H37" s="21"/>
      <c r="I37" s="21"/>
      <c r="J37" s="89"/>
      <c r="K37" s="89">
        <f t="shared" ref="K37:AL37" si="51">+K35+K36</f>
        <v>2072.8841662739615</v>
      </c>
      <c r="L37" s="89">
        <f t="shared" si="51"/>
        <v>4465.691668839605</v>
      </c>
      <c r="M37" s="89">
        <f t="shared" si="51"/>
        <v>17697.934389170627</v>
      </c>
      <c r="N37" s="89">
        <f t="shared" si="51"/>
        <v>23471.184522185085</v>
      </c>
      <c r="O37" s="89">
        <f t="shared" si="51"/>
        <v>32172.372302032923</v>
      </c>
      <c r="P37" s="89">
        <f t="shared" si="51"/>
        <v>37724.9410413273</v>
      </c>
      <c r="Q37" s="89">
        <f t="shared" si="51"/>
        <v>40327.311673865901</v>
      </c>
      <c r="R37" s="89">
        <f t="shared" si="51"/>
        <v>42446.560302333077</v>
      </c>
      <c r="S37" s="89">
        <f t="shared" si="51"/>
        <v>45437.126501686296</v>
      </c>
      <c r="T37" s="89">
        <f t="shared" si="51"/>
        <v>49299.079784046124</v>
      </c>
      <c r="U37" s="89">
        <f t="shared" si="51"/>
        <v>51082.088193217707</v>
      </c>
      <c r="V37" s="89">
        <f t="shared" si="51"/>
        <v>53343.340820295758</v>
      </c>
      <c r="W37" s="89">
        <f t="shared" si="51"/>
        <v>52769.628151998986</v>
      </c>
      <c r="X37" s="89">
        <f t="shared" si="51"/>
        <v>51885.342456128034</v>
      </c>
      <c r="Y37" s="89">
        <f t="shared" si="51"/>
        <v>50901.995916521322</v>
      </c>
      <c r="Z37" s="89">
        <f t="shared" si="51"/>
        <v>49824.483877433886</v>
      </c>
      <c r="AA37" s="89">
        <f t="shared" si="51"/>
        <v>48718.748301866603</v>
      </c>
      <c r="AB37" s="89">
        <f t="shared" si="51"/>
        <v>47619.417363969769</v>
      </c>
      <c r="AC37" s="89">
        <f t="shared" si="51"/>
        <v>46525.942918314482</v>
      </c>
      <c r="AD37" s="89">
        <f t="shared" si="51"/>
        <v>45529.699748595129</v>
      </c>
      <c r="AE37" s="89">
        <f t="shared" si="51"/>
        <v>44591.232199945101</v>
      </c>
      <c r="AF37" s="89">
        <f t="shared" si="51"/>
        <v>43661.003143651033</v>
      </c>
      <c r="AG37" s="89">
        <f t="shared" si="51"/>
        <v>43054.066862115978</v>
      </c>
      <c r="AH37" s="89">
        <f t="shared" si="51"/>
        <v>42044.416688826183</v>
      </c>
      <c r="AI37" s="89">
        <f t="shared" si="51"/>
        <v>41073.542238744667</v>
      </c>
      <c r="AJ37" s="89">
        <f t="shared" si="51"/>
        <v>40017.102601218976</v>
      </c>
      <c r="AK37" s="89">
        <f t="shared" si="51"/>
        <v>38926.397296702104</v>
      </c>
      <c r="AL37" s="89">
        <f t="shared" si="51"/>
        <v>37787.217728107076</v>
      </c>
      <c r="AM37" s="89">
        <f>+AM35+AM36</f>
        <v>36604.935000041514</v>
      </c>
      <c r="AN37" s="89">
        <f>+AN35+AN36</f>
        <v>35429.041317504772</v>
      </c>
      <c r="AO37" s="89">
        <f t="shared" ref="AO37:AX37" si="52">+AO35+AO36</f>
        <v>34190.60760592817</v>
      </c>
      <c r="AP37" s="89">
        <f t="shared" si="52"/>
        <v>32936.476740661819</v>
      </c>
      <c r="AQ37" s="89">
        <f t="shared" si="52"/>
        <v>31617.661403614959</v>
      </c>
      <c r="AR37" s="89">
        <f t="shared" si="52"/>
        <v>30237.835712311138</v>
      </c>
      <c r="AS37" s="89">
        <f t="shared" si="52"/>
        <v>28861.613404272066</v>
      </c>
      <c r="AT37" s="89">
        <f t="shared" si="52"/>
        <v>27462.616463034206</v>
      </c>
      <c r="AU37" s="89">
        <f t="shared" si="52"/>
        <v>26013.089217549517</v>
      </c>
      <c r="AV37" s="89">
        <f t="shared" si="52"/>
        <v>24537.757223334869</v>
      </c>
      <c r="AW37" s="89">
        <f t="shared" si="52"/>
        <v>23066.604623673531</v>
      </c>
      <c r="AX37" s="89">
        <f t="shared" si="52"/>
        <v>21605.088984385904</v>
      </c>
    </row>
    <row r="38" spans="1:50">
      <c r="A38" s="35"/>
      <c r="C38" s="21"/>
      <c r="D38" s="21"/>
      <c r="E38" s="21"/>
      <c r="F38" s="21"/>
      <c r="G38" s="21"/>
      <c r="H38" s="21"/>
      <c r="I38" s="2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</row>
    <row r="39" spans="1:50">
      <c r="A39" s="27" t="s">
        <v>123</v>
      </c>
      <c r="B39" s="34"/>
      <c r="J39" s="63"/>
      <c r="K39" s="63">
        <f>+K9*Inputs!$M$34</f>
        <v>1934.9530759392792</v>
      </c>
      <c r="L39" s="63">
        <f>+L9*Inputs!$M$34</f>
        <v>12763.146719941393</v>
      </c>
      <c r="M39" s="63">
        <f>+M9*Inputs!$M$34</f>
        <v>5715.6104988266043</v>
      </c>
      <c r="N39" s="63">
        <f>+N9*Inputs!$M$34</f>
        <v>8620.3555824273153</v>
      </c>
      <c r="O39" s="63">
        <f>+O9*Inputs!$M$34</f>
        <v>6154.182691341437</v>
      </c>
      <c r="P39" s="63">
        <f>+Inputs!P10</f>
        <v>3867.1406962230531</v>
      </c>
      <c r="Q39" s="63">
        <f>+Inputs!Q10</f>
        <v>3406.5668825214066</v>
      </c>
      <c r="R39" s="63">
        <f>+Inputs!R10</f>
        <v>4296.4490926368135</v>
      </c>
      <c r="S39" s="63">
        <f>+Inputs!S10</f>
        <v>5127.2003856010951</v>
      </c>
      <c r="T39" s="63">
        <f>+Inputs!T10</f>
        <v>3110.7273948715992</v>
      </c>
      <c r="U39" s="63">
        <f>+Inputs!U10</f>
        <v>3728.4901035306984</v>
      </c>
      <c r="V39" s="63">
        <f>+Inputs!V10</f>
        <v>1037.5894069713622</v>
      </c>
      <c r="W39" s="63">
        <f>+Inputs!W10</f>
        <v>825.27321513112781</v>
      </c>
      <c r="X39" s="63">
        <f>+Inputs!X10</f>
        <v>792.02951191961495</v>
      </c>
      <c r="Y39" s="63">
        <f>+Inputs!Y10</f>
        <v>752.82069067925693</v>
      </c>
      <c r="Z39" s="63">
        <f>+Inputs!Z10</f>
        <v>742.8090534309581</v>
      </c>
      <c r="AA39" s="63">
        <f>+Inputs!AA10</f>
        <v>737.80323480680886</v>
      </c>
      <c r="AB39" s="63">
        <f>+Inputs!AB10</f>
        <v>737.80323480680886</v>
      </c>
      <c r="AC39" s="63">
        <f>+Inputs!AC10</f>
        <v>794.34299524922653</v>
      </c>
      <c r="AD39" s="63">
        <f>+Inputs!AD10</f>
        <v>844.70114486447926</v>
      </c>
      <c r="AE39" s="63">
        <f>+Inputs!AE10</f>
        <v>807.80571464418313</v>
      </c>
      <c r="AF39" s="63">
        <f>+Inputs!AF10</f>
        <v>1167.8821644046461</v>
      </c>
      <c r="AG39" s="63">
        <f>+Inputs!AG10</f>
        <v>692.3844378451995</v>
      </c>
      <c r="AH39" s="63">
        <f>+Inputs!AH10</f>
        <v>663.947718349139</v>
      </c>
      <c r="AI39" s="63">
        <f>+Inputs!AI10</f>
        <v>620.48541787593217</v>
      </c>
      <c r="AJ39" s="63">
        <f>+Inputs!AJ10</f>
        <v>643.3405605555248</v>
      </c>
      <c r="AK39" s="63">
        <f>+Inputs!AK10</f>
        <v>617.61114761984595</v>
      </c>
      <c r="AL39" s="63">
        <f>+Inputs!AL10</f>
        <v>579.83243558547395</v>
      </c>
      <c r="AM39" s="63">
        <f>+Inputs!AM10</f>
        <v>578.14023950562114</v>
      </c>
      <c r="AN39" s="63">
        <f>+Inputs!AN10</f>
        <v>573.81719385433746</v>
      </c>
      <c r="AO39" s="63">
        <f>+Inputs!AO10</f>
        <v>565.39138792892459</v>
      </c>
      <c r="AP39" s="63">
        <f>+Inputs!AP10</f>
        <v>565.40098699476357</v>
      </c>
      <c r="AQ39" s="63">
        <f>+Inputs!AQ10</f>
        <v>565.41033709060071</v>
      </c>
      <c r="AR39" s="63">
        <f>+Inputs!AR10</f>
        <v>591.87726396735138</v>
      </c>
      <c r="AS39" s="63">
        <f>+Inputs!AS10</f>
        <v>596.69098866169202</v>
      </c>
      <c r="AT39" s="63">
        <f>+Inputs!AT10</f>
        <v>568.90278067739735</v>
      </c>
      <c r="AU39" s="63">
        <f>+Inputs!AU10</f>
        <v>561.44458558667407</v>
      </c>
      <c r="AV39" s="63">
        <f>+Inputs!AV10</f>
        <v>573.71491657630509</v>
      </c>
      <c r="AW39" s="63">
        <f>+Inputs!AW10</f>
        <v>577.80250190676088</v>
      </c>
      <c r="AX39" s="63">
        <f>+Inputs!AX10</f>
        <v>611.07899510725565</v>
      </c>
    </row>
    <row r="40" spans="1:50">
      <c r="A40" s="27" t="s">
        <v>124</v>
      </c>
      <c r="B40" s="34"/>
      <c r="J40" s="31"/>
      <c r="K40" s="63">
        <f>+K10*Inputs!$M$34</f>
        <v>197.72328297361142</v>
      </c>
      <c r="L40" s="63">
        <f>+L10*Inputs!$M$34</f>
        <v>669.16979013806622</v>
      </c>
      <c r="M40" s="63">
        <f>+M10*Inputs!$M$34</f>
        <v>531.01823600753585</v>
      </c>
      <c r="N40" s="63">
        <f>+N10*Inputs!$M$34</f>
        <v>925.83433513663908</v>
      </c>
      <c r="O40" s="63">
        <f>+O10*Inputs!$M$34</f>
        <v>526.09092025901168</v>
      </c>
      <c r="P40" s="63">
        <f>+Inputs!P11</f>
        <v>296.56545970366841</v>
      </c>
      <c r="Q40" s="63">
        <f>+Inputs!Q11</f>
        <v>297.53321475349298</v>
      </c>
      <c r="R40" s="63">
        <f>+Inputs!R11</f>
        <v>326.67833833047087</v>
      </c>
      <c r="S40" s="63">
        <f>+Inputs!S11</f>
        <v>444.62192040748317</v>
      </c>
      <c r="T40" s="63">
        <f>+Inputs!T11</f>
        <v>407.13862971852626</v>
      </c>
      <c r="U40" s="63">
        <f>+Inputs!U11</f>
        <v>386.62152835238243</v>
      </c>
      <c r="V40" s="63">
        <f>+Inputs!V11</f>
        <v>312.72601366389858</v>
      </c>
      <c r="W40" s="63">
        <f>+Inputs!W11</f>
        <v>245.62642618052465</v>
      </c>
      <c r="X40" s="63">
        <f>+Inputs!X11</f>
        <v>207.60653064672363</v>
      </c>
      <c r="Y40" s="63">
        <f>+Inputs!Y11</f>
        <v>177.46305799870242</v>
      </c>
      <c r="Z40" s="63">
        <f>+Inputs!Z11</f>
        <v>170.15077888740069</v>
      </c>
      <c r="AA40" s="63">
        <f>+Inputs!AA11</f>
        <v>166.49463933174982</v>
      </c>
      <c r="AB40" s="63">
        <f>+Inputs!AB11</f>
        <v>166.49463933174982</v>
      </c>
      <c r="AC40" s="63">
        <f>+Inputs!AC11</f>
        <v>177.13118646149033</v>
      </c>
      <c r="AD40" s="63">
        <f>+Inputs!AD11</f>
        <v>182.77870555703771</v>
      </c>
      <c r="AE40" s="63">
        <f>+Inputs!AE11</f>
        <v>244.64650752052486</v>
      </c>
      <c r="AF40" s="63">
        <f>+Inputs!AF11</f>
        <v>232.74036319173558</v>
      </c>
      <c r="AG40" s="63">
        <f>+Inputs!AG11</f>
        <v>322.5591997005817</v>
      </c>
      <c r="AH40" s="63">
        <f>+Inputs!AH11</f>
        <v>403.63807928909381</v>
      </c>
      <c r="AI40" s="63">
        <f>+Inputs!AI11</f>
        <v>374.89794905405489</v>
      </c>
      <c r="AJ40" s="63">
        <f>+Inputs!AJ11</f>
        <v>330.09201947179753</v>
      </c>
      <c r="AK40" s="63">
        <f>+Inputs!AK11</f>
        <v>323.50612083095103</v>
      </c>
      <c r="AL40" s="63">
        <f>+Inputs!AL11</f>
        <v>338.89541700613802</v>
      </c>
      <c r="AM40" s="63">
        <f>+Inputs!AM11</f>
        <v>372.41756702785904</v>
      </c>
      <c r="AN40" s="63">
        <f>+Inputs!AN11</f>
        <v>339.33765316327299</v>
      </c>
      <c r="AO40" s="63">
        <f>+Inputs!AO11</f>
        <v>358.77611232643562</v>
      </c>
      <c r="AP40" s="63">
        <f>+Inputs!AP11</f>
        <v>318.34009664232599</v>
      </c>
      <c r="AQ40" s="63">
        <f>+Inputs!AQ11</f>
        <v>278.95286581572543</v>
      </c>
      <c r="AR40" s="63">
        <f>+Inputs!AR11</f>
        <v>277.58304432729483</v>
      </c>
      <c r="AS40" s="63">
        <f>+Inputs!AS11</f>
        <v>270.77862226454232</v>
      </c>
      <c r="AT40" s="63">
        <f>+Inputs!AT11</f>
        <v>263.51713751882954</v>
      </c>
      <c r="AU40" s="63">
        <f>+Inputs!AU11</f>
        <v>261.09715104265632</v>
      </c>
      <c r="AV40" s="63">
        <f>+Inputs!AV11</f>
        <v>263.40550807932345</v>
      </c>
      <c r="AW40" s="63">
        <f>+Inputs!AW11</f>
        <v>274.81150755461965</v>
      </c>
      <c r="AX40" s="63">
        <f>+Inputs!AX11</f>
        <v>274.84818240170819</v>
      </c>
    </row>
    <row r="41" spans="1:50">
      <c r="A41" s="27" t="s">
        <v>125</v>
      </c>
      <c r="B41" s="34"/>
      <c r="J41" s="63"/>
      <c r="K41" s="63">
        <f>+K11*Inputs!$M$34</f>
        <v>466.88578363290594</v>
      </c>
      <c r="L41" s="63">
        <f>+L11*Inputs!$M$34</f>
        <v>462.96354696598519</v>
      </c>
      <c r="M41" s="63">
        <f>+M11*Inputs!$M$34</f>
        <v>459.93776637404983</v>
      </c>
      <c r="N41" s="63">
        <f>+N11*Inputs!$M$34</f>
        <v>456.93176130926014</v>
      </c>
      <c r="O41" s="63">
        <f>+O11*Inputs!$M$34</f>
        <v>453.94540252514196</v>
      </c>
      <c r="P41" s="63">
        <f>+Inputs!P12</f>
        <v>54.233928461243174</v>
      </c>
      <c r="Q41" s="63">
        <f>+Inputs!Q12</f>
        <v>53.906241702133336</v>
      </c>
      <c r="R41" s="63">
        <f>+Inputs!R12</f>
        <v>54.24838603201345</v>
      </c>
      <c r="S41" s="63">
        <f>+Inputs!S12</f>
        <v>54.219640919991342</v>
      </c>
      <c r="T41" s="63">
        <f>+Inputs!T12</f>
        <v>54.190911039417124</v>
      </c>
      <c r="U41" s="63">
        <f>+Inputs!U12</f>
        <v>54.16219638221996</v>
      </c>
      <c r="V41" s="63">
        <f>+Inputs!V12</f>
        <v>25</v>
      </c>
      <c r="W41" s="63">
        <f>+Inputs!W12</f>
        <v>25</v>
      </c>
      <c r="X41" s="63">
        <f>+Inputs!X12</f>
        <v>25</v>
      </c>
      <c r="Y41" s="63">
        <f>+Inputs!Y12</f>
        <v>25</v>
      </c>
      <c r="Z41" s="63">
        <f>+Inputs!Z12</f>
        <v>25</v>
      </c>
      <c r="AA41" s="63">
        <f>+Inputs!AA12</f>
        <v>25</v>
      </c>
      <c r="AB41" s="63">
        <f>+Inputs!AB12</f>
        <v>25</v>
      </c>
      <c r="AC41" s="63">
        <f>+Inputs!AC12</f>
        <v>25</v>
      </c>
      <c r="AD41" s="63">
        <f>+Inputs!AD12</f>
        <v>25</v>
      </c>
      <c r="AE41" s="63">
        <f>+Inputs!AE12</f>
        <v>25</v>
      </c>
      <c r="AF41" s="63">
        <f>+Inputs!AF12</f>
        <v>25</v>
      </c>
      <c r="AG41" s="63">
        <f>+Inputs!AG12</f>
        <v>25</v>
      </c>
      <c r="AH41" s="63">
        <f>+Inputs!AH12</f>
        <v>25</v>
      </c>
      <c r="AI41" s="63">
        <f>+Inputs!AI12</f>
        <v>25</v>
      </c>
      <c r="AJ41" s="63">
        <f>+Inputs!AJ12</f>
        <v>25</v>
      </c>
      <c r="AK41" s="63">
        <f>+Inputs!AK12</f>
        <v>25</v>
      </c>
      <c r="AL41" s="63">
        <f>+Inputs!AL12</f>
        <v>25</v>
      </c>
      <c r="AM41" s="63">
        <f>+Inputs!AM12</f>
        <v>25</v>
      </c>
      <c r="AN41" s="63">
        <f>+Inputs!AN12</f>
        <v>25</v>
      </c>
      <c r="AO41" s="63">
        <f>+Inputs!AO12</f>
        <v>25</v>
      </c>
      <c r="AP41" s="63">
        <f>+Inputs!AP12</f>
        <v>25</v>
      </c>
      <c r="AQ41" s="63">
        <f>+Inputs!AQ12</f>
        <v>25</v>
      </c>
      <c r="AR41" s="63">
        <f>+Inputs!AR12</f>
        <v>25</v>
      </c>
      <c r="AS41" s="63">
        <f>+Inputs!AS12</f>
        <v>25</v>
      </c>
      <c r="AT41" s="63">
        <f>+Inputs!AT12</f>
        <v>25</v>
      </c>
      <c r="AU41" s="63">
        <f>+Inputs!AU12</f>
        <v>25</v>
      </c>
      <c r="AV41" s="63">
        <f>+Inputs!AV12</f>
        <v>25</v>
      </c>
      <c r="AW41" s="63">
        <f>+Inputs!AW12</f>
        <v>25</v>
      </c>
      <c r="AX41" s="63">
        <f>+Inputs!AX12</f>
        <v>25</v>
      </c>
    </row>
    <row r="42" spans="1:50">
      <c r="A42" s="27" t="s">
        <v>126</v>
      </c>
      <c r="B42" s="34"/>
      <c r="J42" s="40"/>
      <c r="K42" s="63">
        <f>+K12*Inputs!$M$34</f>
        <v>0</v>
      </c>
      <c r="L42" s="63">
        <f>+L12*Inputs!$M$34</f>
        <v>0</v>
      </c>
      <c r="M42" s="63">
        <f>+M12*Inputs!$M$34</f>
        <v>0</v>
      </c>
      <c r="N42" s="63">
        <f>+N12*Inputs!$M$34</f>
        <v>0</v>
      </c>
      <c r="O42" s="63">
        <f>+O12*Inputs!$M$34</f>
        <v>0</v>
      </c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</row>
    <row r="43" spans="1:50">
      <c r="A43" s="27" t="s">
        <v>127</v>
      </c>
      <c r="B43" s="34"/>
      <c r="J43" s="40"/>
      <c r="K43" s="63">
        <f>+K13*Inputs!$M$34</f>
        <v>0</v>
      </c>
      <c r="L43" s="63">
        <f>+L13*Inputs!$M$34</f>
        <v>0</v>
      </c>
      <c r="M43" s="63">
        <f>+M13*Inputs!$M$34</f>
        <v>0</v>
      </c>
      <c r="N43" s="63">
        <f>+N13*Inputs!$M$34</f>
        <v>0</v>
      </c>
      <c r="O43" s="63">
        <f>+O13*Inputs!$M$34</f>
        <v>0</v>
      </c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</row>
    <row r="44" spans="1:50">
      <c r="A44" s="25"/>
      <c r="C44" s="21"/>
      <c r="D44" s="21"/>
      <c r="E44" s="21"/>
      <c r="F44" s="21"/>
      <c r="G44" s="21"/>
      <c r="H44" s="21"/>
      <c r="I44" s="21"/>
      <c r="J44" s="89"/>
      <c r="K44" s="89">
        <f t="shared" ref="K44:AX44" si="53">SUM(K39:K43)</f>
        <v>2599.5621425457966</v>
      </c>
      <c r="L44" s="89">
        <f t="shared" si="53"/>
        <v>13895.280057045446</v>
      </c>
      <c r="M44" s="89">
        <f t="shared" si="53"/>
        <v>6706.5665012081899</v>
      </c>
      <c r="N44" s="89">
        <f t="shared" si="53"/>
        <v>10003.121678873214</v>
      </c>
      <c r="O44" s="89">
        <f t="shared" si="53"/>
        <v>7134.2190141255905</v>
      </c>
      <c r="P44" s="89">
        <f t="shared" si="53"/>
        <v>4217.9400843879648</v>
      </c>
      <c r="Q44" s="89">
        <f t="shared" si="53"/>
        <v>3758.006338977033</v>
      </c>
      <c r="R44" s="89">
        <f t="shared" si="53"/>
        <v>4677.375816999298</v>
      </c>
      <c r="S44" s="89">
        <f t="shared" si="53"/>
        <v>5626.0419469285698</v>
      </c>
      <c r="T44" s="89">
        <f t="shared" si="53"/>
        <v>3572.0569356295427</v>
      </c>
      <c r="U44" s="89">
        <f t="shared" si="53"/>
        <v>4169.2738282653008</v>
      </c>
      <c r="V44" s="89">
        <f t="shared" si="53"/>
        <v>1375.3154206352608</v>
      </c>
      <c r="W44" s="89">
        <f t="shared" si="53"/>
        <v>1095.8996413116524</v>
      </c>
      <c r="X44" s="89">
        <f t="shared" si="53"/>
        <v>1024.6360425663386</v>
      </c>
      <c r="Y44" s="89">
        <f t="shared" si="53"/>
        <v>955.28374867795935</v>
      </c>
      <c r="Z44" s="89">
        <f t="shared" si="53"/>
        <v>937.95983231835885</v>
      </c>
      <c r="AA44" s="89">
        <f t="shared" si="53"/>
        <v>929.29787413855865</v>
      </c>
      <c r="AB44" s="89">
        <f t="shared" si="53"/>
        <v>929.29787413855865</v>
      </c>
      <c r="AC44" s="89">
        <f t="shared" si="53"/>
        <v>996.47418171071683</v>
      </c>
      <c r="AD44" s="89">
        <f t="shared" si="53"/>
        <v>1052.4798504215169</v>
      </c>
      <c r="AE44" s="89">
        <f t="shared" si="53"/>
        <v>1077.452222164708</v>
      </c>
      <c r="AF44" s="89">
        <f t="shared" si="53"/>
        <v>1425.6225275963816</v>
      </c>
      <c r="AG44" s="89">
        <f t="shared" si="53"/>
        <v>1039.9436375457813</v>
      </c>
      <c r="AH44" s="89">
        <f t="shared" si="53"/>
        <v>1092.5857976382329</v>
      </c>
      <c r="AI44" s="89">
        <f t="shared" si="53"/>
        <v>1020.383366929987</v>
      </c>
      <c r="AJ44" s="89">
        <f t="shared" si="53"/>
        <v>998.43258002732227</v>
      </c>
      <c r="AK44" s="89">
        <f t="shared" si="53"/>
        <v>966.11726845079693</v>
      </c>
      <c r="AL44" s="89">
        <f t="shared" si="53"/>
        <v>943.72785259161196</v>
      </c>
      <c r="AM44" s="89">
        <f t="shared" si="53"/>
        <v>975.55780653348017</v>
      </c>
      <c r="AN44" s="89">
        <f t="shared" si="53"/>
        <v>938.15484701761045</v>
      </c>
      <c r="AO44" s="89">
        <f t="shared" si="53"/>
        <v>949.16750025536021</v>
      </c>
      <c r="AP44" s="89">
        <f t="shared" si="53"/>
        <v>908.74108363708956</v>
      </c>
      <c r="AQ44" s="89">
        <f t="shared" si="53"/>
        <v>869.36320290632614</v>
      </c>
      <c r="AR44" s="89">
        <f t="shared" si="53"/>
        <v>894.46030829464621</v>
      </c>
      <c r="AS44" s="89">
        <f t="shared" si="53"/>
        <v>892.46961092623428</v>
      </c>
      <c r="AT44" s="89">
        <f t="shared" si="53"/>
        <v>857.41991819622694</v>
      </c>
      <c r="AU44" s="89">
        <f t="shared" si="53"/>
        <v>847.54173662933044</v>
      </c>
      <c r="AV44" s="89">
        <f t="shared" si="53"/>
        <v>862.12042465562854</v>
      </c>
      <c r="AW44" s="89">
        <f t="shared" si="53"/>
        <v>877.61400946138053</v>
      </c>
      <c r="AX44" s="89">
        <f t="shared" si="53"/>
        <v>910.92717750896384</v>
      </c>
    </row>
    <row r="45" spans="1:50">
      <c r="A45" s="27"/>
      <c r="B45" s="34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</row>
    <row r="46" spans="1:50">
      <c r="A46" s="27" t="s">
        <v>128</v>
      </c>
      <c r="B46" s="34"/>
      <c r="C46" s="34">
        <f>+C16</f>
        <v>40</v>
      </c>
      <c r="D46" s="34"/>
      <c r="E46" s="34"/>
      <c r="F46" s="34"/>
      <c r="G46" s="34"/>
      <c r="H46" s="34"/>
      <c r="I46" s="34"/>
      <c r="J46" s="40"/>
      <c r="K46" s="40">
        <f t="shared" ref="K46:AX46" si="54">K39/$C46</f>
        <v>48.37382689848198</v>
      </c>
      <c r="L46" s="40">
        <f t="shared" si="54"/>
        <v>319.0786679985348</v>
      </c>
      <c r="M46" s="40">
        <f t="shared" si="54"/>
        <v>142.89026247066511</v>
      </c>
      <c r="N46" s="40">
        <f t="shared" si="54"/>
        <v>215.50888956068289</v>
      </c>
      <c r="O46" s="40">
        <f t="shared" si="54"/>
        <v>153.85456728353591</v>
      </c>
      <c r="P46" s="40">
        <f t="shared" si="54"/>
        <v>96.678517405576329</v>
      </c>
      <c r="Q46" s="40">
        <f t="shared" si="54"/>
        <v>85.164172063035167</v>
      </c>
      <c r="R46" s="40">
        <f t="shared" si="54"/>
        <v>107.41122731592034</v>
      </c>
      <c r="S46" s="40">
        <f t="shared" si="54"/>
        <v>128.18000964002738</v>
      </c>
      <c r="T46" s="40">
        <f t="shared" si="54"/>
        <v>77.768184871789984</v>
      </c>
      <c r="U46" s="40">
        <f t="shared" si="54"/>
        <v>93.212252588267461</v>
      </c>
      <c r="V46" s="40">
        <f t="shared" si="54"/>
        <v>25.939735174284056</v>
      </c>
      <c r="W46" s="40">
        <f t="shared" si="54"/>
        <v>20.631830378278195</v>
      </c>
      <c r="X46" s="40">
        <f t="shared" si="54"/>
        <v>19.800737797990372</v>
      </c>
      <c r="Y46" s="40">
        <f t="shared" si="54"/>
        <v>18.820517266981422</v>
      </c>
      <c r="Z46" s="40">
        <f t="shared" si="54"/>
        <v>18.570226335773953</v>
      </c>
      <c r="AA46" s="40">
        <f t="shared" si="54"/>
        <v>18.445080870170223</v>
      </c>
      <c r="AB46" s="40">
        <f t="shared" si="54"/>
        <v>18.445080870170223</v>
      </c>
      <c r="AC46" s="40">
        <f t="shared" si="54"/>
        <v>19.858574881230663</v>
      </c>
      <c r="AD46" s="40">
        <f t="shared" si="54"/>
        <v>21.117528621611982</v>
      </c>
      <c r="AE46" s="40">
        <f t="shared" si="54"/>
        <v>20.195142866104579</v>
      </c>
      <c r="AF46" s="40">
        <f t="shared" si="54"/>
        <v>29.197054110116152</v>
      </c>
      <c r="AG46" s="40">
        <f t="shared" si="54"/>
        <v>17.309610946129986</v>
      </c>
      <c r="AH46" s="40">
        <f t="shared" si="54"/>
        <v>16.598692958728474</v>
      </c>
      <c r="AI46" s="40">
        <f t="shared" si="54"/>
        <v>15.512135446898304</v>
      </c>
      <c r="AJ46" s="40">
        <f t="shared" si="54"/>
        <v>16.08351401388812</v>
      </c>
      <c r="AK46" s="40">
        <f t="shared" si="54"/>
        <v>15.440278690496148</v>
      </c>
      <c r="AL46" s="40">
        <f t="shared" si="54"/>
        <v>14.495810889636848</v>
      </c>
      <c r="AM46" s="40">
        <f t="shared" si="54"/>
        <v>14.453505987640529</v>
      </c>
      <c r="AN46" s="40">
        <f t="shared" si="54"/>
        <v>14.345429846358437</v>
      </c>
      <c r="AO46" s="40">
        <f t="shared" si="54"/>
        <v>14.134784698223115</v>
      </c>
      <c r="AP46" s="40">
        <f t="shared" si="54"/>
        <v>14.13502467486909</v>
      </c>
      <c r="AQ46" s="40">
        <f t="shared" si="54"/>
        <v>14.135258427265018</v>
      </c>
      <c r="AR46" s="40">
        <f t="shared" si="54"/>
        <v>14.796931599183784</v>
      </c>
      <c r="AS46" s="40">
        <f t="shared" si="54"/>
        <v>14.9172747165423</v>
      </c>
      <c r="AT46" s="40">
        <f t="shared" si="54"/>
        <v>14.222569516934934</v>
      </c>
      <c r="AU46" s="40">
        <f t="shared" si="54"/>
        <v>14.036114639666852</v>
      </c>
      <c r="AV46" s="40">
        <f t="shared" si="54"/>
        <v>14.342872914407627</v>
      </c>
      <c r="AW46" s="40">
        <f t="shared" si="54"/>
        <v>14.445062547669021</v>
      </c>
      <c r="AX46" s="40">
        <f t="shared" si="54"/>
        <v>15.276974877681392</v>
      </c>
    </row>
    <row r="47" spans="1:50">
      <c r="A47" s="27" t="s">
        <v>129</v>
      </c>
      <c r="B47" s="34"/>
      <c r="C47" s="34">
        <f t="shared" ref="C47:C53" si="55">+C17</f>
        <v>15</v>
      </c>
      <c r="D47" s="34"/>
      <c r="E47" s="34"/>
      <c r="F47" s="34"/>
      <c r="G47" s="34"/>
      <c r="H47" s="34"/>
      <c r="I47" s="34"/>
      <c r="J47" s="40"/>
      <c r="K47" s="40">
        <f t="shared" ref="K47:AX47" si="56">K40/$C47</f>
        <v>13.181552198240761</v>
      </c>
      <c r="L47" s="40">
        <f t="shared" si="56"/>
        <v>44.611319342537747</v>
      </c>
      <c r="M47" s="40">
        <f t="shared" si="56"/>
        <v>35.40121573383572</v>
      </c>
      <c r="N47" s="40">
        <f t="shared" si="56"/>
        <v>61.722289009109275</v>
      </c>
      <c r="O47" s="40">
        <f t="shared" si="56"/>
        <v>35.072728017267444</v>
      </c>
      <c r="P47" s="40">
        <f t="shared" si="56"/>
        <v>19.771030646911228</v>
      </c>
      <c r="Q47" s="40">
        <f t="shared" si="56"/>
        <v>19.835547650232865</v>
      </c>
      <c r="R47" s="40">
        <f t="shared" si="56"/>
        <v>21.778555888698058</v>
      </c>
      <c r="S47" s="40">
        <f t="shared" si="56"/>
        <v>29.641461360498877</v>
      </c>
      <c r="T47" s="40">
        <f t="shared" si="56"/>
        <v>27.142575314568418</v>
      </c>
      <c r="U47" s="40">
        <f t="shared" si="56"/>
        <v>25.774768556825496</v>
      </c>
      <c r="V47" s="40">
        <f t="shared" si="56"/>
        <v>20.848400910926571</v>
      </c>
      <c r="W47" s="40">
        <f t="shared" si="56"/>
        <v>16.375095078701644</v>
      </c>
      <c r="X47" s="40">
        <f t="shared" si="56"/>
        <v>13.840435376448243</v>
      </c>
      <c r="Y47" s="40">
        <f t="shared" si="56"/>
        <v>11.830870533246829</v>
      </c>
      <c r="Z47" s="40">
        <f t="shared" si="56"/>
        <v>11.343385259160046</v>
      </c>
      <c r="AA47" s="40">
        <f t="shared" si="56"/>
        <v>11.099642622116654</v>
      </c>
      <c r="AB47" s="40">
        <f t="shared" si="56"/>
        <v>11.099642622116654</v>
      </c>
      <c r="AC47" s="40">
        <f t="shared" si="56"/>
        <v>11.808745764099355</v>
      </c>
      <c r="AD47" s="40">
        <f t="shared" si="56"/>
        <v>12.185247037135847</v>
      </c>
      <c r="AE47" s="40">
        <f t="shared" si="56"/>
        <v>16.309767168034991</v>
      </c>
      <c r="AF47" s="40">
        <f t="shared" si="56"/>
        <v>15.516024212782373</v>
      </c>
      <c r="AG47" s="40">
        <f t="shared" si="56"/>
        <v>21.503946646705447</v>
      </c>
      <c r="AH47" s="40">
        <f t="shared" si="56"/>
        <v>26.909205285939588</v>
      </c>
      <c r="AI47" s="40">
        <f t="shared" si="56"/>
        <v>24.993196603603661</v>
      </c>
      <c r="AJ47" s="40">
        <f t="shared" si="56"/>
        <v>22.006134631453168</v>
      </c>
      <c r="AK47" s="40">
        <f t="shared" si="56"/>
        <v>21.567074722063403</v>
      </c>
      <c r="AL47" s="40">
        <f t="shared" si="56"/>
        <v>22.5930278004092</v>
      </c>
      <c r="AM47" s="40">
        <f t="shared" si="56"/>
        <v>24.827837801857267</v>
      </c>
      <c r="AN47" s="40">
        <f t="shared" si="56"/>
        <v>22.622510210884865</v>
      </c>
      <c r="AO47" s="40">
        <f t="shared" si="56"/>
        <v>23.918407488429043</v>
      </c>
      <c r="AP47" s="40">
        <f t="shared" si="56"/>
        <v>21.222673109488401</v>
      </c>
      <c r="AQ47" s="40">
        <f t="shared" si="56"/>
        <v>18.596857721048362</v>
      </c>
      <c r="AR47" s="40">
        <f t="shared" si="56"/>
        <v>18.505536288486322</v>
      </c>
      <c r="AS47" s="40">
        <f t="shared" si="56"/>
        <v>18.051908150969489</v>
      </c>
      <c r="AT47" s="40">
        <f t="shared" si="56"/>
        <v>17.567809167921968</v>
      </c>
      <c r="AU47" s="40">
        <f t="shared" si="56"/>
        <v>17.406476736177087</v>
      </c>
      <c r="AV47" s="40">
        <f t="shared" si="56"/>
        <v>17.56036720528823</v>
      </c>
      <c r="AW47" s="40">
        <f t="shared" si="56"/>
        <v>18.320767170307978</v>
      </c>
      <c r="AX47" s="40">
        <f t="shared" si="56"/>
        <v>18.323212160113879</v>
      </c>
    </row>
    <row r="48" spans="1:50">
      <c r="A48" s="27" t="s">
        <v>130</v>
      </c>
      <c r="B48" s="34"/>
      <c r="C48" s="34">
        <f t="shared" si="55"/>
        <v>5</v>
      </c>
      <c r="D48" s="34"/>
      <c r="E48" s="34"/>
      <c r="F48" s="34"/>
      <c r="G48" s="34"/>
      <c r="H48" s="34"/>
      <c r="I48" s="34"/>
      <c r="J48" s="40"/>
      <c r="K48" s="40">
        <f t="shared" ref="K48:AX48" si="57">K41/$C48</f>
        <v>93.377156726581191</v>
      </c>
      <c r="L48" s="40">
        <f t="shared" si="57"/>
        <v>92.59270939319704</v>
      </c>
      <c r="M48" s="40">
        <f t="shared" si="57"/>
        <v>91.987553274809969</v>
      </c>
      <c r="N48" s="40">
        <f t="shared" si="57"/>
        <v>91.386352261852025</v>
      </c>
      <c r="O48" s="40">
        <f t="shared" si="57"/>
        <v>90.789080505028394</v>
      </c>
      <c r="P48" s="40">
        <f t="shared" si="57"/>
        <v>10.846785692248634</v>
      </c>
      <c r="Q48" s="40">
        <f t="shared" si="57"/>
        <v>10.781248340426668</v>
      </c>
      <c r="R48" s="40">
        <f t="shared" si="57"/>
        <v>10.84967720640269</v>
      </c>
      <c r="S48" s="40">
        <f t="shared" si="57"/>
        <v>10.843928183998269</v>
      </c>
      <c r="T48" s="40">
        <f t="shared" si="57"/>
        <v>10.838182207883424</v>
      </c>
      <c r="U48" s="40">
        <f t="shared" si="57"/>
        <v>10.832439276443992</v>
      </c>
      <c r="V48" s="40">
        <f t="shared" si="57"/>
        <v>5</v>
      </c>
      <c r="W48" s="40">
        <f t="shared" si="57"/>
        <v>5</v>
      </c>
      <c r="X48" s="40">
        <f t="shared" si="57"/>
        <v>5</v>
      </c>
      <c r="Y48" s="40">
        <f t="shared" si="57"/>
        <v>5</v>
      </c>
      <c r="Z48" s="40">
        <f t="shared" si="57"/>
        <v>5</v>
      </c>
      <c r="AA48" s="40">
        <f t="shared" si="57"/>
        <v>5</v>
      </c>
      <c r="AB48" s="40">
        <f t="shared" si="57"/>
        <v>5</v>
      </c>
      <c r="AC48" s="40">
        <f t="shared" si="57"/>
        <v>5</v>
      </c>
      <c r="AD48" s="40">
        <f t="shared" si="57"/>
        <v>5</v>
      </c>
      <c r="AE48" s="40">
        <f t="shared" si="57"/>
        <v>5</v>
      </c>
      <c r="AF48" s="40">
        <f t="shared" si="57"/>
        <v>5</v>
      </c>
      <c r="AG48" s="40">
        <f t="shared" si="57"/>
        <v>5</v>
      </c>
      <c r="AH48" s="40">
        <f t="shared" si="57"/>
        <v>5</v>
      </c>
      <c r="AI48" s="40">
        <f t="shared" si="57"/>
        <v>5</v>
      </c>
      <c r="AJ48" s="40">
        <f t="shared" si="57"/>
        <v>5</v>
      </c>
      <c r="AK48" s="40">
        <f t="shared" si="57"/>
        <v>5</v>
      </c>
      <c r="AL48" s="40">
        <f t="shared" si="57"/>
        <v>5</v>
      </c>
      <c r="AM48" s="40">
        <f t="shared" si="57"/>
        <v>5</v>
      </c>
      <c r="AN48" s="40">
        <f t="shared" si="57"/>
        <v>5</v>
      </c>
      <c r="AO48" s="40">
        <f t="shared" si="57"/>
        <v>5</v>
      </c>
      <c r="AP48" s="40">
        <f t="shared" si="57"/>
        <v>5</v>
      </c>
      <c r="AQ48" s="40">
        <f t="shared" si="57"/>
        <v>5</v>
      </c>
      <c r="AR48" s="40">
        <f t="shared" si="57"/>
        <v>5</v>
      </c>
      <c r="AS48" s="40">
        <f t="shared" si="57"/>
        <v>5</v>
      </c>
      <c r="AT48" s="40">
        <f t="shared" si="57"/>
        <v>5</v>
      </c>
      <c r="AU48" s="40">
        <f t="shared" si="57"/>
        <v>5</v>
      </c>
      <c r="AV48" s="40">
        <f t="shared" si="57"/>
        <v>5</v>
      </c>
      <c r="AW48" s="40">
        <f t="shared" si="57"/>
        <v>5</v>
      </c>
      <c r="AX48" s="40">
        <f t="shared" si="57"/>
        <v>5</v>
      </c>
    </row>
    <row r="49" spans="1:50">
      <c r="A49" s="27" t="s">
        <v>131</v>
      </c>
      <c r="B49" s="34"/>
      <c r="C49" s="34">
        <f t="shared" si="55"/>
        <v>35</v>
      </c>
      <c r="D49" s="34"/>
      <c r="E49" s="34"/>
      <c r="F49" s="34"/>
      <c r="G49" s="34"/>
      <c r="H49" s="34"/>
      <c r="I49" s="34"/>
      <c r="J49" s="40"/>
      <c r="K49" s="40">
        <f t="shared" ref="K49:AX49" si="58">K42/$C49</f>
        <v>0</v>
      </c>
      <c r="L49" s="40">
        <f t="shared" si="58"/>
        <v>0</v>
      </c>
      <c r="M49" s="40">
        <f t="shared" si="58"/>
        <v>0</v>
      </c>
      <c r="N49" s="40">
        <f t="shared" si="58"/>
        <v>0</v>
      </c>
      <c r="O49" s="40">
        <f t="shared" si="58"/>
        <v>0</v>
      </c>
      <c r="P49" s="40">
        <f t="shared" si="58"/>
        <v>0</v>
      </c>
      <c r="Q49" s="40">
        <f t="shared" si="58"/>
        <v>0</v>
      </c>
      <c r="R49" s="40">
        <f t="shared" si="58"/>
        <v>0</v>
      </c>
      <c r="S49" s="40">
        <f t="shared" si="58"/>
        <v>0</v>
      </c>
      <c r="T49" s="40">
        <f t="shared" si="58"/>
        <v>0</v>
      </c>
      <c r="U49" s="40">
        <f t="shared" si="58"/>
        <v>0</v>
      </c>
      <c r="V49" s="40">
        <f t="shared" si="58"/>
        <v>0</v>
      </c>
      <c r="W49" s="40">
        <f t="shared" si="58"/>
        <v>0</v>
      </c>
      <c r="X49" s="40">
        <f t="shared" si="58"/>
        <v>0</v>
      </c>
      <c r="Y49" s="40">
        <f t="shared" si="58"/>
        <v>0</v>
      </c>
      <c r="Z49" s="40">
        <f t="shared" si="58"/>
        <v>0</v>
      </c>
      <c r="AA49" s="40">
        <f t="shared" si="58"/>
        <v>0</v>
      </c>
      <c r="AB49" s="40">
        <f t="shared" si="58"/>
        <v>0</v>
      </c>
      <c r="AC49" s="40">
        <f t="shared" si="58"/>
        <v>0</v>
      </c>
      <c r="AD49" s="40">
        <f t="shared" si="58"/>
        <v>0</v>
      </c>
      <c r="AE49" s="40">
        <f t="shared" si="58"/>
        <v>0</v>
      </c>
      <c r="AF49" s="40">
        <f t="shared" si="58"/>
        <v>0</v>
      </c>
      <c r="AG49" s="40">
        <f t="shared" si="58"/>
        <v>0</v>
      </c>
      <c r="AH49" s="40">
        <f t="shared" si="58"/>
        <v>0</v>
      </c>
      <c r="AI49" s="40">
        <f t="shared" si="58"/>
        <v>0</v>
      </c>
      <c r="AJ49" s="40">
        <f t="shared" si="58"/>
        <v>0</v>
      </c>
      <c r="AK49" s="40">
        <f t="shared" si="58"/>
        <v>0</v>
      </c>
      <c r="AL49" s="40">
        <f t="shared" si="58"/>
        <v>0</v>
      </c>
      <c r="AM49" s="40">
        <f t="shared" si="58"/>
        <v>0</v>
      </c>
      <c r="AN49" s="40">
        <f t="shared" si="58"/>
        <v>0</v>
      </c>
      <c r="AO49" s="40">
        <f t="shared" si="58"/>
        <v>0</v>
      </c>
      <c r="AP49" s="40">
        <f t="shared" si="58"/>
        <v>0</v>
      </c>
      <c r="AQ49" s="40">
        <f t="shared" si="58"/>
        <v>0</v>
      </c>
      <c r="AR49" s="40">
        <f t="shared" si="58"/>
        <v>0</v>
      </c>
      <c r="AS49" s="40">
        <f t="shared" si="58"/>
        <v>0</v>
      </c>
      <c r="AT49" s="40">
        <f t="shared" si="58"/>
        <v>0</v>
      </c>
      <c r="AU49" s="40">
        <f t="shared" si="58"/>
        <v>0</v>
      </c>
      <c r="AV49" s="40">
        <f t="shared" si="58"/>
        <v>0</v>
      </c>
      <c r="AW49" s="40">
        <f t="shared" si="58"/>
        <v>0</v>
      </c>
      <c r="AX49" s="40">
        <f t="shared" si="58"/>
        <v>0</v>
      </c>
    </row>
    <row r="50" spans="1:50">
      <c r="A50" s="27" t="s">
        <v>132</v>
      </c>
      <c r="B50" s="34"/>
      <c r="C50" s="34">
        <f t="shared" si="55"/>
        <v>40</v>
      </c>
      <c r="D50" s="34"/>
      <c r="E50" s="34"/>
      <c r="F50" s="34"/>
      <c r="G50" s="34"/>
      <c r="H50" s="34"/>
      <c r="I50" s="34"/>
      <c r="J50" s="40"/>
      <c r="K50" s="40">
        <f t="shared" ref="K50:AX50" si="59">K43/$C50</f>
        <v>0</v>
      </c>
      <c r="L50" s="40">
        <f t="shared" si="59"/>
        <v>0</v>
      </c>
      <c r="M50" s="40">
        <f t="shared" si="59"/>
        <v>0</v>
      </c>
      <c r="N50" s="40">
        <f t="shared" si="59"/>
        <v>0</v>
      </c>
      <c r="O50" s="40">
        <f t="shared" si="59"/>
        <v>0</v>
      </c>
      <c r="P50" s="40">
        <f t="shared" si="59"/>
        <v>0</v>
      </c>
      <c r="Q50" s="40">
        <f t="shared" si="59"/>
        <v>0</v>
      </c>
      <c r="R50" s="40">
        <f t="shared" si="59"/>
        <v>0</v>
      </c>
      <c r="S50" s="40">
        <f t="shared" si="59"/>
        <v>0</v>
      </c>
      <c r="T50" s="40">
        <f t="shared" si="59"/>
        <v>0</v>
      </c>
      <c r="U50" s="40">
        <f t="shared" si="59"/>
        <v>0</v>
      </c>
      <c r="V50" s="40">
        <f t="shared" si="59"/>
        <v>0</v>
      </c>
      <c r="W50" s="40">
        <f t="shared" si="59"/>
        <v>0</v>
      </c>
      <c r="X50" s="40">
        <f t="shared" si="59"/>
        <v>0</v>
      </c>
      <c r="Y50" s="40">
        <f t="shared" si="59"/>
        <v>0</v>
      </c>
      <c r="Z50" s="40">
        <f t="shared" si="59"/>
        <v>0</v>
      </c>
      <c r="AA50" s="40">
        <f t="shared" si="59"/>
        <v>0</v>
      </c>
      <c r="AB50" s="40">
        <f t="shared" si="59"/>
        <v>0</v>
      </c>
      <c r="AC50" s="40">
        <f t="shared" si="59"/>
        <v>0</v>
      </c>
      <c r="AD50" s="40">
        <f t="shared" si="59"/>
        <v>0</v>
      </c>
      <c r="AE50" s="40">
        <f t="shared" si="59"/>
        <v>0</v>
      </c>
      <c r="AF50" s="40">
        <f t="shared" si="59"/>
        <v>0</v>
      </c>
      <c r="AG50" s="40">
        <f t="shared" si="59"/>
        <v>0</v>
      </c>
      <c r="AH50" s="40">
        <f t="shared" si="59"/>
        <v>0</v>
      </c>
      <c r="AI50" s="40">
        <f t="shared" si="59"/>
        <v>0</v>
      </c>
      <c r="AJ50" s="40">
        <f t="shared" si="59"/>
        <v>0</v>
      </c>
      <c r="AK50" s="40">
        <f t="shared" si="59"/>
        <v>0</v>
      </c>
      <c r="AL50" s="40">
        <f t="shared" si="59"/>
        <v>0</v>
      </c>
      <c r="AM50" s="40">
        <f t="shared" si="59"/>
        <v>0</v>
      </c>
      <c r="AN50" s="40">
        <f t="shared" si="59"/>
        <v>0</v>
      </c>
      <c r="AO50" s="40">
        <f t="shared" si="59"/>
        <v>0</v>
      </c>
      <c r="AP50" s="40">
        <f t="shared" si="59"/>
        <v>0</v>
      </c>
      <c r="AQ50" s="40">
        <f t="shared" si="59"/>
        <v>0</v>
      </c>
      <c r="AR50" s="40">
        <f t="shared" si="59"/>
        <v>0</v>
      </c>
      <c r="AS50" s="40">
        <f t="shared" si="59"/>
        <v>0</v>
      </c>
      <c r="AT50" s="40">
        <f t="shared" si="59"/>
        <v>0</v>
      </c>
      <c r="AU50" s="40">
        <f t="shared" si="59"/>
        <v>0</v>
      </c>
      <c r="AV50" s="40">
        <f t="shared" si="59"/>
        <v>0</v>
      </c>
      <c r="AW50" s="40">
        <f t="shared" si="59"/>
        <v>0</v>
      </c>
      <c r="AX50" s="40">
        <f t="shared" si="59"/>
        <v>0</v>
      </c>
    </row>
    <row r="51" spans="1:50">
      <c r="A51" s="25"/>
      <c r="C51" s="34"/>
      <c r="D51" s="21"/>
      <c r="E51" s="21"/>
      <c r="F51" s="21"/>
      <c r="G51" s="21"/>
      <c r="H51" s="21"/>
      <c r="I51" s="21"/>
      <c r="J51" s="89"/>
      <c r="K51" s="89">
        <f t="shared" ref="K51:AX51" si="60">SUM(K46:K50)</f>
        <v>154.93253582330394</v>
      </c>
      <c r="L51" s="89">
        <f t="shared" si="60"/>
        <v>456.28269673426956</v>
      </c>
      <c r="M51" s="89">
        <f t="shared" si="60"/>
        <v>270.27903147931079</v>
      </c>
      <c r="N51" s="89">
        <f t="shared" si="60"/>
        <v>368.61753083164422</v>
      </c>
      <c r="O51" s="89">
        <f t="shared" si="60"/>
        <v>279.71637580583177</v>
      </c>
      <c r="P51" s="89">
        <f t="shared" si="60"/>
        <v>127.29633374473619</v>
      </c>
      <c r="Q51" s="89">
        <f t="shared" si="60"/>
        <v>115.78096805369471</v>
      </c>
      <c r="R51" s="89">
        <f t="shared" si="60"/>
        <v>140.03946041102111</v>
      </c>
      <c r="S51" s="89">
        <f t="shared" si="60"/>
        <v>168.66539918452452</v>
      </c>
      <c r="T51" s="89">
        <f t="shared" si="60"/>
        <v>115.74894239424182</v>
      </c>
      <c r="U51" s="89">
        <f t="shared" si="60"/>
        <v>129.81946042153695</v>
      </c>
      <c r="V51" s="89">
        <f t="shared" si="60"/>
        <v>51.788136085210624</v>
      </c>
      <c r="W51" s="89">
        <f t="shared" si="60"/>
        <v>42.006925456979843</v>
      </c>
      <c r="X51" s="89">
        <f t="shared" si="60"/>
        <v>38.641173174438613</v>
      </c>
      <c r="Y51" s="89">
        <f t="shared" si="60"/>
        <v>35.65138780022825</v>
      </c>
      <c r="Z51" s="89">
        <f t="shared" si="60"/>
        <v>34.913611594933997</v>
      </c>
      <c r="AA51" s="89">
        <f t="shared" si="60"/>
        <v>34.544723492286877</v>
      </c>
      <c r="AB51" s="89">
        <f t="shared" si="60"/>
        <v>34.544723492286877</v>
      </c>
      <c r="AC51" s="89">
        <f t="shared" si="60"/>
        <v>36.667320645330015</v>
      </c>
      <c r="AD51" s="89">
        <f t="shared" si="60"/>
        <v>38.302775658747827</v>
      </c>
      <c r="AE51" s="89">
        <f t="shared" si="60"/>
        <v>41.50491003413957</v>
      </c>
      <c r="AF51" s="89">
        <f t="shared" si="60"/>
        <v>49.713078322898525</v>
      </c>
      <c r="AG51" s="89">
        <f t="shared" si="60"/>
        <v>43.813557592835437</v>
      </c>
      <c r="AH51" s="89">
        <f t="shared" si="60"/>
        <v>48.507898244668063</v>
      </c>
      <c r="AI51" s="89">
        <f t="shared" si="60"/>
        <v>45.505332050501963</v>
      </c>
      <c r="AJ51" s="89">
        <f t="shared" si="60"/>
        <v>43.089648645341285</v>
      </c>
      <c r="AK51" s="89">
        <f t="shared" si="60"/>
        <v>42.007353412559553</v>
      </c>
      <c r="AL51" s="89">
        <f t="shared" si="60"/>
        <v>42.088838690046046</v>
      </c>
      <c r="AM51" s="89">
        <f t="shared" si="60"/>
        <v>44.281343789497797</v>
      </c>
      <c r="AN51" s="89">
        <f t="shared" si="60"/>
        <v>41.967940057243304</v>
      </c>
      <c r="AO51" s="89">
        <f t="shared" si="60"/>
        <v>43.053192186652154</v>
      </c>
      <c r="AP51" s="89">
        <f t="shared" si="60"/>
        <v>40.357697784357491</v>
      </c>
      <c r="AQ51" s="89">
        <f t="shared" si="60"/>
        <v>37.732116148313381</v>
      </c>
      <c r="AR51" s="89">
        <f t="shared" si="60"/>
        <v>38.302467887670105</v>
      </c>
      <c r="AS51" s="89">
        <f t="shared" si="60"/>
        <v>37.96918286751179</v>
      </c>
      <c r="AT51" s="89">
        <f t="shared" si="60"/>
        <v>36.790378684856904</v>
      </c>
      <c r="AU51" s="89">
        <f t="shared" si="60"/>
        <v>36.442591375843939</v>
      </c>
      <c r="AV51" s="89">
        <f t="shared" si="60"/>
        <v>36.903240119695859</v>
      </c>
      <c r="AW51" s="89">
        <f t="shared" si="60"/>
        <v>37.765829717976999</v>
      </c>
      <c r="AX51" s="89">
        <f t="shared" si="60"/>
        <v>38.600187037795273</v>
      </c>
    </row>
    <row r="52" spans="1:50">
      <c r="A52" s="35"/>
      <c r="C52" s="34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</row>
    <row r="53" spans="1:50">
      <c r="A53" s="25" t="s">
        <v>138</v>
      </c>
      <c r="B53" s="34"/>
      <c r="C53" s="34">
        <f t="shared" si="55"/>
        <v>40</v>
      </c>
      <c r="D53" s="21"/>
      <c r="E53" s="21"/>
      <c r="F53" s="21"/>
      <c r="G53" s="21"/>
      <c r="H53" s="21"/>
      <c r="I53" s="21"/>
      <c r="J53" s="40"/>
      <c r="K53" s="40">
        <f>$K$35/$C$53</f>
        <v>51.822104156849036</v>
      </c>
      <c r="L53" s="40">
        <f t="shared" ref="L53:AX53" si="61">$K$35/$C$53</f>
        <v>51.822104156849036</v>
      </c>
      <c r="M53" s="40">
        <f t="shared" si="61"/>
        <v>51.822104156849036</v>
      </c>
      <c r="N53" s="40">
        <f t="shared" si="61"/>
        <v>51.822104156849036</v>
      </c>
      <c r="O53" s="40">
        <f t="shared" si="61"/>
        <v>51.822104156849036</v>
      </c>
      <c r="P53" s="40">
        <f t="shared" si="61"/>
        <v>51.822104156849036</v>
      </c>
      <c r="Q53" s="40">
        <f t="shared" si="61"/>
        <v>51.822104156849036</v>
      </c>
      <c r="R53" s="40">
        <f t="shared" si="61"/>
        <v>51.822104156849036</v>
      </c>
      <c r="S53" s="40">
        <f t="shared" si="61"/>
        <v>51.822104156849036</v>
      </c>
      <c r="T53" s="40">
        <f t="shared" si="61"/>
        <v>51.822104156849036</v>
      </c>
      <c r="U53" s="40">
        <f t="shared" si="61"/>
        <v>51.822104156849036</v>
      </c>
      <c r="V53" s="40">
        <f t="shared" si="61"/>
        <v>51.822104156849036</v>
      </c>
      <c r="W53" s="40">
        <f t="shared" si="61"/>
        <v>51.822104156849036</v>
      </c>
      <c r="X53" s="40">
        <f t="shared" si="61"/>
        <v>51.822104156849036</v>
      </c>
      <c r="Y53" s="40">
        <f t="shared" si="61"/>
        <v>51.822104156849036</v>
      </c>
      <c r="Z53" s="40">
        <f t="shared" si="61"/>
        <v>51.822104156849036</v>
      </c>
      <c r="AA53" s="40">
        <f t="shared" si="61"/>
        <v>51.822104156849036</v>
      </c>
      <c r="AB53" s="40">
        <f t="shared" si="61"/>
        <v>51.822104156849036</v>
      </c>
      <c r="AC53" s="40">
        <f t="shared" si="61"/>
        <v>51.822104156849036</v>
      </c>
      <c r="AD53" s="40">
        <f t="shared" si="61"/>
        <v>51.822104156849036</v>
      </c>
      <c r="AE53" s="40">
        <f t="shared" si="61"/>
        <v>51.822104156849036</v>
      </c>
      <c r="AF53" s="40">
        <f t="shared" si="61"/>
        <v>51.822104156849036</v>
      </c>
      <c r="AG53" s="40">
        <f t="shared" si="61"/>
        <v>51.822104156849036</v>
      </c>
      <c r="AH53" s="40">
        <f t="shared" si="61"/>
        <v>51.822104156849036</v>
      </c>
      <c r="AI53" s="40">
        <f t="shared" si="61"/>
        <v>51.822104156849036</v>
      </c>
      <c r="AJ53" s="40">
        <f t="shared" si="61"/>
        <v>51.822104156849036</v>
      </c>
      <c r="AK53" s="40">
        <f t="shared" si="61"/>
        <v>51.822104156849036</v>
      </c>
      <c r="AL53" s="40">
        <f t="shared" si="61"/>
        <v>51.822104156849036</v>
      </c>
      <c r="AM53" s="40">
        <f t="shared" si="61"/>
        <v>51.822104156849036</v>
      </c>
      <c r="AN53" s="40">
        <f t="shared" si="61"/>
        <v>51.822104156849036</v>
      </c>
      <c r="AO53" s="40">
        <f t="shared" si="61"/>
        <v>51.822104156849036</v>
      </c>
      <c r="AP53" s="40">
        <f t="shared" si="61"/>
        <v>51.822104156849036</v>
      </c>
      <c r="AQ53" s="40">
        <f t="shared" si="61"/>
        <v>51.822104156849036</v>
      </c>
      <c r="AR53" s="40">
        <f t="shared" si="61"/>
        <v>51.822104156849036</v>
      </c>
      <c r="AS53" s="40">
        <f t="shared" si="61"/>
        <v>51.822104156849036</v>
      </c>
      <c r="AT53" s="40">
        <f t="shared" si="61"/>
        <v>51.822104156849036</v>
      </c>
      <c r="AU53" s="40">
        <f t="shared" si="61"/>
        <v>51.822104156849036</v>
      </c>
      <c r="AV53" s="40">
        <f t="shared" si="61"/>
        <v>51.822104156849036</v>
      </c>
      <c r="AW53" s="40">
        <f t="shared" si="61"/>
        <v>51.822104156849036</v>
      </c>
      <c r="AX53" s="40">
        <f t="shared" si="61"/>
        <v>51.822104156849036</v>
      </c>
    </row>
    <row r="54" spans="1:50">
      <c r="A54" s="27" t="s">
        <v>133</v>
      </c>
      <c r="B54" s="21"/>
      <c r="C54" s="21"/>
      <c r="D54" s="21"/>
      <c r="E54" s="21"/>
      <c r="F54" s="21"/>
      <c r="G54" s="21"/>
      <c r="H54" s="21"/>
      <c r="I54" s="21"/>
      <c r="J54" s="94"/>
      <c r="K54" s="94">
        <f>SUM($K$46:K$46)</f>
        <v>48.37382689848198</v>
      </c>
      <c r="L54" s="94">
        <f>SUM($K$46:L$46)</f>
        <v>367.45249489701678</v>
      </c>
      <c r="M54" s="94">
        <f>SUM($K$46:M$46)</f>
        <v>510.34275736768188</v>
      </c>
      <c r="N54" s="94">
        <f>SUM($K$46:N$46)</f>
        <v>725.85164692836474</v>
      </c>
      <c r="O54" s="94">
        <f>SUM($K$46:O$46)</f>
        <v>879.70621421190071</v>
      </c>
      <c r="P54" s="94">
        <f>SUM($K$46:P$46)</f>
        <v>976.38473161747709</v>
      </c>
      <c r="Q54" s="94">
        <f>SUM($K$46:Q$46)</f>
        <v>1061.5489036805122</v>
      </c>
      <c r="R54" s="94">
        <f>SUM($K$46:R$46)</f>
        <v>1168.9601309964326</v>
      </c>
      <c r="S54" s="94">
        <f>SUM($K$46:S$46)</f>
        <v>1297.1401406364598</v>
      </c>
      <c r="T54" s="94">
        <f>SUM($K$46:T$46)</f>
        <v>1374.9083255082498</v>
      </c>
      <c r="U54" s="94">
        <f>SUM($K$46:U$46)</f>
        <v>1468.1205780965174</v>
      </c>
      <c r="V54" s="94">
        <f>SUM($K$46:V$46)</f>
        <v>1494.0603132708015</v>
      </c>
      <c r="W54" s="94">
        <f>SUM($K$46:W$46)</f>
        <v>1514.6921436490798</v>
      </c>
      <c r="X54" s="94">
        <f>SUM($K$46:X$46)</f>
        <v>1534.4928814470702</v>
      </c>
      <c r="Y54" s="94">
        <f>SUM($K$46:Y$46)</f>
        <v>1553.3133987140516</v>
      </c>
      <c r="Z54" s="94">
        <f>SUM($K$46:Z$46)</f>
        <v>1571.8836250498255</v>
      </c>
      <c r="AA54" s="94">
        <f>SUM($K$46:AA$46)</f>
        <v>1590.3287059199956</v>
      </c>
      <c r="AB54" s="94">
        <f>SUM($K$46:AB$46)</f>
        <v>1608.7737867901658</v>
      </c>
      <c r="AC54" s="94">
        <f>SUM($K$46:AC$46)</f>
        <v>1628.6323616713964</v>
      </c>
      <c r="AD54" s="94">
        <f>SUM($K$46:AD$46)</f>
        <v>1649.7498902930083</v>
      </c>
      <c r="AE54" s="94">
        <f>SUM($K$46:AE$46)</f>
        <v>1669.9450331591129</v>
      </c>
      <c r="AF54" s="94">
        <f>SUM($K$46:AF$46)</f>
        <v>1699.142087269229</v>
      </c>
      <c r="AG54" s="94">
        <f>SUM($K$46:AG$46)</f>
        <v>1716.4516982153591</v>
      </c>
      <c r="AH54" s="94">
        <f>SUM($K$46:AH$46)</f>
        <v>1733.0503911740875</v>
      </c>
      <c r="AI54" s="94">
        <f>SUM($K$46:AI$46)</f>
        <v>1748.5625266209859</v>
      </c>
      <c r="AJ54" s="94">
        <f>SUM($K$46:AJ$46)</f>
        <v>1764.646040634874</v>
      </c>
      <c r="AK54" s="94">
        <f>SUM($K$46:AK$46)</f>
        <v>1780.0863193253701</v>
      </c>
      <c r="AL54" s="94">
        <f>SUM($K$46:AL$46)</f>
        <v>1794.5821302150071</v>
      </c>
      <c r="AM54" s="94">
        <f>SUM($K$46:AM$46)</f>
        <v>1809.0356362026475</v>
      </c>
      <c r="AN54" s="94">
        <f>SUM($K$46:AN$46)</f>
        <v>1823.381066049006</v>
      </c>
      <c r="AO54" s="94">
        <f>SUM($K$46:AO$46)</f>
        <v>1837.515850747229</v>
      </c>
      <c r="AP54" s="94">
        <f>SUM($K$46:AP$46)</f>
        <v>1851.6508754220981</v>
      </c>
      <c r="AQ54" s="94">
        <f>SUM($K$46:AQ$46)</f>
        <v>1865.7861338493631</v>
      </c>
      <c r="AR54" s="94">
        <f>SUM($K$46:AR$46)</f>
        <v>1880.5830654485469</v>
      </c>
      <c r="AS54" s="94">
        <f>SUM($K$46:AS$46)</f>
        <v>1895.5003401650893</v>
      </c>
      <c r="AT54" s="94">
        <f>SUM($K$46:AT$46)</f>
        <v>1909.7229096820242</v>
      </c>
      <c r="AU54" s="94">
        <f>SUM($K$46:AU$46)</f>
        <v>1923.7590243216912</v>
      </c>
      <c r="AV54" s="94">
        <f>SUM($K$46:AV$46)</f>
        <v>1938.1018972360989</v>
      </c>
      <c r="AW54" s="94">
        <f>SUM($K$46:AW$46)</f>
        <v>1952.546959783768</v>
      </c>
      <c r="AX54" s="94">
        <f>SUM($K$46:AX$46)</f>
        <v>1967.8239346614494</v>
      </c>
    </row>
    <row r="55" spans="1:50">
      <c r="A55" s="27" t="s">
        <v>134</v>
      </c>
      <c r="B55" s="21"/>
      <c r="C55" s="21"/>
      <c r="D55" s="21"/>
      <c r="E55" s="21"/>
      <c r="F55" s="21"/>
      <c r="G55" s="21"/>
      <c r="H55" s="21"/>
      <c r="I55" s="21"/>
      <c r="J55" s="94"/>
      <c r="K55" s="94">
        <f>SUM($K$47:K$47)</f>
        <v>13.181552198240761</v>
      </c>
      <c r="L55" s="94">
        <f>SUM($K$47:L$47)</f>
        <v>57.792871540778506</v>
      </c>
      <c r="M55" s="94">
        <f>SUM($K$47:M$47)</f>
        <v>93.194087274614219</v>
      </c>
      <c r="N55" s="94">
        <f>SUM(K$47:N$47)</f>
        <v>154.91637628372348</v>
      </c>
      <c r="O55" s="94">
        <f>SUM(K$47:O$47)</f>
        <v>189.98910430099093</v>
      </c>
      <c r="P55" s="94">
        <f>SUM(K$47:P$47)</f>
        <v>209.76013494790215</v>
      </c>
      <c r="Q55" s="94">
        <f>SUM(K$47:Q$47)</f>
        <v>229.595682598135</v>
      </c>
      <c r="R55" s="94">
        <f>SUM(K$47:R$47)</f>
        <v>251.37423848683306</v>
      </c>
      <c r="S55" s="94">
        <f>SUM(K$47:S$47)</f>
        <v>281.01569984733192</v>
      </c>
      <c r="T55" s="94">
        <f>SUM(K$47:T$47)</f>
        <v>308.15827516190035</v>
      </c>
      <c r="U55" s="94">
        <f>SUM(K$47:U$47)</f>
        <v>333.93304371872586</v>
      </c>
      <c r="V55" s="94">
        <f>SUM(K$47:V$47)</f>
        <v>354.78144462965241</v>
      </c>
      <c r="W55" s="94">
        <f>SUM(K$47:W$47)</f>
        <v>371.15653970835405</v>
      </c>
      <c r="X55" s="94">
        <f>SUM(K$47:X$47)</f>
        <v>384.99697508480227</v>
      </c>
      <c r="Y55" s="94">
        <f t="shared" ref="Y55:AX55" si="62">SUM(K$47:Y$47)</f>
        <v>396.82784561804908</v>
      </c>
      <c r="Z55" s="94">
        <f t="shared" si="62"/>
        <v>394.9896786789684</v>
      </c>
      <c r="AA55" s="94">
        <f t="shared" si="62"/>
        <v>361.47800195854734</v>
      </c>
      <c r="AB55" s="94">
        <f t="shared" si="62"/>
        <v>337.17642884682834</v>
      </c>
      <c r="AC55" s="94">
        <f t="shared" si="62"/>
        <v>287.26288560181837</v>
      </c>
      <c r="AD55" s="94">
        <f t="shared" si="62"/>
        <v>264.37540462168676</v>
      </c>
      <c r="AE55" s="94">
        <f t="shared" si="62"/>
        <v>260.91414114281048</v>
      </c>
      <c r="AF55" s="94">
        <f t="shared" si="62"/>
        <v>256.59461770536001</v>
      </c>
      <c r="AG55" s="94">
        <f t="shared" si="62"/>
        <v>256.32000846336746</v>
      </c>
      <c r="AH55" s="94">
        <f t="shared" si="62"/>
        <v>253.58775238880813</v>
      </c>
      <c r="AI55" s="94">
        <f t="shared" si="62"/>
        <v>251.43837367784337</v>
      </c>
      <c r="AJ55" s="94">
        <f t="shared" si="62"/>
        <v>247.66973975247109</v>
      </c>
      <c r="AK55" s="94">
        <f t="shared" si="62"/>
        <v>248.38841356360791</v>
      </c>
      <c r="AL55" s="94">
        <f t="shared" si="62"/>
        <v>254.60634628531545</v>
      </c>
      <c r="AM55" s="94">
        <f t="shared" si="62"/>
        <v>265.59374871072447</v>
      </c>
      <c r="AN55" s="94">
        <f t="shared" si="62"/>
        <v>276.38538838836251</v>
      </c>
      <c r="AO55" s="94">
        <f t="shared" si="62"/>
        <v>288.96041061763157</v>
      </c>
      <c r="AP55" s="94">
        <f t="shared" si="62"/>
        <v>299.08344110500332</v>
      </c>
      <c r="AQ55" s="94">
        <f t="shared" si="62"/>
        <v>306.58065620393501</v>
      </c>
      <c r="AR55" s="94">
        <f t="shared" si="62"/>
        <v>313.27744672832199</v>
      </c>
      <c r="AS55" s="94">
        <f t="shared" si="62"/>
        <v>319.14410784215562</v>
      </c>
      <c r="AT55" s="94">
        <f t="shared" si="62"/>
        <v>320.40214984204255</v>
      </c>
      <c r="AU55" s="94">
        <f t="shared" si="62"/>
        <v>322.29260236543723</v>
      </c>
      <c r="AV55" s="94">
        <f t="shared" si="62"/>
        <v>318.34902292402001</v>
      </c>
      <c r="AW55" s="94">
        <f t="shared" si="62"/>
        <v>309.76058480838844</v>
      </c>
      <c r="AX55" s="94">
        <f t="shared" si="62"/>
        <v>303.09060036489871</v>
      </c>
    </row>
    <row r="56" spans="1:50">
      <c r="A56" s="27" t="s">
        <v>135</v>
      </c>
      <c r="B56" s="21"/>
      <c r="C56" s="21"/>
      <c r="D56" s="21"/>
      <c r="E56" s="21"/>
      <c r="F56" s="21"/>
      <c r="G56" s="21"/>
      <c r="H56" s="21"/>
      <c r="I56" s="21"/>
      <c r="J56" s="94"/>
      <c r="K56" s="94">
        <f>SUM(K$48:K$48)</f>
        <v>93.377156726581191</v>
      </c>
      <c r="L56" s="94">
        <f>SUM(K$48:L$48)</f>
        <v>185.96986611977823</v>
      </c>
      <c r="M56" s="94">
        <f>SUM(K$48:M$48)</f>
        <v>277.95741939458821</v>
      </c>
      <c r="N56" s="94">
        <f>SUM(K$48:N$48)</f>
        <v>369.34377165644025</v>
      </c>
      <c r="O56" s="94">
        <f t="shared" ref="O56:AX56" si="63">SUM(K$48:O$48)</f>
        <v>460.13285216146863</v>
      </c>
      <c r="P56" s="94">
        <f t="shared" si="63"/>
        <v>377.60248112713606</v>
      </c>
      <c r="Q56" s="94">
        <f t="shared" si="63"/>
        <v>295.79102007436569</v>
      </c>
      <c r="R56" s="94">
        <f t="shared" si="63"/>
        <v>214.65314400595841</v>
      </c>
      <c r="S56" s="94">
        <f t="shared" si="63"/>
        <v>134.11071992810466</v>
      </c>
      <c r="T56" s="94">
        <f t="shared" si="63"/>
        <v>54.159821630959684</v>
      </c>
      <c r="U56" s="94">
        <f t="shared" si="63"/>
        <v>54.145475215155045</v>
      </c>
      <c r="V56" s="94">
        <f t="shared" si="63"/>
        <v>48.364226874728374</v>
      </c>
      <c r="W56" s="94">
        <f t="shared" si="63"/>
        <v>42.514549668325685</v>
      </c>
      <c r="X56" s="94">
        <f t="shared" si="63"/>
        <v>36.670621484327413</v>
      </c>
      <c r="Y56" s="94">
        <f t="shared" si="63"/>
        <v>30.832439276443992</v>
      </c>
      <c r="Z56" s="94">
        <f t="shared" si="63"/>
        <v>25</v>
      </c>
      <c r="AA56" s="94">
        <f t="shared" si="63"/>
        <v>25</v>
      </c>
      <c r="AB56" s="94">
        <f t="shared" si="63"/>
        <v>25</v>
      </c>
      <c r="AC56" s="94">
        <f t="shared" si="63"/>
        <v>25</v>
      </c>
      <c r="AD56" s="94">
        <f t="shared" si="63"/>
        <v>25</v>
      </c>
      <c r="AE56" s="94">
        <f t="shared" si="63"/>
        <v>25</v>
      </c>
      <c r="AF56" s="94">
        <f t="shared" si="63"/>
        <v>25</v>
      </c>
      <c r="AG56" s="94">
        <f t="shared" si="63"/>
        <v>25</v>
      </c>
      <c r="AH56" s="94">
        <f t="shared" si="63"/>
        <v>25</v>
      </c>
      <c r="AI56" s="94">
        <f t="shared" si="63"/>
        <v>25</v>
      </c>
      <c r="AJ56" s="94">
        <f t="shared" si="63"/>
        <v>25</v>
      </c>
      <c r="AK56" s="94">
        <f t="shared" si="63"/>
        <v>25</v>
      </c>
      <c r="AL56" s="94">
        <f t="shared" si="63"/>
        <v>25</v>
      </c>
      <c r="AM56" s="94">
        <f t="shared" si="63"/>
        <v>25</v>
      </c>
      <c r="AN56" s="94">
        <f t="shared" si="63"/>
        <v>25</v>
      </c>
      <c r="AO56" s="94">
        <f t="shared" si="63"/>
        <v>25</v>
      </c>
      <c r="AP56" s="94">
        <f t="shared" si="63"/>
        <v>25</v>
      </c>
      <c r="AQ56" s="94">
        <f t="shared" si="63"/>
        <v>25</v>
      </c>
      <c r="AR56" s="94">
        <f t="shared" si="63"/>
        <v>25</v>
      </c>
      <c r="AS56" s="94">
        <f t="shared" si="63"/>
        <v>25</v>
      </c>
      <c r="AT56" s="94">
        <f t="shared" si="63"/>
        <v>25</v>
      </c>
      <c r="AU56" s="94">
        <f t="shared" si="63"/>
        <v>25</v>
      </c>
      <c r="AV56" s="94">
        <f t="shared" si="63"/>
        <v>25</v>
      </c>
      <c r="AW56" s="94">
        <f t="shared" si="63"/>
        <v>25</v>
      </c>
      <c r="AX56" s="94">
        <f t="shared" si="63"/>
        <v>25</v>
      </c>
    </row>
    <row r="57" spans="1:50">
      <c r="A57" s="27" t="s">
        <v>136</v>
      </c>
      <c r="B57" s="21"/>
      <c r="C57" s="21"/>
      <c r="D57" s="21"/>
      <c r="E57" s="21"/>
      <c r="F57" s="21"/>
      <c r="G57" s="21"/>
      <c r="H57" s="21"/>
      <c r="I57" s="21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</row>
    <row r="58" spans="1:50">
      <c r="A58" s="27" t="s">
        <v>137</v>
      </c>
      <c r="B58" s="21"/>
      <c r="C58" s="21"/>
      <c r="D58" s="21"/>
      <c r="E58" s="21"/>
      <c r="F58" s="21"/>
      <c r="G58" s="21"/>
      <c r="H58" s="21"/>
      <c r="I58" s="21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</row>
    <row r="59" spans="1:50">
      <c r="A59" s="25"/>
      <c r="C59" s="21"/>
      <c r="D59" s="21"/>
      <c r="E59" s="21"/>
      <c r="F59" s="21"/>
      <c r="G59" s="21"/>
      <c r="H59" s="21"/>
      <c r="I59" s="21"/>
      <c r="J59" s="89"/>
      <c r="K59" s="89">
        <f t="shared" ref="K59:AX59" si="64">SUM(K53:K58)</f>
        <v>206.75463998015297</v>
      </c>
      <c r="L59" s="89">
        <f t="shared" si="64"/>
        <v>663.03733671442251</v>
      </c>
      <c r="M59" s="89">
        <f t="shared" si="64"/>
        <v>933.3163681937333</v>
      </c>
      <c r="N59" s="89">
        <f t="shared" si="64"/>
        <v>1301.9338990253775</v>
      </c>
      <c r="O59" s="89">
        <f t="shared" si="64"/>
        <v>1581.6502748312093</v>
      </c>
      <c r="P59" s="89">
        <f t="shared" si="64"/>
        <v>1615.5694518493642</v>
      </c>
      <c r="Q59" s="89">
        <f t="shared" si="64"/>
        <v>1638.7577105098619</v>
      </c>
      <c r="R59" s="89">
        <f t="shared" si="64"/>
        <v>1686.8096176460731</v>
      </c>
      <c r="S59" s="89">
        <f t="shared" si="64"/>
        <v>1764.0886645687453</v>
      </c>
      <c r="T59" s="89">
        <f t="shared" si="64"/>
        <v>1789.0485264579588</v>
      </c>
      <c r="U59" s="89">
        <f t="shared" si="64"/>
        <v>1908.0212011872475</v>
      </c>
      <c r="V59" s="89">
        <f t="shared" si="64"/>
        <v>1949.0280889320313</v>
      </c>
      <c r="W59" s="89">
        <f t="shared" si="64"/>
        <v>1980.1853371826087</v>
      </c>
      <c r="X59" s="89">
        <f t="shared" si="64"/>
        <v>2007.982582173049</v>
      </c>
      <c r="Y59" s="89">
        <f t="shared" si="64"/>
        <v>2032.7957877653935</v>
      </c>
      <c r="Z59" s="89">
        <f t="shared" si="64"/>
        <v>2043.6954078856429</v>
      </c>
      <c r="AA59" s="89">
        <f t="shared" si="64"/>
        <v>2028.628812035392</v>
      </c>
      <c r="AB59" s="89">
        <f t="shared" si="64"/>
        <v>2022.7723197938431</v>
      </c>
      <c r="AC59" s="89">
        <f t="shared" si="64"/>
        <v>1992.7173514300639</v>
      </c>
      <c r="AD59" s="89">
        <f t="shared" si="64"/>
        <v>1990.9473990715442</v>
      </c>
      <c r="AE59" s="89">
        <f t="shared" si="64"/>
        <v>2007.6812784587723</v>
      </c>
      <c r="AF59" s="89">
        <f t="shared" si="64"/>
        <v>2032.558809131438</v>
      </c>
      <c r="AG59" s="89">
        <f t="shared" si="64"/>
        <v>2049.5938108355758</v>
      </c>
      <c r="AH59" s="89">
        <f t="shared" si="64"/>
        <v>2063.460247719745</v>
      </c>
      <c r="AI59" s="89">
        <f t="shared" si="64"/>
        <v>2076.8230044556781</v>
      </c>
      <c r="AJ59" s="89">
        <f t="shared" si="64"/>
        <v>2089.1378845441941</v>
      </c>
      <c r="AK59" s="89">
        <f t="shared" si="64"/>
        <v>2105.296837045827</v>
      </c>
      <c r="AL59" s="89">
        <f t="shared" si="64"/>
        <v>2126.0105806571714</v>
      </c>
      <c r="AM59" s="89">
        <f t="shared" si="64"/>
        <v>2151.4514890702212</v>
      </c>
      <c r="AN59" s="89">
        <f t="shared" si="64"/>
        <v>2176.5885585942174</v>
      </c>
      <c r="AO59" s="89">
        <f t="shared" si="64"/>
        <v>2203.2983655217095</v>
      </c>
      <c r="AP59" s="89">
        <f t="shared" si="64"/>
        <v>2227.5564206839504</v>
      </c>
      <c r="AQ59" s="89">
        <f t="shared" si="64"/>
        <v>2249.1888942101473</v>
      </c>
      <c r="AR59" s="89">
        <f t="shared" si="64"/>
        <v>2270.6826163337178</v>
      </c>
      <c r="AS59" s="89">
        <f t="shared" si="64"/>
        <v>2291.4665521640941</v>
      </c>
      <c r="AT59" s="89">
        <f t="shared" si="64"/>
        <v>2306.9471636809158</v>
      </c>
      <c r="AU59" s="89">
        <f t="shared" si="64"/>
        <v>2322.8737308439777</v>
      </c>
      <c r="AV59" s="89">
        <f t="shared" si="64"/>
        <v>2333.2730243169681</v>
      </c>
      <c r="AW59" s="89">
        <f t="shared" si="64"/>
        <v>2339.1296487490054</v>
      </c>
      <c r="AX59" s="89">
        <f t="shared" si="64"/>
        <v>2347.736639183197</v>
      </c>
    </row>
    <row r="60" spans="1:50">
      <c r="A60" s="35"/>
      <c r="C60" s="21"/>
      <c r="D60" s="21"/>
      <c r="E60" s="21"/>
      <c r="F60" s="21"/>
      <c r="G60" s="21"/>
      <c r="H60" s="21"/>
      <c r="I60" s="21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</row>
    <row r="61" spans="1:50" s="86" customFormat="1">
      <c r="A61" s="84" t="s">
        <v>5</v>
      </c>
      <c r="B61" s="83"/>
      <c r="C61" s="85"/>
      <c r="D61" s="85"/>
      <c r="E61" s="85"/>
      <c r="F61" s="85"/>
      <c r="G61" s="85"/>
      <c r="H61" s="85"/>
      <c r="I61" s="85"/>
      <c r="J61" s="118">
        <f>+J31*Inputs!$M$34</f>
        <v>2072.8841662739615</v>
      </c>
      <c r="K61" s="118">
        <f t="shared" ref="K61:AX61" si="65">K37+K44-K59</f>
        <v>4465.691668839605</v>
      </c>
      <c r="L61" s="118">
        <f t="shared" si="65"/>
        <v>17697.934389170627</v>
      </c>
      <c r="M61" s="118">
        <f t="shared" si="65"/>
        <v>23471.184522185085</v>
      </c>
      <c r="N61" s="118">
        <f t="shared" si="65"/>
        <v>32172.372302032923</v>
      </c>
      <c r="O61" s="118">
        <f t="shared" si="65"/>
        <v>37724.9410413273</v>
      </c>
      <c r="P61" s="118">
        <f t="shared" si="65"/>
        <v>40327.311673865901</v>
      </c>
      <c r="Q61" s="118">
        <f t="shared" si="65"/>
        <v>42446.560302333077</v>
      </c>
      <c r="R61" s="118">
        <f t="shared" si="65"/>
        <v>45437.126501686296</v>
      </c>
      <c r="S61" s="118">
        <f t="shared" si="65"/>
        <v>49299.079784046124</v>
      </c>
      <c r="T61" s="118">
        <f t="shared" si="65"/>
        <v>51082.088193217707</v>
      </c>
      <c r="U61" s="118">
        <f t="shared" si="65"/>
        <v>53343.340820295758</v>
      </c>
      <c r="V61" s="118">
        <f t="shared" si="65"/>
        <v>52769.628151998986</v>
      </c>
      <c r="W61" s="118">
        <f t="shared" si="65"/>
        <v>51885.342456128034</v>
      </c>
      <c r="X61" s="118">
        <f t="shared" si="65"/>
        <v>50901.995916521322</v>
      </c>
      <c r="Y61" s="118">
        <f t="shared" si="65"/>
        <v>49824.483877433886</v>
      </c>
      <c r="Z61" s="118">
        <f t="shared" si="65"/>
        <v>48718.748301866603</v>
      </c>
      <c r="AA61" s="118">
        <f t="shared" si="65"/>
        <v>47619.417363969769</v>
      </c>
      <c r="AB61" s="118">
        <f t="shared" si="65"/>
        <v>46525.942918314482</v>
      </c>
      <c r="AC61" s="118">
        <f t="shared" si="65"/>
        <v>45529.699748595129</v>
      </c>
      <c r="AD61" s="118">
        <f t="shared" si="65"/>
        <v>44591.232199945101</v>
      </c>
      <c r="AE61" s="118">
        <f t="shared" si="65"/>
        <v>43661.003143651033</v>
      </c>
      <c r="AF61" s="118">
        <f t="shared" si="65"/>
        <v>43054.066862115978</v>
      </c>
      <c r="AG61" s="118">
        <f t="shared" si="65"/>
        <v>42044.416688826183</v>
      </c>
      <c r="AH61" s="118">
        <f t="shared" si="65"/>
        <v>41073.542238744667</v>
      </c>
      <c r="AI61" s="118">
        <f t="shared" si="65"/>
        <v>40017.102601218976</v>
      </c>
      <c r="AJ61" s="118">
        <f t="shared" si="65"/>
        <v>38926.397296702104</v>
      </c>
      <c r="AK61" s="118">
        <f t="shared" si="65"/>
        <v>37787.217728107076</v>
      </c>
      <c r="AL61" s="118">
        <f t="shared" si="65"/>
        <v>36604.935000041514</v>
      </c>
      <c r="AM61" s="118">
        <f t="shared" si="65"/>
        <v>35429.041317504772</v>
      </c>
      <c r="AN61" s="118">
        <f t="shared" si="65"/>
        <v>34190.60760592817</v>
      </c>
      <c r="AO61" s="118">
        <f t="shared" si="65"/>
        <v>32936.476740661819</v>
      </c>
      <c r="AP61" s="118">
        <f t="shared" si="65"/>
        <v>31617.661403614959</v>
      </c>
      <c r="AQ61" s="118">
        <f t="shared" si="65"/>
        <v>30237.835712311138</v>
      </c>
      <c r="AR61" s="118">
        <f t="shared" si="65"/>
        <v>28861.613404272066</v>
      </c>
      <c r="AS61" s="118">
        <f t="shared" si="65"/>
        <v>27462.616463034206</v>
      </c>
      <c r="AT61" s="118">
        <f t="shared" si="65"/>
        <v>26013.089217549517</v>
      </c>
      <c r="AU61" s="118">
        <f t="shared" si="65"/>
        <v>24537.757223334869</v>
      </c>
      <c r="AV61" s="118">
        <f t="shared" si="65"/>
        <v>23066.604623673531</v>
      </c>
      <c r="AW61" s="118">
        <f t="shared" si="65"/>
        <v>21605.088984385904</v>
      </c>
      <c r="AX61" s="118">
        <f t="shared" si="65"/>
        <v>20168.279522711673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8" scale="77" fitToWidth="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AX93"/>
  <sheetViews>
    <sheetView zoomScaleNormal="100" zoomScaleSheetLayoutView="100" workbookViewId="0">
      <pane xSplit="14" ySplit="5" topLeftCell="O15" activePane="bottomRight" state="frozen"/>
      <selection pane="topRight" activeCell="O1" sqref="O1"/>
      <selection pane="bottomLeft" activeCell="A6" sqref="A6"/>
      <selection pane="bottomRight" activeCell="O40" sqref="O40"/>
    </sheetView>
  </sheetViews>
  <sheetFormatPr defaultColWidth="9.36328125" defaultRowHeight="13"/>
  <cols>
    <col min="1" max="1" width="39.6328125" style="11" bestFit="1" customWidth="1"/>
    <col min="2" max="14" width="5.36328125" style="31" hidden="1" customWidth="1"/>
    <col min="15" max="15" width="23.36328125" style="31" bestFit="1" customWidth="1"/>
    <col min="16" max="16" width="6.36328125" style="31" bestFit="1" customWidth="1"/>
    <col min="17" max="17" width="6.08984375" style="31" bestFit="1" customWidth="1"/>
    <col min="18" max="19" width="6.36328125" style="31" bestFit="1" customWidth="1"/>
    <col min="20" max="39" width="5.6328125" style="31" bestFit="1" customWidth="1"/>
    <col min="40" max="50" width="5.6328125" style="11" bestFit="1" customWidth="1"/>
    <col min="51" max="16384" width="9.36328125" style="11"/>
  </cols>
  <sheetData>
    <row r="1" spans="1:50" s="58" customFormat="1">
      <c r="A1" s="58" t="s">
        <v>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>
        <f>+Inputs!O1</f>
        <v>2022</v>
      </c>
      <c r="P1" s="36">
        <f>+Inputs!P1</f>
        <v>2023</v>
      </c>
      <c r="Q1" s="36">
        <f>+Inputs!Q1</f>
        <v>2024</v>
      </c>
      <c r="R1" s="36">
        <f>+Inputs!R1</f>
        <v>2025</v>
      </c>
      <c r="S1" s="36">
        <f>+Inputs!S1</f>
        <v>2026</v>
      </c>
      <c r="T1" s="36">
        <f>+Inputs!T1</f>
        <v>2027</v>
      </c>
      <c r="U1" s="36">
        <f>+Inputs!U1</f>
        <v>2028</v>
      </c>
      <c r="V1" s="36">
        <f>+Inputs!V1</f>
        <v>2029</v>
      </c>
      <c r="W1" s="36">
        <f>+Inputs!W1</f>
        <v>2030</v>
      </c>
      <c r="X1" s="36">
        <f>+Inputs!X1</f>
        <v>2031</v>
      </c>
      <c r="Y1" s="36">
        <f>+Inputs!Y1</f>
        <v>2032</v>
      </c>
      <c r="Z1" s="36">
        <f>+Inputs!Z1</f>
        <v>2033</v>
      </c>
      <c r="AA1" s="36">
        <f>+Inputs!AA1</f>
        <v>2034</v>
      </c>
      <c r="AB1" s="36">
        <f>+Inputs!AB1</f>
        <v>2035</v>
      </c>
      <c r="AC1" s="36">
        <f>+Inputs!AC1</f>
        <v>2036</v>
      </c>
      <c r="AD1" s="36">
        <f>+Inputs!AD1</f>
        <v>2037</v>
      </c>
      <c r="AE1" s="36">
        <f>+Inputs!AE1</f>
        <v>2038</v>
      </c>
      <c r="AF1" s="36">
        <f>+Inputs!AF1</f>
        <v>2039</v>
      </c>
      <c r="AG1" s="36">
        <f>+Inputs!AG1</f>
        <v>2040</v>
      </c>
      <c r="AH1" s="36">
        <f>+Inputs!AH1</f>
        <v>2041</v>
      </c>
      <c r="AI1" s="36">
        <f>+Inputs!AI1</f>
        <v>2042</v>
      </c>
      <c r="AJ1" s="36">
        <f>+Inputs!AJ1</f>
        <v>2043</v>
      </c>
      <c r="AK1" s="36">
        <f>+Inputs!AK1</f>
        <v>2044</v>
      </c>
      <c r="AL1" s="36">
        <f>+Inputs!AL1</f>
        <v>2045</v>
      </c>
      <c r="AM1" s="36">
        <f>+Inputs!AM1</f>
        <v>2046</v>
      </c>
      <c r="AN1" s="36">
        <f>+Inputs!AN1</f>
        <v>2047</v>
      </c>
      <c r="AO1" s="36">
        <f>+Inputs!AO1</f>
        <v>2048</v>
      </c>
      <c r="AP1" s="36">
        <f>+Inputs!AP1</f>
        <v>2049</v>
      </c>
      <c r="AQ1" s="36">
        <f>+Inputs!AQ1</f>
        <v>2050</v>
      </c>
      <c r="AR1" s="36">
        <f>+Inputs!AR1</f>
        <v>2051</v>
      </c>
      <c r="AS1" s="36">
        <f>+Inputs!AS1</f>
        <v>2052</v>
      </c>
      <c r="AT1" s="36">
        <f>+Inputs!AT1</f>
        <v>2053</v>
      </c>
      <c r="AU1" s="36">
        <f>+Inputs!AU1</f>
        <v>2054</v>
      </c>
      <c r="AV1" s="36">
        <f>+Inputs!AV1</f>
        <v>2055</v>
      </c>
      <c r="AW1" s="36">
        <f>+Inputs!AW1</f>
        <v>2056</v>
      </c>
      <c r="AX1" s="36">
        <f>+Inputs!AX1</f>
        <v>2057</v>
      </c>
    </row>
    <row r="3" spans="1:50">
      <c r="A3" s="12" t="s">
        <v>6</v>
      </c>
      <c r="B3" s="13"/>
      <c r="C3" s="13"/>
      <c r="D3" s="79"/>
      <c r="E3" s="79"/>
      <c r="F3" s="79"/>
      <c r="G3" s="79"/>
      <c r="H3" s="79"/>
      <c r="I3" s="79"/>
      <c r="J3" s="79"/>
      <c r="K3" s="79"/>
      <c r="L3" s="79"/>
      <c r="M3" s="79"/>
      <c r="N3" s="66"/>
      <c r="O3" s="80"/>
      <c r="P3" s="80">
        <f>+Inputs!P3</f>
        <v>1.46E-2</v>
      </c>
      <c r="Q3" s="80">
        <f>+Inputs!Q3</f>
        <v>3.3700000000000001E-2</v>
      </c>
      <c r="R3" s="80">
        <f>+Inputs!R3</f>
        <v>4.2199999999999994E-2</v>
      </c>
      <c r="S3" s="80">
        <f>+Inputs!S3</f>
        <v>3.85E-2</v>
      </c>
      <c r="T3" s="80">
        <f>+Inputs!T3</f>
        <v>4.0399999999999998E-2</v>
      </c>
      <c r="U3" s="80">
        <f>+Inputs!U3</f>
        <v>4.2300000000000004E-2</v>
      </c>
      <c r="V3" s="80">
        <f t="shared" ref="V3:AM3" si="0">U3</f>
        <v>4.2300000000000004E-2</v>
      </c>
      <c r="W3" s="80">
        <f t="shared" si="0"/>
        <v>4.2300000000000004E-2</v>
      </c>
      <c r="X3" s="80">
        <f t="shared" si="0"/>
        <v>4.2300000000000004E-2</v>
      </c>
      <c r="Y3" s="80">
        <f t="shared" si="0"/>
        <v>4.2300000000000004E-2</v>
      </c>
      <c r="Z3" s="80">
        <f t="shared" si="0"/>
        <v>4.2300000000000004E-2</v>
      </c>
      <c r="AA3" s="80">
        <f t="shared" si="0"/>
        <v>4.2300000000000004E-2</v>
      </c>
      <c r="AB3" s="80">
        <f t="shared" si="0"/>
        <v>4.2300000000000004E-2</v>
      </c>
      <c r="AC3" s="80">
        <f t="shared" si="0"/>
        <v>4.2300000000000004E-2</v>
      </c>
      <c r="AD3" s="80">
        <f t="shared" si="0"/>
        <v>4.2300000000000004E-2</v>
      </c>
      <c r="AE3" s="80">
        <f t="shared" si="0"/>
        <v>4.2300000000000004E-2</v>
      </c>
      <c r="AF3" s="80">
        <f t="shared" si="0"/>
        <v>4.2300000000000004E-2</v>
      </c>
      <c r="AG3" s="80">
        <f t="shared" si="0"/>
        <v>4.2300000000000004E-2</v>
      </c>
      <c r="AH3" s="80">
        <f t="shared" si="0"/>
        <v>4.2300000000000004E-2</v>
      </c>
      <c r="AI3" s="80">
        <f t="shared" si="0"/>
        <v>4.2300000000000004E-2</v>
      </c>
      <c r="AJ3" s="80">
        <f t="shared" si="0"/>
        <v>4.2300000000000004E-2</v>
      </c>
      <c r="AK3" s="80">
        <f t="shared" si="0"/>
        <v>4.2300000000000004E-2</v>
      </c>
      <c r="AL3" s="80">
        <f t="shared" si="0"/>
        <v>4.2300000000000004E-2</v>
      </c>
      <c r="AM3" s="80">
        <f t="shared" si="0"/>
        <v>4.2300000000000004E-2</v>
      </c>
      <c r="AN3" s="80">
        <f t="shared" ref="AN3:AX3" si="1">AM3</f>
        <v>4.2300000000000004E-2</v>
      </c>
      <c r="AO3" s="80">
        <f t="shared" si="1"/>
        <v>4.2300000000000004E-2</v>
      </c>
      <c r="AP3" s="80">
        <f t="shared" si="1"/>
        <v>4.2300000000000004E-2</v>
      </c>
      <c r="AQ3" s="80">
        <f t="shared" si="1"/>
        <v>4.2300000000000004E-2</v>
      </c>
      <c r="AR3" s="80">
        <f t="shared" si="1"/>
        <v>4.2300000000000004E-2</v>
      </c>
      <c r="AS3" s="80">
        <f t="shared" si="1"/>
        <v>4.2300000000000004E-2</v>
      </c>
      <c r="AT3" s="80">
        <f t="shared" si="1"/>
        <v>4.2300000000000004E-2</v>
      </c>
      <c r="AU3" s="80">
        <f t="shared" si="1"/>
        <v>4.2300000000000004E-2</v>
      </c>
      <c r="AV3" s="80">
        <f t="shared" si="1"/>
        <v>4.2300000000000004E-2</v>
      </c>
      <c r="AW3" s="80">
        <f t="shared" si="1"/>
        <v>4.2300000000000004E-2</v>
      </c>
      <c r="AX3" s="80">
        <f t="shared" si="1"/>
        <v>4.2300000000000004E-2</v>
      </c>
    </row>
    <row r="4" spans="1:50">
      <c r="A4" s="12" t="s">
        <v>184</v>
      </c>
      <c r="B4" s="13"/>
      <c r="C4" s="13"/>
      <c r="D4" s="79"/>
      <c r="E4" s="79"/>
      <c r="F4" s="79"/>
      <c r="G4" s="79"/>
      <c r="H4" s="79"/>
      <c r="I4" s="79"/>
      <c r="J4" s="79"/>
      <c r="K4" s="79"/>
      <c r="M4" s="79"/>
      <c r="N4" s="66"/>
      <c r="O4" s="87">
        <f>+Inputs!O102</f>
        <v>0.5</v>
      </c>
      <c r="P4" s="80">
        <f t="shared" ref="P4:AX4" si="2">P5*(1+P3*$O$4)</f>
        <v>0.9928050463236745</v>
      </c>
      <c r="Q4" s="80">
        <f t="shared" si="2"/>
        <v>0.9695439902374543</v>
      </c>
      <c r="R4" s="80">
        <f t="shared" si="2"/>
        <v>0.9341741232591837</v>
      </c>
      <c r="S4" s="80">
        <f t="shared" si="2"/>
        <v>0.89791200105498881</v>
      </c>
      <c r="T4" s="80">
        <f t="shared" si="2"/>
        <v>0.86384939159576801</v>
      </c>
      <c r="U4" s="80">
        <f t="shared" si="2"/>
        <v>0.8295632730294078</v>
      </c>
      <c r="V4" s="80">
        <f t="shared" si="2"/>
        <v>0.79589683683143797</v>
      </c>
      <c r="W4" s="80">
        <f t="shared" si="2"/>
        <v>0.76359669656666784</v>
      </c>
      <c r="X4" s="80">
        <f t="shared" si="2"/>
        <v>0.73260740340273223</v>
      </c>
      <c r="Y4" s="80">
        <f t="shared" si="2"/>
        <v>0.70287575880526942</v>
      </c>
      <c r="Z4" s="80">
        <f t="shared" si="2"/>
        <v>0.67435072321334488</v>
      </c>
      <c r="AA4" s="80">
        <f t="shared" si="2"/>
        <v>0.64698332842113104</v>
      </c>
      <c r="AB4" s="80">
        <f t="shared" si="2"/>
        <v>0.62072659351542836</v>
      </c>
      <c r="AC4" s="80">
        <f t="shared" si="2"/>
        <v>0.59553544422472271</v>
      </c>
      <c r="AD4" s="80">
        <f t="shared" si="2"/>
        <v>0.57136663554132472</v>
      </c>
      <c r="AE4" s="80">
        <f t="shared" si="2"/>
        <v>0.54817867748376159</v>
      </c>
      <c r="AF4" s="80">
        <f t="shared" si="2"/>
        <v>0.52593176387197704</v>
      </c>
      <c r="AG4" s="80">
        <f t="shared" si="2"/>
        <v>0.50458770399307007</v>
      </c>
      <c r="AH4" s="80">
        <f t="shared" si="2"/>
        <v>0.48410985704026682</v>
      </c>
      <c r="AI4" s="80">
        <f t="shared" si="2"/>
        <v>0.46446306921257485</v>
      </c>
      <c r="AJ4" s="80">
        <f t="shared" si="2"/>
        <v>0.44561361336714461</v>
      </c>
      <c r="AK4" s="80">
        <f t="shared" si="2"/>
        <v>0.42752913112073743</v>
      </c>
      <c r="AL4" s="80">
        <f t="shared" si="2"/>
        <v>0.41017857730090895</v>
      </c>
      <c r="AM4" s="80">
        <f t="shared" si="2"/>
        <v>0.39353216665154844</v>
      </c>
      <c r="AN4" s="80">
        <f t="shared" si="2"/>
        <v>0.37756132270128412</v>
      </c>
      <c r="AO4" s="80">
        <f t="shared" si="2"/>
        <v>0.36223862870697887</v>
      </c>
      <c r="AP4" s="80">
        <f t="shared" si="2"/>
        <v>0.34753778058810214</v>
      </c>
      <c r="AQ4" s="80">
        <f t="shared" si="2"/>
        <v>0.33343354177118123</v>
      </c>
      <c r="AR4" s="80">
        <f t="shared" si="2"/>
        <v>0.31990169986681494</v>
      </c>
      <c r="AS4" s="80">
        <f t="shared" si="2"/>
        <v>0.30691902510487862</v>
      </c>
      <c r="AT4" s="80">
        <f t="shared" si="2"/>
        <v>0.29446323045656586</v>
      </c>
      <c r="AU4" s="80">
        <f t="shared" si="2"/>
        <v>0.28251293337481137</v>
      </c>
      <c r="AV4" s="80">
        <f t="shared" si="2"/>
        <v>0.27104761908741376</v>
      </c>
      <c r="AW4" s="80">
        <f t="shared" si="2"/>
        <v>0.26004760537984628</v>
      </c>
      <c r="AX4" s="80">
        <f t="shared" si="2"/>
        <v>0.24949400880729758</v>
      </c>
    </row>
    <row r="5" spans="1:50">
      <c r="A5" s="12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19">
        <f>+Inputs!O103</f>
        <v>1</v>
      </c>
      <c r="P5" s="80">
        <f t="shared" ref="P5:AM5" si="3">O5/(1+P3)</f>
        <v>0.98561009264734878</v>
      </c>
      <c r="Q5" s="80">
        <f t="shared" si="3"/>
        <v>0.95347788782755993</v>
      </c>
      <c r="R5" s="80">
        <f t="shared" si="3"/>
        <v>0.91487035869080779</v>
      </c>
      <c r="S5" s="80">
        <f t="shared" si="3"/>
        <v>0.88095364341916982</v>
      </c>
      <c r="T5" s="80">
        <f t="shared" si="3"/>
        <v>0.84674513977236621</v>
      </c>
      <c r="U5" s="80">
        <f t="shared" si="3"/>
        <v>0.81238140628644939</v>
      </c>
      <c r="V5" s="80">
        <f t="shared" si="3"/>
        <v>0.77941226737642655</v>
      </c>
      <c r="W5" s="80">
        <f t="shared" si="3"/>
        <v>0.74778112575690925</v>
      </c>
      <c r="X5" s="80">
        <f t="shared" si="3"/>
        <v>0.71743368104855532</v>
      </c>
      <c r="Y5" s="80">
        <f t="shared" si="3"/>
        <v>0.68831783656198342</v>
      </c>
      <c r="Z5" s="80">
        <f t="shared" si="3"/>
        <v>0.66038360986470634</v>
      </c>
      <c r="AA5" s="80">
        <f t="shared" si="3"/>
        <v>0.63358304697755574</v>
      </c>
      <c r="AB5" s="80">
        <f t="shared" si="3"/>
        <v>0.60787014005330109</v>
      </c>
      <c r="AC5" s="80">
        <f t="shared" si="3"/>
        <v>0.58320074839614422</v>
      </c>
      <c r="AD5" s="80">
        <f t="shared" si="3"/>
        <v>0.55953252268650511</v>
      </c>
      <c r="AE5" s="80">
        <f t="shared" si="3"/>
        <v>0.53682483228101807</v>
      </c>
      <c r="AF5" s="80">
        <f t="shared" si="3"/>
        <v>0.5150386954629359</v>
      </c>
      <c r="AG5" s="80">
        <f t="shared" si="3"/>
        <v>0.49413671252320435</v>
      </c>
      <c r="AH5" s="80">
        <f t="shared" si="3"/>
        <v>0.4740830015573293</v>
      </c>
      <c r="AI5" s="80">
        <f t="shared" si="3"/>
        <v>0.45484313686782046</v>
      </c>
      <c r="AJ5" s="80">
        <f t="shared" si="3"/>
        <v>0.43638408986646882</v>
      </c>
      <c r="AK5" s="80">
        <f t="shared" si="3"/>
        <v>0.41867417237500604</v>
      </c>
      <c r="AL5" s="80">
        <f t="shared" si="3"/>
        <v>0.40168298222681187</v>
      </c>
      <c r="AM5" s="80">
        <f t="shared" si="3"/>
        <v>0.38538135107628502</v>
      </c>
      <c r="AN5" s="80">
        <f t="shared" ref="AN5:AX5" si="4">AM5/(1+AN3)</f>
        <v>0.36974129432628322</v>
      </c>
      <c r="AO5" s="80">
        <f t="shared" si="4"/>
        <v>0.35473596308767458</v>
      </c>
      <c r="AP5" s="80">
        <f t="shared" si="4"/>
        <v>0.34033959808852976</v>
      </c>
      <c r="AQ5" s="80">
        <f t="shared" si="4"/>
        <v>0.32652748545383264</v>
      </c>
      <c r="AR5" s="80">
        <f t="shared" si="4"/>
        <v>0.31327591427979723</v>
      </c>
      <c r="AS5" s="80">
        <f t="shared" si="4"/>
        <v>0.30056213592995995</v>
      </c>
      <c r="AT5" s="80">
        <f t="shared" si="4"/>
        <v>0.28836432498317177</v>
      </c>
      <c r="AU5" s="80">
        <f t="shared" si="4"/>
        <v>0.27666154176645091</v>
      </c>
      <c r="AV5" s="80">
        <f t="shared" si="4"/>
        <v>0.26543369640837661</v>
      </c>
      <c r="AW5" s="80">
        <f t="shared" si="4"/>
        <v>0.25466151435131595</v>
      </c>
      <c r="AX5" s="80">
        <f t="shared" si="4"/>
        <v>0.24432650326327923</v>
      </c>
    </row>
    <row r="6" spans="1:50"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</row>
    <row r="7" spans="1:50">
      <c r="A7" s="12" t="s">
        <v>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O7" s="13"/>
      <c r="P7" s="13">
        <f>+Inputs!P15</f>
        <v>4217.9400843879648</v>
      </c>
      <c r="Q7" s="13">
        <f>+Inputs!Q15</f>
        <v>3758.006338977033</v>
      </c>
      <c r="R7" s="13">
        <f>+Inputs!R15</f>
        <v>4677.375816999298</v>
      </c>
      <c r="S7" s="13">
        <f>+Inputs!S15</f>
        <v>5626.0419469285698</v>
      </c>
      <c r="T7" s="13">
        <f>+Inputs!T15</f>
        <v>3572.0569356295427</v>
      </c>
      <c r="U7" s="13">
        <f>+Inputs!U15</f>
        <v>4169.2738282653008</v>
      </c>
      <c r="V7" s="13">
        <f>+Inputs!V15</f>
        <v>1375.3154206352608</v>
      </c>
      <c r="W7" s="13">
        <f>+Inputs!W15</f>
        <v>1095.8996413116524</v>
      </c>
      <c r="X7" s="13">
        <f>+Inputs!X15</f>
        <v>1024.6360425663386</v>
      </c>
      <c r="Y7" s="13">
        <f>+Inputs!Y15</f>
        <v>955.28374867795935</v>
      </c>
      <c r="Z7" s="13">
        <f>+Inputs!Z15</f>
        <v>937.95983231835885</v>
      </c>
      <c r="AA7" s="13">
        <f>+Inputs!AA15</f>
        <v>929.29787413855865</v>
      </c>
      <c r="AB7" s="13">
        <f>+Inputs!AB15</f>
        <v>929.29787413855865</v>
      </c>
      <c r="AC7" s="13">
        <f>+Inputs!AC15</f>
        <v>996.47418171071683</v>
      </c>
      <c r="AD7" s="13">
        <f>+Inputs!AD15</f>
        <v>1052.4798504215169</v>
      </c>
      <c r="AE7" s="13">
        <f>+Inputs!AE15</f>
        <v>1077.452222164708</v>
      </c>
      <c r="AF7" s="13">
        <f>+Inputs!AF15</f>
        <v>1425.6225275963816</v>
      </c>
      <c r="AG7" s="13">
        <f>+Inputs!AG15</f>
        <v>1039.9436375457813</v>
      </c>
      <c r="AH7" s="13">
        <f>+Inputs!AH15</f>
        <v>1092.5857976382329</v>
      </c>
      <c r="AI7" s="13">
        <f>+Inputs!AI15</f>
        <v>1020.383366929987</v>
      </c>
      <c r="AJ7" s="13">
        <f>+Inputs!AJ15</f>
        <v>998.43258002732227</v>
      </c>
      <c r="AK7" s="13">
        <f>+Inputs!AK15</f>
        <v>966.11726845079693</v>
      </c>
      <c r="AL7" s="13">
        <f>+Inputs!AL15</f>
        <v>943.72785259161196</v>
      </c>
      <c r="AM7" s="13">
        <f>+Inputs!AM15</f>
        <v>975.55780653348017</v>
      </c>
      <c r="AN7" s="13">
        <f>+Inputs!AN15</f>
        <v>938.15484701761045</v>
      </c>
      <c r="AO7" s="13">
        <f>+Inputs!AO15</f>
        <v>949.16750025536021</v>
      </c>
      <c r="AP7" s="13">
        <f>+Inputs!AP15</f>
        <v>908.74108363708956</v>
      </c>
      <c r="AQ7" s="13">
        <f>+Inputs!AQ15</f>
        <v>869.36320290632614</v>
      </c>
      <c r="AR7" s="13">
        <f>+Inputs!AR15</f>
        <v>894.46030829464621</v>
      </c>
      <c r="AS7" s="13">
        <f>+Inputs!AS15</f>
        <v>892.46961092623428</v>
      </c>
      <c r="AT7" s="13">
        <f>+Inputs!AT15</f>
        <v>857.41991819622694</v>
      </c>
      <c r="AU7" s="13">
        <f>+Inputs!AU15</f>
        <v>847.54173662933044</v>
      </c>
      <c r="AV7" s="13">
        <f>+Inputs!AV15</f>
        <v>862.12042465562854</v>
      </c>
      <c r="AW7" s="13">
        <f>+Inputs!AW15</f>
        <v>877.61400946138053</v>
      </c>
      <c r="AX7" s="13">
        <f>+Inputs!AX15</f>
        <v>910.92717750896384</v>
      </c>
    </row>
    <row r="8" spans="1:50">
      <c r="A8" s="12" t="s">
        <v>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O8" s="13"/>
      <c r="P8" s="13">
        <f>+Inputs!P7</f>
        <v>3068.7589143826945</v>
      </c>
      <c r="Q8" s="13">
        <f>+Inputs!Q7</f>
        <v>3367.4568702166835</v>
      </c>
      <c r="R8" s="13">
        <f>+Inputs!R7</f>
        <v>3576.7605681749073</v>
      </c>
      <c r="S8" s="13">
        <f>+Inputs!S7</f>
        <v>3855.3560758678741</v>
      </c>
      <c r="T8" s="13">
        <f>+Inputs!T7</f>
        <v>4022.9638464735658</v>
      </c>
      <c r="U8" s="13">
        <f>+Inputs!U7</f>
        <v>4203.1916331894672</v>
      </c>
      <c r="V8" s="13">
        <f>+Inputs!V7</f>
        <v>4205.0809917086299</v>
      </c>
      <c r="W8" s="13">
        <f>+Inputs!W7</f>
        <v>4261.3442862327356</v>
      </c>
      <c r="X8" s="13">
        <f>+Inputs!X7</f>
        <v>4338.8843436145789</v>
      </c>
      <c r="Y8" s="13">
        <f>+Inputs!Y7</f>
        <v>4437.5754439206112</v>
      </c>
      <c r="Z8" s="13">
        <f>+Inputs!Z7</f>
        <v>4548.7759253482463</v>
      </c>
      <c r="AA8" s="13">
        <f>+Inputs!AA7</f>
        <v>4659.7982854257334</v>
      </c>
      <c r="AB8" s="13">
        <f>+Inputs!AB7</f>
        <v>4775.2466170745547</v>
      </c>
      <c r="AC8" s="13">
        <f>+Inputs!AC7</f>
        <v>4895.5432138829328</v>
      </c>
      <c r="AD8" s="13">
        <f>+Inputs!AD7</f>
        <v>5007.5968120495063</v>
      </c>
      <c r="AE8" s="13">
        <f>+Inputs!AE7</f>
        <v>5096.2859556802459</v>
      </c>
      <c r="AF8" s="13">
        <f>+Inputs!AF7</f>
        <v>5142.9343794044589</v>
      </c>
      <c r="AG8" s="13">
        <f>+Inputs!AG7</f>
        <v>5187.9158997382592</v>
      </c>
      <c r="AH8" s="13">
        <f>+Inputs!AH7</f>
        <v>5228.6746301999146</v>
      </c>
      <c r="AI8" s="13">
        <f>+Inputs!AI7</f>
        <v>5280.2530357965288</v>
      </c>
      <c r="AJ8" s="13">
        <f>+Inputs!AJ7</f>
        <v>5353.5539881922959</v>
      </c>
      <c r="AK8" s="13">
        <f>+Inputs!AK7</f>
        <v>5421.8482406865096</v>
      </c>
      <c r="AL8" s="13">
        <f>+Inputs!AL7</f>
        <v>5480.3441191368083</v>
      </c>
      <c r="AM8" s="13">
        <f>+Inputs!AM7</f>
        <v>5537.8809300652574</v>
      </c>
      <c r="AN8" s="13">
        <f>+Inputs!AN7</f>
        <v>5609.4487599280983</v>
      </c>
      <c r="AO8" s="13">
        <f>+Inputs!AO7</f>
        <v>5672.3574525035783</v>
      </c>
      <c r="AP8" s="13">
        <f>+Inputs!AP7</f>
        <v>5751.198703887595</v>
      </c>
      <c r="AQ8" s="13">
        <f>+Inputs!AQ7</f>
        <v>5832.0504720092586</v>
      </c>
      <c r="AR8" s="13">
        <f>+Inputs!AR7</f>
        <v>5915.1709622771277</v>
      </c>
      <c r="AS8" s="13">
        <f>+Inputs!AS7</f>
        <v>5996.5249594701527</v>
      </c>
      <c r="AT8" s="13">
        <f>+Inputs!AT7</f>
        <v>6075.3111779838391</v>
      </c>
      <c r="AU8" s="13">
        <f>+Inputs!AU7</f>
        <v>6154.4942613035064</v>
      </c>
      <c r="AV8" s="13">
        <f>+Inputs!AV7</f>
        <v>6234.873607169885</v>
      </c>
      <c r="AW8" s="13">
        <f>+Inputs!AW7</f>
        <v>6314.8879101639686</v>
      </c>
      <c r="AX8" s="13">
        <f>+Inputs!AX7</f>
        <v>6398.1774866229462</v>
      </c>
    </row>
    <row r="9" spans="1:50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>
      <c r="A10" s="15" t="s">
        <v>40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O10" s="13"/>
      <c r="P10" s="13">
        <f>+Inputs!P18</f>
        <v>1071.1012499999999</v>
      </c>
      <c r="Q10" s="13">
        <f>+Inputs!Q18</f>
        <v>1273.6179</v>
      </c>
      <c r="R10" s="13">
        <f>+Inputs!R18</f>
        <v>1576.2671639999994</v>
      </c>
      <c r="S10" s="13">
        <f>+Inputs!S18</f>
        <v>1924.0857599999993</v>
      </c>
      <c r="T10" s="13">
        <f>+Inputs!T18</f>
        <v>2248.4471999999987</v>
      </c>
      <c r="U10" s="13">
        <f>+Inputs!U18</f>
        <v>2567.0246582399973</v>
      </c>
      <c r="V10" s="13">
        <f>+Inputs!V18</f>
        <v>2848.5541422206875</v>
      </c>
      <c r="W10" s="13">
        <f>+Inputs!W18</f>
        <v>3070.0778648275864</v>
      </c>
      <c r="X10" s="13">
        <f>+Inputs!X18</f>
        <v>3259.608910344828</v>
      </c>
      <c r="Y10" s="13">
        <f>+Inputs!Y18</f>
        <v>3438.6694179310343</v>
      </c>
      <c r="Z10" s="13">
        <f>+Inputs!Z18</f>
        <v>3608.7995420689667</v>
      </c>
      <c r="AA10" s="13">
        <f>+Inputs!AA18</f>
        <v>3774.1503724137942</v>
      </c>
      <c r="AB10" s="13">
        <f>+Inputs!AB18</f>
        <v>3935.5203227586221</v>
      </c>
      <c r="AC10" s="13">
        <f>+Inputs!AC18</f>
        <v>4099.8110896551743</v>
      </c>
      <c r="AD10" s="13">
        <f>+Inputs!AD18</f>
        <v>4267.7406041379318</v>
      </c>
      <c r="AE10" s="13">
        <f>+Inputs!AE18</f>
        <v>4425.9481241379326</v>
      </c>
      <c r="AF10" s="13">
        <f>+Inputs!AF18</f>
        <v>4567.9748896551737</v>
      </c>
      <c r="AG10" s="13">
        <f>+Inputs!AG18</f>
        <v>4699.1662675862081</v>
      </c>
      <c r="AH10" s="13">
        <f>+Inputs!AH18</f>
        <v>4821.4727627586217</v>
      </c>
      <c r="AI10" s="13">
        <f>+Inputs!AI18</f>
        <v>4931.3892165517245</v>
      </c>
      <c r="AJ10" s="13">
        <f>+Inputs!AJ18</f>
        <v>5035.2130427586235</v>
      </c>
      <c r="AK10" s="13">
        <f>+Inputs!AK18</f>
        <v>5135.2154482758642</v>
      </c>
      <c r="AL10" s="13">
        <f>+Inputs!AL18</f>
        <v>5224.9690179310364</v>
      </c>
      <c r="AM10" s="13">
        <f>+Inputs!AM18</f>
        <v>5307.1582344827611</v>
      </c>
      <c r="AN10" s="13">
        <f>+Inputs!AN18</f>
        <v>5385.5775393103486</v>
      </c>
      <c r="AO10" s="13">
        <f>+Inputs!AO18</f>
        <v>5459.66327172414</v>
      </c>
      <c r="AP10" s="13">
        <f>+Inputs!AP18</f>
        <v>5530.0032000000028</v>
      </c>
      <c r="AQ10" s="13">
        <f>+Inputs!AQ18</f>
        <v>5597.6649931034499</v>
      </c>
      <c r="AR10" s="13">
        <f>+Inputs!AR18</f>
        <v>5665.2731751724186</v>
      </c>
      <c r="AS10" s="13">
        <f>+Inputs!AS18</f>
        <v>5733.2151393103486</v>
      </c>
      <c r="AT10" s="13">
        <f>+Inputs!AT18</f>
        <v>5796.1262606896598</v>
      </c>
      <c r="AU10" s="13">
        <f>+Inputs!AU18</f>
        <v>5852.9024689655207</v>
      </c>
      <c r="AV10" s="13">
        <f>+Inputs!AV18</f>
        <v>5907.4582303448315</v>
      </c>
      <c r="AW10" s="13">
        <f>+Inputs!AW18</f>
        <v>5960.8618262069012</v>
      </c>
      <c r="AX10" s="13">
        <f>+Inputs!AX18</f>
        <v>6011.1190800000049</v>
      </c>
    </row>
    <row r="11" spans="1:50">
      <c r="A11" s="15" t="s">
        <v>41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O11" s="13"/>
      <c r="P11" s="13">
        <f>+Inputs!P19</f>
        <v>137.91249999999999</v>
      </c>
      <c r="Q11" s="13">
        <f>+Inputs!Q19</f>
        <v>234.267</v>
      </c>
      <c r="R11" s="13">
        <f>+Inputs!R19</f>
        <v>389.19375000000002</v>
      </c>
      <c r="S11" s="13">
        <f>+Inputs!S19</f>
        <v>641.52</v>
      </c>
      <c r="T11" s="13">
        <f>+Inputs!T19</f>
        <v>942.48</v>
      </c>
      <c r="U11" s="13">
        <f>+Inputs!U19</f>
        <v>1227.5999999999999</v>
      </c>
      <c r="V11" s="13">
        <f>+Inputs!V19</f>
        <v>1465.6551724137933</v>
      </c>
      <c r="W11" s="13">
        <f>+Inputs!W19</f>
        <v>1650.0910344827587</v>
      </c>
      <c r="X11" s="13">
        <f>+Inputs!X19</f>
        <v>1779.6331034482762</v>
      </c>
      <c r="Y11" s="13">
        <f>+Inputs!Y19</f>
        <v>1863.2937931034485</v>
      </c>
      <c r="Z11" s="13">
        <f>+Inputs!Z19</f>
        <v>1927.4958620689658</v>
      </c>
      <c r="AA11" s="13">
        <f>+Inputs!AA19</f>
        <v>1982.7310344827592</v>
      </c>
      <c r="AB11" s="13">
        <f>+Inputs!AB19</f>
        <v>2034.16551724138</v>
      </c>
      <c r="AC11" s="13">
        <f>+Inputs!AC19</f>
        <v>2084.3255172413801</v>
      </c>
      <c r="AD11" s="13">
        <f>+Inputs!AD19</f>
        <v>2133.2110344827593</v>
      </c>
      <c r="AE11" s="13">
        <f>+Inputs!AE19</f>
        <v>2180.8220689655182</v>
      </c>
      <c r="AF11" s="13">
        <f>+Inputs!AF19</f>
        <v>2227.1586206896563</v>
      </c>
      <c r="AG11" s="13">
        <f>+Inputs!AG19</f>
        <v>2272.2206896551734</v>
      </c>
      <c r="AH11" s="13">
        <f>+Inputs!AH19</f>
        <v>2316.0082758620701</v>
      </c>
      <c r="AI11" s="13">
        <f>+Inputs!AI19</f>
        <v>2358.5213793103462</v>
      </c>
      <c r="AJ11" s="13">
        <f>+Inputs!AJ19</f>
        <v>2399.7600000000016</v>
      </c>
      <c r="AK11" s="13">
        <f>+Inputs!AK19</f>
        <v>2439.7241379310362</v>
      </c>
      <c r="AL11" s="13">
        <f>+Inputs!AL19</f>
        <v>2478.4137931034502</v>
      </c>
      <c r="AM11" s="13">
        <f>+Inputs!AM19</f>
        <v>2515.8289655172434</v>
      </c>
      <c r="AN11" s="13">
        <f>+Inputs!AN19</f>
        <v>2551.969655172416</v>
      </c>
      <c r="AO11" s="13">
        <f>+Inputs!AO19</f>
        <v>2586.8358620689678</v>
      </c>
      <c r="AP11" s="13">
        <f>+Inputs!AP19</f>
        <v>2620.4275862068989</v>
      </c>
      <c r="AQ11" s="13">
        <f>+Inputs!AQ19</f>
        <v>2652.7448275862098</v>
      </c>
      <c r="AR11" s="13">
        <f>+Inputs!AR19</f>
        <v>2683.7875862068995</v>
      </c>
      <c r="AS11" s="13">
        <f>+Inputs!AS19</f>
        <v>2713.555862068969</v>
      </c>
      <c r="AT11" s="13">
        <f>+Inputs!AT19</f>
        <v>2742.0496551724168</v>
      </c>
      <c r="AU11" s="13">
        <f>+Inputs!AU19</f>
        <v>2769.2689655172449</v>
      </c>
      <c r="AV11" s="13">
        <f>+Inputs!AV19</f>
        <v>2795.2137931034517</v>
      </c>
      <c r="AW11" s="13">
        <f>+Inputs!AW19</f>
        <v>2819.8841379310388</v>
      </c>
      <c r="AX11" s="13">
        <f>+Inputs!AX19</f>
        <v>2843.2800000000043</v>
      </c>
    </row>
    <row r="12" spans="1:50">
      <c r="A12" s="15" t="s">
        <v>43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O12" s="13"/>
      <c r="P12" s="13">
        <f>+Inputs!P20</f>
        <v>439.47723519051891</v>
      </c>
      <c r="Q12" s="13">
        <f>+Inputs!Q20</f>
        <v>557.76293116685054</v>
      </c>
      <c r="R12" s="13">
        <f>+Inputs!R20</f>
        <v>626.25808192815771</v>
      </c>
      <c r="S12" s="13">
        <f>+Inputs!S20</f>
        <v>729.98430134022874</v>
      </c>
      <c r="T12" s="13">
        <f>+Inputs!T20</f>
        <v>854.58789335400184</v>
      </c>
      <c r="U12" s="13">
        <f>+Inputs!U20</f>
        <v>878.56369780514603</v>
      </c>
      <c r="V12" s="13">
        <f>+Inputs!V20</f>
        <v>868.6101190731822</v>
      </c>
      <c r="W12" s="13">
        <f>+Inputs!W20</f>
        <v>861.05698760298071</v>
      </c>
      <c r="X12" s="13">
        <f>+Inputs!X20</f>
        <v>853.50385613277911</v>
      </c>
      <c r="Y12" s="13">
        <f>+Inputs!Y20</f>
        <v>848.26839788083078</v>
      </c>
      <c r="Z12" s="13">
        <f>+Inputs!Z20</f>
        <v>838.39759319237601</v>
      </c>
      <c r="AA12" s="13">
        <f>+Inputs!AA20</f>
        <v>830.8444617221744</v>
      </c>
      <c r="AB12" s="13">
        <f>+Inputs!AB20</f>
        <v>823.29133025197291</v>
      </c>
      <c r="AC12" s="13">
        <f>+Inputs!AC20</f>
        <v>817.97309795651552</v>
      </c>
      <c r="AD12" s="13">
        <f>+Inputs!AD20</f>
        <v>808.18506731156981</v>
      </c>
      <c r="AE12" s="13">
        <f>+Inputs!AE20</f>
        <v>800.63193584136832</v>
      </c>
      <c r="AF12" s="13">
        <f>+Inputs!AF20</f>
        <v>793.07880437116671</v>
      </c>
      <c r="AG12" s="13">
        <f>+Inputs!AG20</f>
        <v>787.67779803220026</v>
      </c>
      <c r="AH12" s="13">
        <f>+Inputs!AH20</f>
        <v>777.9725414307635</v>
      </c>
      <c r="AI12" s="13">
        <f>+Inputs!AI20</f>
        <v>770.41940996056201</v>
      </c>
      <c r="AJ12" s="13">
        <f>+Inputs!AJ20</f>
        <v>762.86627849036051</v>
      </c>
      <c r="AK12" s="13">
        <f>+Inputs!AK20</f>
        <v>757.382498107885</v>
      </c>
      <c r="AL12" s="13">
        <f>+Inputs!AL20</f>
        <v>747.76001554995742</v>
      </c>
      <c r="AM12" s="13">
        <f>+Inputs!AM20</f>
        <v>740.20688407975581</v>
      </c>
      <c r="AN12" s="13">
        <f>+Inputs!AN20</f>
        <v>732.65375260955432</v>
      </c>
      <c r="AO12" s="13">
        <f>+Inputs!AO20</f>
        <v>727.08719818356985</v>
      </c>
      <c r="AP12" s="13">
        <f>+Inputs!AP20</f>
        <v>717.54748966915122</v>
      </c>
      <c r="AQ12" s="13">
        <f>+Inputs!AQ20</f>
        <v>709.99435819894961</v>
      </c>
      <c r="AR12" s="13">
        <f>+Inputs!AR20</f>
        <v>702.44122672874812</v>
      </c>
      <c r="AS12" s="13">
        <f>+Inputs!AS20</f>
        <v>696.79189825925448</v>
      </c>
      <c r="AT12" s="13">
        <f>+Inputs!AT20</f>
        <v>687.33496378834502</v>
      </c>
      <c r="AU12" s="13">
        <f>+Inputs!AU20</f>
        <v>679.78183231814342</v>
      </c>
      <c r="AV12" s="13">
        <f>+Inputs!AV20</f>
        <v>672.22870084794192</v>
      </c>
      <c r="AW12" s="13">
        <f>+Inputs!AW20</f>
        <v>666.49659833493934</v>
      </c>
      <c r="AX12" s="13">
        <f>+Inputs!AX20</f>
        <v>657.12243790753882</v>
      </c>
    </row>
    <row r="13" spans="1:50">
      <c r="A13" s="15" t="s">
        <v>44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O13" s="13"/>
      <c r="P13" s="13">
        <f>+Inputs!P21</f>
        <v>285.66528247421269</v>
      </c>
      <c r="Q13" s="13">
        <f>+Inputs!Q21</f>
        <v>286.44792708373114</v>
      </c>
      <c r="R13" s="13">
        <f>+Inputs!R21</f>
        <v>285.66528247421269</v>
      </c>
      <c r="S13" s="13">
        <f>+Inputs!S21</f>
        <v>285.66528247421269</v>
      </c>
      <c r="T13" s="13">
        <f>+Inputs!T21</f>
        <v>285.66528247421269</v>
      </c>
      <c r="U13" s="13">
        <f>+Inputs!U21</f>
        <v>286.44792708373114</v>
      </c>
      <c r="V13" s="13">
        <f>+Inputs!V21</f>
        <v>283.20265072874537</v>
      </c>
      <c r="W13" s="13">
        <f>+Inputs!W21</f>
        <v>280.74001898327799</v>
      </c>
      <c r="X13" s="13">
        <f>+Inputs!X21</f>
        <v>278.27738723781073</v>
      </c>
      <c r="Y13" s="13">
        <f>+Inputs!Y21</f>
        <v>276.57041235670602</v>
      </c>
      <c r="Z13" s="13">
        <f>+Inputs!Z21</f>
        <v>273.35212374687603</v>
      </c>
      <c r="AA13" s="13">
        <f>+Inputs!AA21</f>
        <v>270.88949200140866</v>
      </c>
      <c r="AB13" s="13">
        <f>+Inputs!AB21</f>
        <v>268.42686025594134</v>
      </c>
      <c r="AC13" s="13">
        <f>+Inputs!AC21</f>
        <v>266.69289762968083</v>
      </c>
      <c r="AD13" s="13">
        <f>+Inputs!AD21</f>
        <v>263.50159676500664</v>
      </c>
      <c r="AE13" s="13">
        <f>+Inputs!AE21</f>
        <v>261.03896501953926</v>
      </c>
      <c r="AF13" s="13">
        <f>+Inputs!AF21</f>
        <v>258.57633327407194</v>
      </c>
      <c r="AG13" s="13">
        <f>+Inputs!AG21</f>
        <v>256.81538290265564</v>
      </c>
      <c r="AH13" s="13">
        <f>+Inputs!AH21</f>
        <v>253.65106978313727</v>
      </c>
      <c r="AI13" s="13">
        <f>+Inputs!AI21</f>
        <v>251.18843803766993</v>
      </c>
      <c r="AJ13" s="13">
        <f>+Inputs!AJ21</f>
        <v>248.72580629220258</v>
      </c>
      <c r="AK13" s="13">
        <f>+Inputs!AK21</f>
        <v>246.93786817563048</v>
      </c>
      <c r="AL13" s="13">
        <f>+Inputs!AL21</f>
        <v>243.80054280126794</v>
      </c>
      <c r="AM13" s="13">
        <f>+Inputs!AM21</f>
        <v>241.33791105580059</v>
      </c>
      <c r="AN13" s="13">
        <f>+Inputs!AN21</f>
        <v>238.87527931033324</v>
      </c>
      <c r="AO13" s="13">
        <f>+Inputs!AO21</f>
        <v>237.0603534486053</v>
      </c>
      <c r="AP13" s="13">
        <f>+Inputs!AP21</f>
        <v>233.95001581939857</v>
      </c>
      <c r="AQ13" s="13">
        <f>+Inputs!AQ21</f>
        <v>231.48738407393122</v>
      </c>
      <c r="AR13" s="13">
        <f>+Inputs!AR21</f>
        <v>229.02475232846388</v>
      </c>
      <c r="AS13" s="13">
        <f>+Inputs!AS21</f>
        <v>227.18283872158017</v>
      </c>
      <c r="AT13" s="13">
        <f>+Inputs!AT21</f>
        <v>224.09948883752921</v>
      </c>
      <c r="AU13" s="13">
        <f>+Inputs!AU21</f>
        <v>221.63685709206186</v>
      </c>
      <c r="AV13" s="13">
        <f>+Inputs!AV21</f>
        <v>219.17422534659451</v>
      </c>
      <c r="AW13" s="13">
        <f>+Inputs!AW21</f>
        <v>217.30532399455498</v>
      </c>
      <c r="AX13" s="13">
        <f>+Inputs!AX21</f>
        <v>214.24896185565984</v>
      </c>
    </row>
    <row r="14" spans="1:50">
      <c r="A14" s="15" t="s">
        <v>181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O14" s="13"/>
      <c r="P14" s="13">
        <f>+Inputs!P22</f>
        <v>12038.204325914199</v>
      </c>
      <c r="Q14" s="13">
        <f>+Inputs!Q22</f>
        <v>12196.340819885476</v>
      </c>
      <c r="R14" s="13">
        <f>+Inputs!R22</f>
        <v>12993.602907762361</v>
      </c>
      <c r="S14" s="13">
        <f>+Inputs!S22</f>
        <v>13504.379928413251</v>
      </c>
      <c r="T14" s="13">
        <f>+Inputs!T22</f>
        <v>13504.379928413251</v>
      </c>
      <c r="U14" s="13">
        <f>+Inputs!U22</f>
        <v>13541.378229586982</v>
      </c>
      <c r="V14" s="13">
        <f>+Inputs!V22</f>
        <v>13387.962860064863</v>
      </c>
      <c r="W14" s="13">
        <f>+Inputs!W22</f>
        <v>13271.545791716473</v>
      </c>
      <c r="X14" s="13">
        <f>+Inputs!X22</f>
        <v>13155.128723368081</v>
      </c>
      <c r="Y14" s="13">
        <f>+Inputs!Y22</f>
        <v>13074.434152704674</v>
      </c>
      <c r="Z14" s="13">
        <f>+Inputs!Z22</f>
        <v>12922.294586671303</v>
      </c>
      <c r="AA14" s="13">
        <f>+Inputs!AA22</f>
        <v>12805.877518322915</v>
      </c>
      <c r="AB14" s="13">
        <f>+Inputs!AB22</f>
        <v>12689.460449974524</v>
      </c>
      <c r="AC14" s="13">
        <f>+Inputs!AC22</f>
        <v>12607.490075822368</v>
      </c>
      <c r="AD14" s="13">
        <f>+Inputs!AD22</f>
        <v>12456.626313277746</v>
      </c>
      <c r="AE14" s="13">
        <f>+Inputs!AE22</f>
        <v>12340.209244929356</v>
      </c>
      <c r="AF14" s="13">
        <f>+Inputs!AF22</f>
        <v>12223.792176580966</v>
      </c>
      <c r="AG14" s="13">
        <f>+Inputs!AG22</f>
        <v>12140.545998940061</v>
      </c>
      <c r="AH14" s="13">
        <f>+Inputs!AH22</f>
        <v>11990.958039884188</v>
      </c>
      <c r="AI14" s="13">
        <f>+Inputs!AI22</f>
        <v>11874.540971535798</v>
      </c>
      <c r="AJ14" s="13">
        <f>+Inputs!AJ22</f>
        <v>11758.123903187407</v>
      </c>
      <c r="AK14" s="13">
        <f>+Inputs!AK22</f>
        <v>11673.601922057751</v>
      </c>
      <c r="AL14" s="13">
        <f>+Inputs!AL22</f>
        <v>11525.289766490629</v>
      </c>
      <c r="AM14" s="13">
        <f>+Inputs!AM22</f>
        <v>11408.872698142241</v>
      </c>
      <c r="AN14" s="13">
        <f>+Inputs!AN22</f>
        <v>11292.455629793849</v>
      </c>
      <c r="AO14" s="13">
        <f>+Inputs!AO22</f>
        <v>11206.657845175445</v>
      </c>
      <c r="AP14" s="13">
        <f>+Inputs!AP22</f>
        <v>11059.621493097071</v>
      </c>
      <c r="AQ14" s="13">
        <f>+Inputs!AQ22</f>
        <v>10943.204424748681</v>
      </c>
      <c r="AR14" s="13">
        <f>+Inputs!AR22</f>
        <v>10826.787356400291</v>
      </c>
      <c r="AS14" s="13">
        <f>+Inputs!AS22</f>
        <v>10739.713768293137</v>
      </c>
      <c r="AT14" s="13">
        <f>+Inputs!AT22</f>
        <v>10593.953219703511</v>
      </c>
      <c r="AU14" s="13">
        <f>+Inputs!AU22</f>
        <v>10477.536151355123</v>
      </c>
      <c r="AV14" s="13">
        <f>+Inputs!AV22</f>
        <v>10361.119083006732</v>
      </c>
      <c r="AW14" s="13">
        <f>+Inputs!AW22</f>
        <v>10272.769691410829</v>
      </c>
      <c r="AX14" s="13">
        <f>+Inputs!AX22</f>
        <v>10128.284946309954</v>
      </c>
    </row>
    <row r="15" spans="1:50">
      <c r="A15" s="15" t="s">
        <v>182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O15" s="13"/>
      <c r="P15" s="13">
        <f>+Inputs!P23</f>
        <v>0</v>
      </c>
      <c r="Q15" s="13">
        <f>+Inputs!Q23</f>
        <v>0</v>
      </c>
      <c r="R15" s="13">
        <f>+Inputs!R23</f>
        <v>0</v>
      </c>
      <c r="S15" s="13">
        <f>+Inputs!S23</f>
        <v>0</v>
      </c>
      <c r="T15" s="13">
        <f>+Inputs!T23</f>
        <v>0</v>
      </c>
      <c r="U15" s="13">
        <f>+Inputs!U23</f>
        <v>0</v>
      </c>
      <c r="V15" s="13">
        <f>+Inputs!V23</f>
        <v>0</v>
      </c>
      <c r="W15" s="13">
        <f>+Inputs!W23</f>
        <v>0</v>
      </c>
      <c r="X15" s="13">
        <f>+Inputs!X23</f>
        <v>0</v>
      </c>
      <c r="Y15" s="13">
        <f>+Inputs!Y23</f>
        <v>0</v>
      </c>
      <c r="Z15" s="13">
        <f>+Inputs!Z23</f>
        <v>0</v>
      </c>
      <c r="AA15" s="13">
        <f>+Inputs!AA23</f>
        <v>0</v>
      </c>
      <c r="AB15" s="13">
        <f>+Inputs!AB23</f>
        <v>0</v>
      </c>
      <c r="AC15" s="13">
        <f>+Inputs!AC23</f>
        <v>0</v>
      </c>
      <c r="AD15" s="13">
        <f>+Inputs!AD23</f>
        <v>0</v>
      </c>
      <c r="AE15" s="13">
        <f>+Inputs!AE23</f>
        <v>0</v>
      </c>
      <c r="AF15" s="13">
        <f>+Inputs!AF23</f>
        <v>0</v>
      </c>
      <c r="AG15" s="13">
        <f>+Inputs!AG23</f>
        <v>0</v>
      </c>
      <c r="AH15" s="13">
        <f>+Inputs!AH23</f>
        <v>0</v>
      </c>
      <c r="AI15" s="13">
        <f>+Inputs!AI23</f>
        <v>0</v>
      </c>
      <c r="AJ15" s="13">
        <f>+Inputs!AJ23</f>
        <v>0</v>
      </c>
      <c r="AK15" s="13">
        <f>+Inputs!AK23</f>
        <v>0</v>
      </c>
      <c r="AL15" s="13">
        <f>+Inputs!AL23</f>
        <v>0</v>
      </c>
      <c r="AM15" s="13">
        <f>+Inputs!AM23</f>
        <v>0</v>
      </c>
      <c r="AN15" s="13">
        <f>+Inputs!AN23</f>
        <v>0</v>
      </c>
      <c r="AO15" s="13">
        <f>+Inputs!AO23</f>
        <v>0</v>
      </c>
      <c r="AP15" s="13">
        <f>+Inputs!AP23</f>
        <v>0</v>
      </c>
      <c r="AQ15" s="13">
        <f>+Inputs!AQ23</f>
        <v>0</v>
      </c>
      <c r="AR15" s="13">
        <f>+Inputs!AR23</f>
        <v>0</v>
      </c>
      <c r="AS15" s="13">
        <f>+Inputs!AS23</f>
        <v>0</v>
      </c>
      <c r="AT15" s="13">
        <f>+Inputs!AT23</f>
        <v>0</v>
      </c>
      <c r="AU15" s="13">
        <f>+Inputs!AU23</f>
        <v>0</v>
      </c>
      <c r="AV15" s="13">
        <f>+Inputs!AV23</f>
        <v>0</v>
      </c>
      <c r="AW15" s="13">
        <f>+Inputs!AW23</f>
        <v>0</v>
      </c>
      <c r="AX15" s="13">
        <f>+Inputs!AX23</f>
        <v>0</v>
      </c>
    </row>
    <row r="16" spans="1:50">
      <c r="A16" s="15" t="s">
        <v>183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O16" s="13"/>
      <c r="P16" s="13">
        <f>+Inputs!P24</f>
        <v>11241.926339692429</v>
      </c>
      <c r="Q16" s="13">
        <f>+Inputs!Q24</f>
        <v>11241.926339692429</v>
      </c>
      <c r="R16" s="13">
        <f>+Inputs!R24</f>
        <v>11241.926339692429</v>
      </c>
      <c r="S16" s="13">
        <f>+Inputs!S24</f>
        <v>11241.926339692429</v>
      </c>
      <c r="T16" s="13">
        <f>+Inputs!T24</f>
        <v>11241.926339692429</v>
      </c>
      <c r="U16" s="13">
        <f>+Inputs!U24</f>
        <v>11241.926339692429</v>
      </c>
      <c r="V16" s="13">
        <f>+Inputs!V24</f>
        <v>11145.013181591632</v>
      </c>
      <c r="W16" s="13">
        <f>+Inputs!W24</f>
        <v>11048.100023490837</v>
      </c>
      <c r="X16" s="13">
        <f>+Inputs!X24</f>
        <v>10951.18686539004</v>
      </c>
      <c r="Y16" s="13">
        <f>+Inputs!Y24</f>
        <v>10854.273707289243</v>
      </c>
      <c r="Z16" s="13">
        <f>+Inputs!Z24</f>
        <v>10757.360549188446</v>
      </c>
      <c r="AA16" s="13">
        <f>+Inputs!AA24</f>
        <v>10660.447391087651</v>
      </c>
      <c r="AB16" s="13">
        <f>+Inputs!AB24</f>
        <v>10563.534232986854</v>
      </c>
      <c r="AC16" s="13">
        <f>+Inputs!AC24</f>
        <v>10466.621074886058</v>
      </c>
      <c r="AD16" s="13">
        <f>+Inputs!AD24</f>
        <v>10369.707916785261</v>
      </c>
      <c r="AE16" s="13">
        <f>+Inputs!AE24</f>
        <v>10272.794758684466</v>
      </c>
      <c r="AF16" s="13">
        <f>+Inputs!AF24</f>
        <v>10175.881600583669</v>
      </c>
      <c r="AG16" s="13">
        <f>+Inputs!AG24</f>
        <v>10078.968442482872</v>
      </c>
      <c r="AH16" s="13">
        <f>+Inputs!AH24</f>
        <v>9982.0552843820751</v>
      </c>
      <c r="AI16" s="13">
        <f>+Inputs!AI24</f>
        <v>9885.1421262812801</v>
      </c>
      <c r="AJ16" s="13">
        <f>+Inputs!AJ24</f>
        <v>9788.2289681804832</v>
      </c>
      <c r="AK16" s="13">
        <f>+Inputs!AK24</f>
        <v>9691.3158100796863</v>
      </c>
      <c r="AL16" s="13">
        <f>+Inputs!AL24</f>
        <v>9594.4026519788913</v>
      </c>
      <c r="AM16" s="13">
        <f>+Inputs!AM24</f>
        <v>9497.4894938780944</v>
      </c>
      <c r="AN16" s="13">
        <f>+Inputs!AN24</f>
        <v>9400.5763357772976</v>
      </c>
      <c r="AO16" s="13">
        <f>+Inputs!AO24</f>
        <v>9303.6631776765007</v>
      </c>
      <c r="AP16" s="13">
        <f>+Inputs!AP24</f>
        <v>9206.7500195757057</v>
      </c>
      <c r="AQ16" s="13">
        <f>+Inputs!AQ24</f>
        <v>9109.8368614749088</v>
      </c>
      <c r="AR16" s="13">
        <f>+Inputs!AR24</f>
        <v>9012.9237033741119</v>
      </c>
      <c r="AS16" s="13">
        <f>+Inputs!AS24</f>
        <v>8916.0105452733151</v>
      </c>
      <c r="AT16" s="13">
        <f>+Inputs!AT24</f>
        <v>8819.09738717252</v>
      </c>
      <c r="AU16" s="13">
        <f>+Inputs!AU24</f>
        <v>8722.1842290717232</v>
      </c>
      <c r="AV16" s="13">
        <f>+Inputs!AV24</f>
        <v>8625.2710709709263</v>
      </c>
      <c r="AW16" s="13">
        <f>+Inputs!AW24</f>
        <v>8528.3579128701294</v>
      </c>
      <c r="AX16" s="13">
        <f>+Inputs!AX24</f>
        <v>8431.4447547693344</v>
      </c>
    </row>
    <row r="17" spans="1:50">
      <c r="A17" s="12" t="s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O17" s="55"/>
      <c r="P17" s="55">
        <f>+Inputs!P26</f>
        <v>25214.28693327136</v>
      </c>
      <c r="Q17" s="55">
        <f>+Inputs!Q26</f>
        <v>25790.362917828486</v>
      </c>
      <c r="R17" s="55">
        <f>+Inputs!R26</f>
        <v>27112.913525857159</v>
      </c>
      <c r="S17" s="55">
        <f>+Inputs!S26</f>
        <v>28327.561611920122</v>
      </c>
      <c r="T17" s="55">
        <f>+Inputs!T26</f>
        <v>29077.486643933895</v>
      </c>
      <c r="U17" s="55">
        <f>+Inputs!U26</f>
        <v>29742.940852408286</v>
      </c>
      <c r="V17" s="55">
        <f>+Inputs!V26</f>
        <v>29998.998126092905</v>
      </c>
      <c r="W17" s="55">
        <f>+Inputs!W26</f>
        <v>30181.611721103916</v>
      </c>
      <c r="X17" s="55">
        <f>+Inputs!X26</f>
        <v>30277.338845921819</v>
      </c>
      <c r="Y17" s="55">
        <f>+Inputs!Y26</f>
        <v>30355.509881265934</v>
      </c>
      <c r="Z17" s="55">
        <f>+Inputs!Z26</f>
        <v>30327.700256936936</v>
      </c>
      <c r="AA17" s="55">
        <f>+Inputs!AA26</f>
        <v>30324.940270030704</v>
      </c>
      <c r="AB17" s="55">
        <f>+Inputs!AB26</f>
        <v>30314.398713469294</v>
      </c>
      <c r="AC17" s="55">
        <f>+Inputs!AC26</f>
        <v>30342.913753191177</v>
      </c>
      <c r="AD17" s="55">
        <f>+Inputs!AD26</f>
        <v>30298.972532760275</v>
      </c>
      <c r="AE17" s="55">
        <f>+Inputs!AE26</f>
        <v>30281.44509757818</v>
      </c>
      <c r="AF17" s="55">
        <f>+Inputs!AF26</f>
        <v>30246.462425154707</v>
      </c>
      <c r="AG17" s="55">
        <f>+Inputs!AG26</f>
        <v>30235.394579599168</v>
      </c>
      <c r="AH17" s="55">
        <f>+Inputs!AH26</f>
        <v>30142.117974100853</v>
      </c>
      <c r="AI17" s="55">
        <f>+Inputs!AI26</f>
        <v>30071.201541677379</v>
      </c>
      <c r="AJ17" s="55">
        <f>+Inputs!AJ26</f>
        <v>29992.917998909077</v>
      </c>
      <c r="AK17" s="55">
        <f>+Inputs!AK26</f>
        <v>29944.177684627852</v>
      </c>
      <c r="AL17" s="55">
        <f>+Inputs!AL26</f>
        <v>29814.63578785523</v>
      </c>
      <c r="AM17" s="55">
        <f>+Inputs!AM26</f>
        <v>29710.894187155893</v>
      </c>
      <c r="AN17" s="55">
        <f>+Inputs!AN26</f>
        <v>29602.108191973799</v>
      </c>
      <c r="AO17" s="55">
        <f>+Inputs!AO26</f>
        <v>29520.967708277225</v>
      </c>
      <c r="AP17" s="55">
        <f>+Inputs!AP26</f>
        <v>29368.299804368227</v>
      </c>
      <c r="AQ17" s="55">
        <f>+Inputs!AQ26</f>
        <v>29244.932849186131</v>
      </c>
      <c r="AR17" s="55">
        <f>+Inputs!AR26</f>
        <v>29120.237800210933</v>
      </c>
      <c r="AS17" s="55">
        <f>+Inputs!AS26</f>
        <v>29026.470051926608</v>
      </c>
      <c r="AT17" s="55">
        <f>+Inputs!AT26</f>
        <v>28862.660975363986</v>
      </c>
      <c r="AU17" s="55">
        <f>+Inputs!AU26</f>
        <v>28723.310504319816</v>
      </c>
      <c r="AV17" s="55">
        <f>+Inputs!AV26</f>
        <v>28580.465103620481</v>
      </c>
      <c r="AW17" s="55">
        <f>+Inputs!AW26</f>
        <v>28465.675490748392</v>
      </c>
      <c r="AX17" s="55">
        <f>+Inputs!AX26</f>
        <v>28285.500180842497</v>
      </c>
    </row>
    <row r="18" spans="1:50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ht="13.5" thickBot="1">
      <c r="A19" s="12" t="s">
        <v>16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ht="13.5" thickBot="1">
      <c r="A20" s="15" t="s">
        <v>45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P20" s="104">
        <v>0.47010108141087503</v>
      </c>
      <c r="Q20" s="120">
        <f t="shared" ref="Q20:Q26" si="5">P20</f>
        <v>0.47010108141087503</v>
      </c>
      <c r="R20" s="120">
        <f t="shared" ref="R20:AM24" si="6">Q20</f>
        <v>0.47010108141087503</v>
      </c>
      <c r="S20" s="120">
        <f t="shared" si="6"/>
        <v>0.47010108141087503</v>
      </c>
      <c r="T20" s="120">
        <f t="shared" si="6"/>
        <v>0.47010108141087503</v>
      </c>
      <c r="U20" s="120">
        <f t="shared" si="6"/>
        <v>0.47010108141087503</v>
      </c>
      <c r="V20" s="120">
        <f t="shared" si="6"/>
        <v>0.47010108141087503</v>
      </c>
      <c r="W20" s="120">
        <f t="shared" si="6"/>
        <v>0.47010108141087503</v>
      </c>
      <c r="X20" s="120">
        <f t="shared" si="6"/>
        <v>0.47010108141087503</v>
      </c>
      <c r="Y20" s="120">
        <f t="shared" si="6"/>
        <v>0.47010108141087503</v>
      </c>
      <c r="Z20" s="120">
        <f t="shared" si="6"/>
        <v>0.47010108141087503</v>
      </c>
      <c r="AA20" s="120">
        <f t="shared" si="6"/>
        <v>0.47010108141087503</v>
      </c>
      <c r="AB20" s="120">
        <f t="shared" si="6"/>
        <v>0.47010108141087503</v>
      </c>
      <c r="AC20" s="120">
        <f t="shared" si="6"/>
        <v>0.47010108141087503</v>
      </c>
      <c r="AD20" s="120">
        <f t="shared" si="6"/>
        <v>0.47010108141087503</v>
      </c>
      <c r="AE20" s="120">
        <f t="shared" si="6"/>
        <v>0.47010108141087503</v>
      </c>
      <c r="AF20" s="120">
        <f t="shared" si="6"/>
        <v>0.47010108141087503</v>
      </c>
      <c r="AG20" s="120">
        <f t="shared" si="6"/>
        <v>0.47010108141087503</v>
      </c>
      <c r="AH20" s="120">
        <f t="shared" si="6"/>
        <v>0.47010108141087503</v>
      </c>
      <c r="AI20" s="120">
        <f t="shared" si="6"/>
        <v>0.47010108141087503</v>
      </c>
      <c r="AJ20" s="120">
        <f t="shared" si="6"/>
        <v>0.47010108141087503</v>
      </c>
      <c r="AK20" s="120">
        <f t="shared" si="6"/>
        <v>0.47010108141087503</v>
      </c>
      <c r="AL20" s="120">
        <f t="shared" si="6"/>
        <v>0.47010108141087503</v>
      </c>
      <c r="AM20" s="120">
        <f t="shared" si="6"/>
        <v>0.47010108141087503</v>
      </c>
      <c r="AN20" s="120">
        <f t="shared" ref="AN20:AN25" si="7">AM20</f>
        <v>0.47010108141087503</v>
      </c>
      <c r="AO20" s="120">
        <f t="shared" ref="AO20:AO25" si="8">AN20</f>
        <v>0.47010108141087503</v>
      </c>
      <c r="AP20" s="120">
        <f t="shared" ref="AP20:AP25" si="9">AO20</f>
        <v>0.47010108141087503</v>
      </c>
      <c r="AQ20" s="120">
        <f t="shared" ref="AQ20:AQ25" si="10">AP20</f>
        <v>0.47010108141087503</v>
      </c>
      <c r="AR20" s="120">
        <f t="shared" ref="AR20:AR25" si="11">AQ20</f>
        <v>0.47010108141087503</v>
      </c>
      <c r="AS20" s="120">
        <f t="shared" ref="AS20:AS25" si="12">AR20</f>
        <v>0.47010108141087503</v>
      </c>
      <c r="AT20" s="120">
        <f t="shared" ref="AT20:AT25" si="13">AS20</f>
        <v>0.47010108141087503</v>
      </c>
      <c r="AU20" s="120">
        <f t="shared" ref="AU20:AU25" si="14">AT20</f>
        <v>0.47010108141087503</v>
      </c>
      <c r="AV20" s="120">
        <f t="shared" ref="AV20:AV25" si="15">AU20</f>
        <v>0.47010108141087503</v>
      </c>
      <c r="AW20" s="120">
        <f t="shared" ref="AW20:AW25" si="16">AV20</f>
        <v>0.47010108141087503</v>
      </c>
      <c r="AX20" s="120">
        <f t="shared" ref="AX20:AX25" si="17">AW20</f>
        <v>0.47010108141087503</v>
      </c>
    </row>
    <row r="21" spans="1:50">
      <c r="A21" s="15" t="s">
        <v>46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3"/>
      <c r="O21" s="120">
        <f>+Inputs!O107</f>
        <v>1</v>
      </c>
      <c r="P21" s="120">
        <f>+P$20*O21</f>
        <v>0.47010108141087503</v>
      </c>
      <c r="Q21" s="120">
        <f t="shared" si="5"/>
        <v>0.47010108141087503</v>
      </c>
      <c r="R21" s="120">
        <f t="shared" si="6"/>
        <v>0.47010108141087503</v>
      </c>
      <c r="S21" s="120">
        <f t="shared" si="6"/>
        <v>0.47010108141087503</v>
      </c>
      <c r="T21" s="120">
        <f t="shared" si="6"/>
        <v>0.47010108141087503</v>
      </c>
      <c r="U21" s="120">
        <f t="shared" si="6"/>
        <v>0.47010108141087503</v>
      </c>
      <c r="V21" s="120">
        <f t="shared" si="6"/>
        <v>0.47010108141087503</v>
      </c>
      <c r="W21" s="120">
        <f t="shared" si="6"/>
        <v>0.47010108141087503</v>
      </c>
      <c r="X21" s="120">
        <f t="shared" si="6"/>
        <v>0.47010108141087503</v>
      </c>
      <c r="Y21" s="120">
        <f t="shared" si="6"/>
        <v>0.47010108141087503</v>
      </c>
      <c r="Z21" s="120">
        <f t="shared" si="6"/>
        <v>0.47010108141087503</v>
      </c>
      <c r="AA21" s="120">
        <f t="shared" si="6"/>
        <v>0.47010108141087503</v>
      </c>
      <c r="AB21" s="120">
        <f t="shared" si="6"/>
        <v>0.47010108141087503</v>
      </c>
      <c r="AC21" s="120">
        <f t="shared" si="6"/>
        <v>0.47010108141087503</v>
      </c>
      <c r="AD21" s="120">
        <f t="shared" si="6"/>
        <v>0.47010108141087503</v>
      </c>
      <c r="AE21" s="120">
        <f t="shared" si="6"/>
        <v>0.47010108141087503</v>
      </c>
      <c r="AF21" s="120">
        <f t="shared" si="6"/>
        <v>0.47010108141087503</v>
      </c>
      <c r="AG21" s="120">
        <f t="shared" si="6"/>
        <v>0.47010108141087503</v>
      </c>
      <c r="AH21" s="120">
        <f t="shared" si="6"/>
        <v>0.47010108141087503</v>
      </c>
      <c r="AI21" s="120">
        <f t="shared" si="6"/>
        <v>0.47010108141087503</v>
      </c>
      <c r="AJ21" s="120">
        <f t="shared" si="6"/>
        <v>0.47010108141087503</v>
      </c>
      <c r="AK21" s="120">
        <f t="shared" si="6"/>
        <v>0.47010108141087503</v>
      </c>
      <c r="AL21" s="120">
        <f t="shared" si="6"/>
        <v>0.47010108141087503</v>
      </c>
      <c r="AM21" s="120">
        <f t="shared" si="6"/>
        <v>0.47010108141087503</v>
      </c>
      <c r="AN21" s="120">
        <f t="shared" si="7"/>
        <v>0.47010108141087503</v>
      </c>
      <c r="AO21" s="120">
        <f t="shared" si="8"/>
        <v>0.47010108141087503</v>
      </c>
      <c r="AP21" s="120">
        <f t="shared" si="9"/>
        <v>0.47010108141087503</v>
      </c>
      <c r="AQ21" s="120">
        <f t="shared" si="10"/>
        <v>0.47010108141087503</v>
      </c>
      <c r="AR21" s="120">
        <f t="shared" si="11"/>
        <v>0.47010108141087503</v>
      </c>
      <c r="AS21" s="120">
        <f t="shared" si="12"/>
        <v>0.47010108141087503</v>
      </c>
      <c r="AT21" s="120">
        <f t="shared" si="13"/>
        <v>0.47010108141087503</v>
      </c>
      <c r="AU21" s="120">
        <f t="shared" si="14"/>
        <v>0.47010108141087503</v>
      </c>
      <c r="AV21" s="120">
        <f t="shared" si="15"/>
        <v>0.47010108141087503</v>
      </c>
      <c r="AW21" s="120">
        <f t="shared" si="16"/>
        <v>0.47010108141087503</v>
      </c>
      <c r="AX21" s="120">
        <f t="shared" si="17"/>
        <v>0.47010108141087503</v>
      </c>
    </row>
    <row r="22" spans="1:50">
      <c r="A22" s="15" t="s">
        <v>47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3"/>
      <c r="O22" s="120">
        <f>+Inputs!O108</f>
        <v>0.96599999999999997</v>
      </c>
      <c r="P22" s="120">
        <f t="shared" ref="P22:P26" si="18">+P$20*O22</f>
        <v>0.45411764464290527</v>
      </c>
      <c r="Q22" s="120">
        <f t="shared" si="5"/>
        <v>0.45411764464290527</v>
      </c>
      <c r="R22" s="120">
        <f t="shared" si="6"/>
        <v>0.45411764464290527</v>
      </c>
      <c r="S22" s="120">
        <f t="shared" si="6"/>
        <v>0.45411764464290527</v>
      </c>
      <c r="T22" s="120">
        <f t="shared" si="6"/>
        <v>0.45411764464290527</v>
      </c>
      <c r="U22" s="120">
        <f t="shared" si="6"/>
        <v>0.45411764464290527</v>
      </c>
      <c r="V22" s="120">
        <f t="shared" si="6"/>
        <v>0.45411764464290527</v>
      </c>
      <c r="W22" s="120">
        <f t="shared" si="6"/>
        <v>0.45411764464290527</v>
      </c>
      <c r="X22" s="120">
        <f t="shared" si="6"/>
        <v>0.45411764464290527</v>
      </c>
      <c r="Y22" s="120">
        <f t="shared" si="6"/>
        <v>0.45411764464290527</v>
      </c>
      <c r="Z22" s="120">
        <f t="shared" si="6"/>
        <v>0.45411764464290527</v>
      </c>
      <c r="AA22" s="120">
        <f t="shared" si="6"/>
        <v>0.45411764464290527</v>
      </c>
      <c r="AB22" s="120">
        <f t="shared" si="6"/>
        <v>0.45411764464290527</v>
      </c>
      <c r="AC22" s="120">
        <f t="shared" si="6"/>
        <v>0.45411764464290527</v>
      </c>
      <c r="AD22" s="120">
        <f t="shared" si="6"/>
        <v>0.45411764464290527</v>
      </c>
      <c r="AE22" s="120">
        <f t="shared" si="6"/>
        <v>0.45411764464290527</v>
      </c>
      <c r="AF22" s="120">
        <f t="shared" si="6"/>
        <v>0.45411764464290527</v>
      </c>
      <c r="AG22" s="120">
        <f t="shared" si="6"/>
        <v>0.45411764464290527</v>
      </c>
      <c r="AH22" s="120">
        <f t="shared" si="6"/>
        <v>0.45411764464290527</v>
      </c>
      <c r="AI22" s="120">
        <f t="shared" si="6"/>
        <v>0.45411764464290527</v>
      </c>
      <c r="AJ22" s="120">
        <f t="shared" si="6"/>
        <v>0.45411764464290527</v>
      </c>
      <c r="AK22" s="120">
        <f t="shared" si="6"/>
        <v>0.45411764464290527</v>
      </c>
      <c r="AL22" s="120">
        <f t="shared" si="6"/>
        <v>0.45411764464290527</v>
      </c>
      <c r="AM22" s="120">
        <f t="shared" si="6"/>
        <v>0.45411764464290527</v>
      </c>
      <c r="AN22" s="120">
        <f t="shared" si="7"/>
        <v>0.45411764464290527</v>
      </c>
      <c r="AO22" s="120">
        <f t="shared" si="8"/>
        <v>0.45411764464290527</v>
      </c>
      <c r="AP22" s="120">
        <f t="shared" si="9"/>
        <v>0.45411764464290527</v>
      </c>
      <c r="AQ22" s="120">
        <f t="shared" si="10"/>
        <v>0.45411764464290527</v>
      </c>
      <c r="AR22" s="120">
        <f t="shared" si="11"/>
        <v>0.45411764464290527</v>
      </c>
      <c r="AS22" s="120">
        <f t="shared" si="12"/>
        <v>0.45411764464290527</v>
      </c>
      <c r="AT22" s="120">
        <f t="shared" si="13"/>
        <v>0.45411764464290527</v>
      </c>
      <c r="AU22" s="120">
        <f t="shared" si="14"/>
        <v>0.45411764464290527</v>
      </c>
      <c r="AV22" s="120">
        <f t="shared" si="15"/>
        <v>0.45411764464290527</v>
      </c>
      <c r="AW22" s="120">
        <f t="shared" si="16"/>
        <v>0.45411764464290527</v>
      </c>
      <c r="AX22" s="120">
        <f t="shared" si="17"/>
        <v>0.45411764464290527</v>
      </c>
    </row>
    <row r="23" spans="1:50">
      <c r="A23" s="15" t="s">
        <v>48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3"/>
      <c r="O23" s="120">
        <f>+Inputs!O109</f>
        <v>0.55000000000000004</v>
      </c>
      <c r="P23" s="120">
        <f t="shared" si="18"/>
        <v>0.25855559477598128</v>
      </c>
      <c r="Q23" s="120">
        <f t="shared" si="5"/>
        <v>0.25855559477598128</v>
      </c>
      <c r="R23" s="120">
        <f t="shared" si="6"/>
        <v>0.25855559477598128</v>
      </c>
      <c r="S23" s="120">
        <f t="shared" si="6"/>
        <v>0.25855559477598128</v>
      </c>
      <c r="T23" s="120">
        <f t="shared" si="6"/>
        <v>0.25855559477598128</v>
      </c>
      <c r="U23" s="120">
        <f t="shared" si="6"/>
        <v>0.25855559477598128</v>
      </c>
      <c r="V23" s="120">
        <f t="shared" si="6"/>
        <v>0.25855559477598128</v>
      </c>
      <c r="W23" s="120">
        <f t="shared" si="6"/>
        <v>0.25855559477598128</v>
      </c>
      <c r="X23" s="120">
        <f t="shared" si="6"/>
        <v>0.25855559477598128</v>
      </c>
      <c r="Y23" s="120">
        <f t="shared" si="6"/>
        <v>0.25855559477598128</v>
      </c>
      <c r="Z23" s="120">
        <f t="shared" si="6"/>
        <v>0.25855559477598128</v>
      </c>
      <c r="AA23" s="120">
        <f t="shared" si="6"/>
        <v>0.25855559477598128</v>
      </c>
      <c r="AB23" s="120">
        <f t="shared" si="6"/>
        <v>0.25855559477598128</v>
      </c>
      <c r="AC23" s="120">
        <f t="shared" si="6"/>
        <v>0.25855559477598128</v>
      </c>
      <c r="AD23" s="120">
        <f t="shared" si="6"/>
        <v>0.25855559477598128</v>
      </c>
      <c r="AE23" s="120">
        <f t="shared" si="6"/>
        <v>0.25855559477598128</v>
      </c>
      <c r="AF23" s="120">
        <f t="shared" si="6"/>
        <v>0.25855559477598128</v>
      </c>
      <c r="AG23" s="120">
        <f t="shared" si="6"/>
        <v>0.25855559477598128</v>
      </c>
      <c r="AH23" s="120">
        <f t="shared" si="6"/>
        <v>0.25855559477598128</v>
      </c>
      <c r="AI23" s="120">
        <f t="shared" si="6"/>
        <v>0.25855559477598128</v>
      </c>
      <c r="AJ23" s="120">
        <f t="shared" si="6"/>
        <v>0.25855559477598128</v>
      </c>
      <c r="AK23" s="120">
        <f t="shared" si="6"/>
        <v>0.25855559477598128</v>
      </c>
      <c r="AL23" s="120">
        <f t="shared" si="6"/>
        <v>0.25855559477598128</v>
      </c>
      <c r="AM23" s="120">
        <f t="shared" si="6"/>
        <v>0.25855559477598128</v>
      </c>
      <c r="AN23" s="120">
        <f t="shared" si="7"/>
        <v>0.25855559477598128</v>
      </c>
      <c r="AO23" s="120">
        <f t="shared" si="8"/>
        <v>0.25855559477598128</v>
      </c>
      <c r="AP23" s="120">
        <f t="shared" si="9"/>
        <v>0.25855559477598128</v>
      </c>
      <c r="AQ23" s="120">
        <f t="shared" si="10"/>
        <v>0.25855559477598128</v>
      </c>
      <c r="AR23" s="120">
        <f t="shared" si="11"/>
        <v>0.25855559477598128</v>
      </c>
      <c r="AS23" s="120">
        <f t="shared" si="12"/>
        <v>0.25855559477598128</v>
      </c>
      <c r="AT23" s="120">
        <f t="shared" si="13"/>
        <v>0.25855559477598128</v>
      </c>
      <c r="AU23" s="120">
        <f t="shared" si="14"/>
        <v>0.25855559477598128</v>
      </c>
      <c r="AV23" s="120">
        <f t="shared" si="15"/>
        <v>0.25855559477598128</v>
      </c>
      <c r="AW23" s="120">
        <f t="shared" si="16"/>
        <v>0.25855559477598128</v>
      </c>
      <c r="AX23" s="120">
        <f t="shared" si="17"/>
        <v>0.25855559477598128</v>
      </c>
    </row>
    <row r="24" spans="1:50">
      <c r="A24" s="15" t="s">
        <v>181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3"/>
      <c r="O24" s="120">
        <f>+Inputs!O110</f>
        <v>0.55000000000000004</v>
      </c>
      <c r="P24" s="120">
        <f t="shared" si="18"/>
        <v>0.25855559477598128</v>
      </c>
      <c r="Q24" s="120">
        <f t="shared" si="5"/>
        <v>0.25855559477598128</v>
      </c>
      <c r="R24" s="120">
        <f t="shared" si="6"/>
        <v>0.25855559477598128</v>
      </c>
      <c r="S24" s="120">
        <f t="shared" si="6"/>
        <v>0.25855559477598128</v>
      </c>
      <c r="T24" s="120">
        <f t="shared" si="6"/>
        <v>0.25855559477598128</v>
      </c>
      <c r="U24" s="120">
        <f t="shared" si="6"/>
        <v>0.25855559477598128</v>
      </c>
      <c r="V24" s="120">
        <f t="shared" si="6"/>
        <v>0.25855559477598128</v>
      </c>
      <c r="W24" s="120">
        <f t="shared" si="6"/>
        <v>0.25855559477598128</v>
      </c>
      <c r="X24" s="120">
        <f t="shared" si="6"/>
        <v>0.25855559477598128</v>
      </c>
      <c r="Y24" s="120">
        <f t="shared" si="6"/>
        <v>0.25855559477598128</v>
      </c>
      <c r="Z24" s="120">
        <f t="shared" si="6"/>
        <v>0.25855559477598128</v>
      </c>
      <c r="AA24" s="120">
        <f t="shared" si="6"/>
        <v>0.25855559477598128</v>
      </c>
      <c r="AB24" s="120">
        <f t="shared" si="6"/>
        <v>0.25855559477598128</v>
      </c>
      <c r="AC24" s="120">
        <f t="shared" si="6"/>
        <v>0.25855559477598128</v>
      </c>
      <c r="AD24" s="120">
        <f t="shared" si="6"/>
        <v>0.25855559477598128</v>
      </c>
      <c r="AE24" s="120">
        <f t="shared" si="6"/>
        <v>0.25855559477598128</v>
      </c>
      <c r="AF24" s="120">
        <f t="shared" si="6"/>
        <v>0.25855559477598128</v>
      </c>
      <c r="AG24" s="120">
        <f t="shared" si="6"/>
        <v>0.25855559477598128</v>
      </c>
      <c r="AH24" s="120">
        <f t="shared" si="6"/>
        <v>0.25855559477598128</v>
      </c>
      <c r="AI24" s="120">
        <f t="shared" si="6"/>
        <v>0.25855559477598128</v>
      </c>
      <c r="AJ24" s="120">
        <f t="shared" si="6"/>
        <v>0.25855559477598128</v>
      </c>
      <c r="AK24" s="120">
        <f t="shared" si="6"/>
        <v>0.25855559477598128</v>
      </c>
      <c r="AL24" s="120">
        <f t="shared" si="6"/>
        <v>0.25855559477598128</v>
      </c>
      <c r="AM24" s="120">
        <f t="shared" si="6"/>
        <v>0.25855559477598128</v>
      </c>
      <c r="AN24" s="120">
        <f t="shared" si="7"/>
        <v>0.25855559477598128</v>
      </c>
      <c r="AO24" s="120">
        <f t="shared" si="8"/>
        <v>0.25855559477598128</v>
      </c>
      <c r="AP24" s="120">
        <f t="shared" si="9"/>
        <v>0.25855559477598128</v>
      </c>
      <c r="AQ24" s="120">
        <f t="shared" si="10"/>
        <v>0.25855559477598128</v>
      </c>
      <c r="AR24" s="120">
        <f t="shared" si="11"/>
        <v>0.25855559477598128</v>
      </c>
      <c r="AS24" s="120">
        <f t="shared" si="12"/>
        <v>0.25855559477598128</v>
      </c>
      <c r="AT24" s="120">
        <f t="shared" si="13"/>
        <v>0.25855559477598128</v>
      </c>
      <c r="AU24" s="120">
        <f t="shared" si="14"/>
        <v>0.25855559477598128</v>
      </c>
      <c r="AV24" s="120">
        <f t="shared" si="15"/>
        <v>0.25855559477598128</v>
      </c>
      <c r="AW24" s="120">
        <f t="shared" si="16"/>
        <v>0.25855559477598128</v>
      </c>
      <c r="AX24" s="120">
        <f t="shared" si="17"/>
        <v>0.25855559477598128</v>
      </c>
    </row>
    <row r="25" spans="1:50">
      <c r="A25" s="15" t="s">
        <v>182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3"/>
      <c r="O25" s="120">
        <f>+Inputs!O111</f>
        <v>0.55000000000000004</v>
      </c>
      <c r="P25" s="120">
        <f t="shared" si="18"/>
        <v>0.25855559477598128</v>
      </c>
      <c r="Q25" s="120">
        <f t="shared" si="5"/>
        <v>0.25855559477598128</v>
      </c>
      <c r="R25" s="120">
        <f t="shared" ref="R25:AM25" si="19">Q25</f>
        <v>0.25855559477598128</v>
      </c>
      <c r="S25" s="120">
        <f t="shared" si="19"/>
        <v>0.25855559477598128</v>
      </c>
      <c r="T25" s="120">
        <f t="shared" si="19"/>
        <v>0.25855559477598128</v>
      </c>
      <c r="U25" s="120">
        <f t="shared" si="19"/>
        <v>0.25855559477598128</v>
      </c>
      <c r="V25" s="120">
        <f t="shared" si="19"/>
        <v>0.25855559477598128</v>
      </c>
      <c r="W25" s="120">
        <f t="shared" si="19"/>
        <v>0.25855559477598128</v>
      </c>
      <c r="X25" s="120">
        <f t="shared" si="19"/>
        <v>0.25855559477598128</v>
      </c>
      <c r="Y25" s="120">
        <f t="shared" si="19"/>
        <v>0.25855559477598128</v>
      </c>
      <c r="Z25" s="120">
        <f t="shared" si="19"/>
        <v>0.25855559477598128</v>
      </c>
      <c r="AA25" s="120">
        <f t="shared" si="19"/>
        <v>0.25855559477598128</v>
      </c>
      <c r="AB25" s="120">
        <f t="shared" si="19"/>
        <v>0.25855559477598128</v>
      </c>
      <c r="AC25" s="120">
        <f t="shared" si="19"/>
        <v>0.25855559477598128</v>
      </c>
      <c r="AD25" s="120">
        <f t="shared" si="19"/>
        <v>0.25855559477598128</v>
      </c>
      <c r="AE25" s="120">
        <f t="shared" si="19"/>
        <v>0.25855559477598128</v>
      </c>
      <c r="AF25" s="120">
        <f t="shared" si="19"/>
        <v>0.25855559477598128</v>
      </c>
      <c r="AG25" s="120">
        <f t="shared" si="19"/>
        <v>0.25855559477598128</v>
      </c>
      <c r="AH25" s="120">
        <f t="shared" si="19"/>
        <v>0.25855559477598128</v>
      </c>
      <c r="AI25" s="120">
        <f t="shared" si="19"/>
        <v>0.25855559477598128</v>
      </c>
      <c r="AJ25" s="120">
        <f t="shared" si="19"/>
        <v>0.25855559477598128</v>
      </c>
      <c r="AK25" s="120">
        <f t="shared" si="19"/>
        <v>0.25855559477598128</v>
      </c>
      <c r="AL25" s="120">
        <f t="shared" si="19"/>
        <v>0.25855559477598128</v>
      </c>
      <c r="AM25" s="120">
        <f t="shared" si="19"/>
        <v>0.25855559477598128</v>
      </c>
      <c r="AN25" s="120">
        <f t="shared" si="7"/>
        <v>0.25855559477598128</v>
      </c>
      <c r="AO25" s="120">
        <f t="shared" si="8"/>
        <v>0.25855559477598128</v>
      </c>
      <c r="AP25" s="120">
        <f t="shared" si="9"/>
        <v>0.25855559477598128</v>
      </c>
      <c r="AQ25" s="120">
        <f t="shared" si="10"/>
        <v>0.25855559477598128</v>
      </c>
      <c r="AR25" s="120">
        <f t="shared" si="11"/>
        <v>0.25855559477598128</v>
      </c>
      <c r="AS25" s="120">
        <f t="shared" si="12"/>
        <v>0.25855559477598128</v>
      </c>
      <c r="AT25" s="120">
        <f t="shared" si="13"/>
        <v>0.25855559477598128</v>
      </c>
      <c r="AU25" s="120">
        <f t="shared" si="14"/>
        <v>0.25855559477598128</v>
      </c>
      <c r="AV25" s="120">
        <f t="shared" si="15"/>
        <v>0.25855559477598128</v>
      </c>
      <c r="AW25" s="120">
        <f t="shared" si="16"/>
        <v>0.25855559477598128</v>
      </c>
      <c r="AX25" s="120">
        <f t="shared" si="17"/>
        <v>0.25855559477598128</v>
      </c>
    </row>
    <row r="26" spans="1:50">
      <c r="A26" s="15" t="s">
        <v>183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20">
        <f>+Inputs!O112</f>
        <v>0.41628345801745509</v>
      </c>
      <c r="P26" s="120">
        <f t="shared" si="18"/>
        <v>0.19569530378746422</v>
      </c>
      <c r="Q26" s="120">
        <f t="shared" si="5"/>
        <v>0.19569530378746422</v>
      </c>
      <c r="R26" s="120">
        <f t="shared" ref="R26:AM26" si="20">Q26</f>
        <v>0.19569530378746422</v>
      </c>
      <c r="S26" s="120">
        <f t="shared" si="20"/>
        <v>0.19569530378746422</v>
      </c>
      <c r="T26" s="120">
        <f t="shared" si="20"/>
        <v>0.19569530378746422</v>
      </c>
      <c r="U26" s="120">
        <f t="shared" si="20"/>
        <v>0.19569530378746422</v>
      </c>
      <c r="V26" s="120">
        <f t="shared" si="20"/>
        <v>0.19569530378746422</v>
      </c>
      <c r="W26" s="120">
        <f t="shared" si="20"/>
        <v>0.19569530378746422</v>
      </c>
      <c r="X26" s="120">
        <f t="shared" si="20"/>
        <v>0.19569530378746422</v>
      </c>
      <c r="Y26" s="120">
        <f t="shared" si="20"/>
        <v>0.19569530378746422</v>
      </c>
      <c r="Z26" s="120">
        <f t="shared" si="20"/>
        <v>0.19569530378746422</v>
      </c>
      <c r="AA26" s="120">
        <f t="shared" si="20"/>
        <v>0.19569530378746422</v>
      </c>
      <c r="AB26" s="120">
        <f t="shared" si="20"/>
        <v>0.19569530378746422</v>
      </c>
      <c r="AC26" s="120">
        <f t="shared" si="20"/>
        <v>0.19569530378746422</v>
      </c>
      <c r="AD26" s="120">
        <f t="shared" si="20"/>
        <v>0.19569530378746422</v>
      </c>
      <c r="AE26" s="120">
        <f t="shared" si="20"/>
        <v>0.19569530378746422</v>
      </c>
      <c r="AF26" s="120">
        <f t="shared" si="20"/>
        <v>0.19569530378746422</v>
      </c>
      <c r="AG26" s="120">
        <f t="shared" si="20"/>
        <v>0.19569530378746422</v>
      </c>
      <c r="AH26" s="120">
        <f t="shared" si="20"/>
        <v>0.19569530378746422</v>
      </c>
      <c r="AI26" s="120">
        <f t="shared" si="20"/>
        <v>0.19569530378746422</v>
      </c>
      <c r="AJ26" s="120">
        <f t="shared" si="20"/>
        <v>0.19569530378746422</v>
      </c>
      <c r="AK26" s="120">
        <f t="shared" si="20"/>
        <v>0.19569530378746422</v>
      </c>
      <c r="AL26" s="120">
        <f t="shared" si="20"/>
        <v>0.19569530378746422</v>
      </c>
      <c r="AM26" s="120">
        <f t="shared" si="20"/>
        <v>0.19569530378746422</v>
      </c>
      <c r="AN26" s="120">
        <f t="shared" ref="AN26:AX26" si="21">AM26</f>
        <v>0.19569530378746422</v>
      </c>
      <c r="AO26" s="120">
        <f t="shared" si="21"/>
        <v>0.19569530378746422</v>
      </c>
      <c r="AP26" s="120">
        <f t="shared" si="21"/>
        <v>0.19569530378746422</v>
      </c>
      <c r="AQ26" s="120">
        <f t="shared" si="21"/>
        <v>0.19569530378746422</v>
      </c>
      <c r="AR26" s="120">
        <f t="shared" si="21"/>
        <v>0.19569530378746422</v>
      </c>
      <c r="AS26" s="120">
        <f t="shared" si="21"/>
        <v>0.19569530378746422</v>
      </c>
      <c r="AT26" s="120">
        <f t="shared" si="21"/>
        <v>0.19569530378746422</v>
      </c>
      <c r="AU26" s="120">
        <f t="shared" si="21"/>
        <v>0.19569530378746422</v>
      </c>
      <c r="AV26" s="120">
        <f t="shared" si="21"/>
        <v>0.19569530378746422</v>
      </c>
      <c r="AW26" s="120">
        <f t="shared" si="21"/>
        <v>0.19569530378746422</v>
      </c>
      <c r="AX26" s="120">
        <f t="shared" si="21"/>
        <v>0.19569530378746422</v>
      </c>
    </row>
    <row r="27" spans="1:50">
      <c r="A27" s="15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>
      <c r="A28" s="12" t="s">
        <v>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O28" s="14"/>
      <c r="P28" s="14">
        <f>SUMPRODUCT(P10:P16,P20:P26)</f>
        <v>6154.3306649754231</v>
      </c>
      <c r="Q28" s="14">
        <f>SUMPRODUCT(Q10:Q16,Q20:Q26)</f>
        <v>6389.635369841697</v>
      </c>
      <c r="R28" s="14">
        <f t="shared" ref="R28:AM28" si="22">SUMPRODUCT(R10:R16,R20:R26)</f>
        <v>6841.7814215647959</v>
      </c>
      <c r="S28" s="14">
        <f t="shared" si="22"/>
        <v>7303.078325491977</v>
      </c>
      <c r="T28" s="14">
        <f t="shared" si="22"/>
        <v>7653.6273003847218</v>
      </c>
      <c r="U28" s="14">
        <f t="shared" si="22"/>
        <v>7958.0824391023016</v>
      </c>
      <c r="V28" s="14">
        <f t="shared" si="22"/>
        <v>8138.3487158400376</v>
      </c>
      <c r="W28" s="14">
        <f t="shared" si="22"/>
        <v>8276.0582838522496</v>
      </c>
      <c r="X28" s="14">
        <f t="shared" si="22"/>
        <v>8372.9224282667074</v>
      </c>
      <c r="Y28" s="14">
        <f t="shared" si="22"/>
        <v>8453.7796026951801</v>
      </c>
      <c r="Z28" s="14">
        <f t="shared" si="22"/>
        <v>8500.3228210807119</v>
      </c>
      <c r="AA28" s="14">
        <f t="shared" si="22"/>
        <v>8550.8880677686211</v>
      </c>
      <c r="AB28" s="14">
        <f t="shared" si="22"/>
        <v>8597.7951901465567</v>
      </c>
      <c r="AC28" s="14">
        <f t="shared" si="22"/>
        <v>8655.585949953731</v>
      </c>
      <c r="AD28" s="14">
        <f t="shared" si="22"/>
        <v>8694.2687649476247</v>
      </c>
      <c r="AE28" s="14">
        <f t="shared" si="22"/>
        <v>8737.8918182313719</v>
      </c>
      <c r="AF28" s="14">
        <f t="shared" si="22"/>
        <v>8773.3091456116636</v>
      </c>
      <c r="AG28" s="14">
        <f t="shared" si="22"/>
        <v>8812.7688708638125</v>
      </c>
      <c r="AH28" s="14">
        <f t="shared" si="22"/>
        <v>8827.9821453664426</v>
      </c>
      <c r="AI28" s="14">
        <f t="shared" si="22"/>
        <v>8846.5069733115743</v>
      </c>
      <c r="AJ28" s="14">
        <f t="shared" si="22"/>
        <v>8861.5685147167314</v>
      </c>
      <c r="AK28" s="14">
        <f t="shared" si="22"/>
        <v>8883.5952943007651</v>
      </c>
      <c r="AL28" s="14">
        <f t="shared" si="22"/>
        <v>8881.4832935384129</v>
      </c>
      <c r="AM28" s="14">
        <f t="shared" si="22"/>
        <v>8884.5769743795681</v>
      </c>
      <c r="AN28" s="14">
        <f t="shared" ref="AN28:AX28" si="23">SUMPRODUCT(AN10:AN16,AN20:AN26)</f>
        <v>8885.2992799193162</v>
      </c>
      <c r="AO28" s="14">
        <f t="shared" si="23"/>
        <v>8892.3716274425515</v>
      </c>
      <c r="AP28" s="14">
        <f t="shared" si="23"/>
        <v>8879.1111430974215</v>
      </c>
      <c r="AQ28" s="14">
        <f t="shared" si="23"/>
        <v>8872.9789235731587</v>
      </c>
      <c r="AR28" s="14">
        <f t="shared" si="23"/>
        <v>8866.2223657205468</v>
      </c>
      <c r="AS28" s="14">
        <f t="shared" si="23"/>
        <v>8867.6355451250656</v>
      </c>
      <c r="AT28" s="14">
        <f t="shared" si="23"/>
        <v>8848.8606608480331</v>
      </c>
      <c r="AU28" s="14">
        <f t="shared" si="23"/>
        <v>8835.2145732322642</v>
      </c>
      <c r="AV28" s="14">
        <f t="shared" si="23"/>
        <v>8819.9255154061448</v>
      </c>
      <c r="AW28" s="14">
        <f t="shared" si="23"/>
        <v>8811.7332161539362</v>
      </c>
      <c r="AX28" s="14">
        <f t="shared" si="23"/>
        <v>8784.9876252643571</v>
      </c>
    </row>
    <row r="29" spans="1:50">
      <c r="A29" s="15" t="s">
        <v>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O29" s="13"/>
      <c r="P29" s="13">
        <f t="shared" ref="P29:AM29" si="24">-P7</f>
        <v>-4217.9400843879648</v>
      </c>
      <c r="Q29" s="13">
        <f t="shared" si="24"/>
        <v>-3758.006338977033</v>
      </c>
      <c r="R29" s="13">
        <f t="shared" si="24"/>
        <v>-4677.375816999298</v>
      </c>
      <c r="S29" s="13">
        <f t="shared" si="24"/>
        <v>-5626.0419469285698</v>
      </c>
      <c r="T29" s="13">
        <f t="shared" si="24"/>
        <v>-3572.0569356295427</v>
      </c>
      <c r="U29" s="13">
        <f t="shared" si="24"/>
        <v>-4169.2738282653008</v>
      </c>
      <c r="V29" s="13">
        <f t="shared" si="24"/>
        <v>-1375.3154206352608</v>
      </c>
      <c r="W29" s="13">
        <f t="shared" si="24"/>
        <v>-1095.8996413116524</v>
      </c>
      <c r="X29" s="13">
        <f t="shared" si="24"/>
        <v>-1024.6360425663386</v>
      </c>
      <c r="Y29" s="13">
        <f t="shared" si="24"/>
        <v>-955.28374867795935</v>
      </c>
      <c r="Z29" s="13">
        <f t="shared" si="24"/>
        <v>-937.95983231835885</v>
      </c>
      <c r="AA29" s="13">
        <f t="shared" si="24"/>
        <v>-929.29787413855865</v>
      </c>
      <c r="AB29" s="13">
        <f t="shared" si="24"/>
        <v>-929.29787413855865</v>
      </c>
      <c r="AC29" s="13">
        <f t="shared" si="24"/>
        <v>-996.47418171071683</v>
      </c>
      <c r="AD29" s="13">
        <f t="shared" si="24"/>
        <v>-1052.4798504215169</v>
      </c>
      <c r="AE29" s="13">
        <f t="shared" si="24"/>
        <v>-1077.452222164708</v>
      </c>
      <c r="AF29" s="13">
        <f t="shared" si="24"/>
        <v>-1425.6225275963816</v>
      </c>
      <c r="AG29" s="13">
        <f t="shared" si="24"/>
        <v>-1039.9436375457813</v>
      </c>
      <c r="AH29" s="13">
        <f t="shared" si="24"/>
        <v>-1092.5857976382329</v>
      </c>
      <c r="AI29" s="13">
        <f t="shared" si="24"/>
        <v>-1020.383366929987</v>
      </c>
      <c r="AJ29" s="13">
        <f t="shared" si="24"/>
        <v>-998.43258002732227</v>
      </c>
      <c r="AK29" s="13">
        <f t="shared" si="24"/>
        <v>-966.11726845079693</v>
      </c>
      <c r="AL29" s="13">
        <f t="shared" si="24"/>
        <v>-943.72785259161196</v>
      </c>
      <c r="AM29" s="13">
        <f t="shared" si="24"/>
        <v>-975.55780653348017</v>
      </c>
      <c r="AN29" s="13">
        <f t="shared" ref="AN29:AX29" si="25">-AN7</f>
        <v>-938.15484701761045</v>
      </c>
      <c r="AO29" s="13">
        <f t="shared" si="25"/>
        <v>-949.16750025536021</v>
      </c>
      <c r="AP29" s="13">
        <f t="shared" si="25"/>
        <v>-908.74108363708956</v>
      </c>
      <c r="AQ29" s="13">
        <f t="shared" si="25"/>
        <v>-869.36320290632614</v>
      </c>
      <c r="AR29" s="13">
        <f t="shared" si="25"/>
        <v>-894.46030829464621</v>
      </c>
      <c r="AS29" s="13">
        <f t="shared" si="25"/>
        <v>-892.46961092623428</v>
      </c>
      <c r="AT29" s="13">
        <f t="shared" si="25"/>
        <v>-857.41991819622694</v>
      </c>
      <c r="AU29" s="13">
        <f t="shared" si="25"/>
        <v>-847.54173662933044</v>
      </c>
      <c r="AV29" s="13">
        <f t="shared" si="25"/>
        <v>-862.12042465562854</v>
      </c>
      <c r="AW29" s="13">
        <f t="shared" si="25"/>
        <v>-877.61400946138053</v>
      </c>
      <c r="AX29" s="13">
        <f t="shared" si="25"/>
        <v>-910.92717750896384</v>
      </c>
    </row>
    <row r="30" spans="1:50">
      <c r="A30" s="15" t="s">
        <v>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6"/>
      <c r="O30" s="13"/>
      <c r="P30" s="13">
        <f t="shared" ref="P30:AM30" si="26">-P8</f>
        <v>-3068.7589143826945</v>
      </c>
      <c r="Q30" s="13">
        <f t="shared" si="26"/>
        <v>-3367.4568702166835</v>
      </c>
      <c r="R30" s="13">
        <f t="shared" si="26"/>
        <v>-3576.7605681749073</v>
      </c>
      <c r="S30" s="13">
        <f t="shared" si="26"/>
        <v>-3855.3560758678741</v>
      </c>
      <c r="T30" s="13">
        <f t="shared" si="26"/>
        <v>-4022.9638464735658</v>
      </c>
      <c r="U30" s="13">
        <f t="shared" si="26"/>
        <v>-4203.1916331894672</v>
      </c>
      <c r="V30" s="13">
        <f t="shared" si="26"/>
        <v>-4205.0809917086299</v>
      </c>
      <c r="W30" s="13">
        <f t="shared" si="26"/>
        <v>-4261.3442862327356</v>
      </c>
      <c r="X30" s="13">
        <f t="shared" si="26"/>
        <v>-4338.8843436145789</v>
      </c>
      <c r="Y30" s="13">
        <f t="shared" si="26"/>
        <v>-4437.5754439206112</v>
      </c>
      <c r="Z30" s="13">
        <f t="shared" si="26"/>
        <v>-4548.7759253482463</v>
      </c>
      <c r="AA30" s="13">
        <f t="shared" si="26"/>
        <v>-4659.7982854257334</v>
      </c>
      <c r="AB30" s="13">
        <f t="shared" si="26"/>
        <v>-4775.2466170745547</v>
      </c>
      <c r="AC30" s="13">
        <f t="shared" si="26"/>
        <v>-4895.5432138829328</v>
      </c>
      <c r="AD30" s="13">
        <f t="shared" si="26"/>
        <v>-5007.5968120495063</v>
      </c>
      <c r="AE30" s="13">
        <f t="shared" si="26"/>
        <v>-5096.2859556802459</v>
      </c>
      <c r="AF30" s="13">
        <f t="shared" si="26"/>
        <v>-5142.9343794044589</v>
      </c>
      <c r="AG30" s="13">
        <f t="shared" si="26"/>
        <v>-5187.9158997382592</v>
      </c>
      <c r="AH30" s="13">
        <f t="shared" si="26"/>
        <v>-5228.6746301999146</v>
      </c>
      <c r="AI30" s="13">
        <f t="shared" si="26"/>
        <v>-5280.2530357965288</v>
      </c>
      <c r="AJ30" s="13">
        <f t="shared" si="26"/>
        <v>-5353.5539881922959</v>
      </c>
      <c r="AK30" s="13">
        <f t="shared" si="26"/>
        <v>-5421.8482406865096</v>
      </c>
      <c r="AL30" s="13">
        <f t="shared" si="26"/>
        <v>-5480.3441191368083</v>
      </c>
      <c r="AM30" s="13">
        <f t="shared" si="26"/>
        <v>-5537.8809300652574</v>
      </c>
      <c r="AN30" s="13">
        <f t="shared" ref="AN30:AX30" si="27">-AN8</f>
        <v>-5609.4487599280983</v>
      </c>
      <c r="AO30" s="13">
        <f t="shared" si="27"/>
        <v>-5672.3574525035783</v>
      </c>
      <c r="AP30" s="13">
        <f t="shared" si="27"/>
        <v>-5751.198703887595</v>
      </c>
      <c r="AQ30" s="13">
        <f t="shared" si="27"/>
        <v>-5832.0504720092586</v>
      </c>
      <c r="AR30" s="13">
        <f t="shared" si="27"/>
        <v>-5915.1709622771277</v>
      </c>
      <c r="AS30" s="13">
        <f t="shared" si="27"/>
        <v>-5996.5249594701527</v>
      </c>
      <c r="AT30" s="13">
        <f t="shared" si="27"/>
        <v>-6075.3111779838391</v>
      </c>
      <c r="AU30" s="13">
        <f t="shared" si="27"/>
        <v>-6154.4942613035064</v>
      </c>
      <c r="AV30" s="13">
        <f t="shared" si="27"/>
        <v>-6234.873607169885</v>
      </c>
      <c r="AW30" s="13">
        <f t="shared" si="27"/>
        <v>-6314.8879101639686</v>
      </c>
      <c r="AX30" s="13">
        <f t="shared" si="27"/>
        <v>-6398.1774866229462</v>
      </c>
    </row>
    <row r="31" spans="1:50">
      <c r="A31" s="15" t="s">
        <v>185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O31" s="13"/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-146.7790155643375</v>
      </c>
      <c r="AC31" s="13">
        <v>-172.33139532560395</v>
      </c>
      <c r="AD31" s="13">
        <v>-178.88852562871296</v>
      </c>
      <c r="AE31" s="13">
        <v>-188.8033764965615</v>
      </c>
      <c r="AF31" s="13">
        <v>-198.56592797385264</v>
      </c>
      <c r="AG31" s="13">
        <v>-213.77449051605606</v>
      </c>
      <c r="AH31" s="13">
        <v>-224.38152301848453</v>
      </c>
      <c r="AI31" s="13">
        <v>-233.62503852616399</v>
      </c>
      <c r="AJ31" s="13">
        <v>-237.64204598498631</v>
      </c>
      <c r="AK31" s="13">
        <v>-243.55209820016762</v>
      </c>
      <c r="AL31" s="13">
        <v>-246.26897182075015</v>
      </c>
      <c r="AM31" s="13">
        <v>-248.86628648070635</v>
      </c>
      <c r="AN31" s="13">
        <v>-248.05099856066505</v>
      </c>
      <c r="AO31" s="13">
        <v>-249.2463818979455</v>
      </c>
      <c r="AP31" s="13">
        <v>-243.3873523325133</v>
      </c>
      <c r="AQ31" s="13">
        <v>-238.38970826875141</v>
      </c>
      <c r="AR31" s="13">
        <v>-231.74981578699163</v>
      </c>
      <c r="AS31" s="13">
        <v>-226.23673629722259</v>
      </c>
      <c r="AT31" s="13">
        <v>-217.20659015274589</v>
      </c>
      <c r="AU31" s="13">
        <v>-208.57349006653899</v>
      </c>
      <c r="AV31" s="13">
        <v>-198.48319664079895</v>
      </c>
      <c r="AW31" s="13">
        <v>-188.86856643662398</v>
      </c>
      <c r="AX31" s="13">
        <v>-173.89548079695018</v>
      </c>
    </row>
    <row r="32" spans="1:50">
      <c r="A32" s="12" t="s">
        <v>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O32" s="46"/>
      <c r="P32" s="121">
        <f t="shared" ref="P32:AX32" si="28">SUM(P28:P31)</f>
        <v>-1132.3683337952361</v>
      </c>
      <c r="Q32" s="121">
        <f t="shared" si="28"/>
        <v>-735.82783935201951</v>
      </c>
      <c r="R32" s="121">
        <f t="shared" si="28"/>
        <v>-1412.3549636094094</v>
      </c>
      <c r="S32" s="121">
        <f t="shared" si="28"/>
        <v>-2178.3196973044669</v>
      </c>
      <c r="T32" s="121">
        <f t="shared" si="28"/>
        <v>58.606518281613262</v>
      </c>
      <c r="U32" s="121">
        <f t="shared" si="28"/>
        <v>-414.38302235246647</v>
      </c>
      <c r="V32" s="121">
        <f t="shared" si="28"/>
        <v>2557.9523034961467</v>
      </c>
      <c r="W32" s="121">
        <f t="shared" si="28"/>
        <v>2918.8143563078611</v>
      </c>
      <c r="X32" s="121">
        <f t="shared" si="28"/>
        <v>3009.4020420857896</v>
      </c>
      <c r="Y32" s="121">
        <f t="shared" si="28"/>
        <v>3060.9204100966099</v>
      </c>
      <c r="Z32" s="121">
        <f t="shared" si="28"/>
        <v>3013.5870634141065</v>
      </c>
      <c r="AA32" s="121">
        <f t="shared" si="28"/>
        <v>2961.791908204329</v>
      </c>
      <c r="AB32" s="121">
        <f t="shared" si="28"/>
        <v>2746.4716833691059</v>
      </c>
      <c r="AC32" s="121">
        <f t="shared" si="28"/>
        <v>2591.2371590344774</v>
      </c>
      <c r="AD32" s="121">
        <f t="shared" si="28"/>
        <v>2455.3035768478885</v>
      </c>
      <c r="AE32" s="121">
        <f t="shared" si="28"/>
        <v>2375.3502638898567</v>
      </c>
      <c r="AF32" s="121">
        <f t="shared" si="28"/>
        <v>2006.1863106369703</v>
      </c>
      <c r="AG32" s="121">
        <f t="shared" si="28"/>
        <v>2371.1348430637163</v>
      </c>
      <c r="AH32" s="121">
        <f t="shared" si="28"/>
        <v>2282.3401945098103</v>
      </c>
      <c r="AI32" s="121">
        <f t="shared" si="28"/>
        <v>2312.2455320588938</v>
      </c>
      <c r="AJ32" s="121">
        <f t="shared" si="28"/>
        <v>2271.9399005121272</v>
      </c>
      <c r="AK32" s="121">
        <f t="shared" si="28"/>
        <v>2252.0776869632914</v>
      </c>
      <c r="AL32" s="121">
        <f t="shared" si="28"/>
        <v>2211.1423499892426</v>
      </c>
      <c r="AM32" s="121">
        <f t="shared" si="28"/>
        <v>2122.2719513001239</v>
      </c>
      <c r="AN32" s="121">
        <f t="shared" si="28"/>
        <v>2089.6446744129425</v>
      </c>
      <c r="AO32" s="121">
        <f t="shared" si="28"/>
        <v>2021.6002927856675</v>
      </c>
      <c r="AP32" s="121">
        <f t="shared" si="28"/>
        <v>1975.7840032402241</v>
      </c>
      <c r="AQ32" s="121">
        <f t="shared" si="28"/>
        <v>1933.1755403888224</v>
      </c>
      <c r="AR32" s="121">
        <f t="shared" si="28"/>
        <v>1824.8412793617815</v>
      </c>
      <c r="AS32" s="121">
        <f t="shared" si="28"/>
        <v>1752.4042384314562</v>
      </c>
      <c r="AT32" s="121">
        <f t="shared" si="28"/>
        <v>1698.9229745152215</v>
      </c>
      <c r="AU32" s="121">
        <f t="shared" si="28"/>
        <v>1624.6050852328883</v>
      </c>
      <c r="AV32" s="121">
        <f t="shared" si="28"/>
        <v>1524.4482869398328</v>
      </c>
      <c r="AW32" s="121">
        <f t="shared" si="28"/>
        <v>1430.3627300919634</v>
      </c>
      <c r="AX32" s="121">
        <f t="shared" si="28"/>
        <v>1301.9874803354971</v>
      </c>
    </row>
    <row r="33" spans="1:50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>
      <c r="A34" s="12" t="s">
        <v>10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>
        <f>SUM(P34:AX34)</f>
        <v>27307.321233032348</v>
      </c>
      <c r="P34" s="14">
        <f t="shared" ref="P34:AX34" si="29">P32*P4</f>
        <v>-1124.2209960890416</v>
      </c>
      <c r="Q34" s="14">
        <f t="shared" si="29"/>
        <v>-713.41745949316146</v>
      </c>
      <c r="R34" s="14">
        <f t="shared" si="29"/>
        <v>-1319.3854598605762</v>
      </c>
      <c r="S34" s="14">
        <f t="shared" si="29"/>
        <v>-1955.9393983441514</v>
      </c>
      <c r="T34" s="14">
        <f t="shared" si="29"/>
        <v>50.627205161117871</v>
      </c>
      <c r="U34" s="14">
        <f t="shared" si="29"/>
        <v>-343.75693631053036</v>
      </c>
      <c r="V34" s="14">
        <f t="shared" si="29"/>
        <v>2035.8661471182736</v>
      </c>
      <c r="W34" s="14">
        <f t="shared" si="29"/>
        <v>2228.7970003680475</v>
      </c>
      <c r="X34" s="14">
        <f t="shared" si="29"/>
        <v>2204.7102158473504</v>
      </c>
      <c r="Y34" s="14">
        <f t="shared" si="29"/>
        <v>2151.4467558891911</v>
      </c>
      <c r="Z34" s="14">
        <f t="shared" si="29"/>
        <v>2032.214615679683</v>
      </c>
      <c r="AA34" s="14">
        <f t="shared" si="29"/>
        <v>1916.2299868608097</v>
      </c>
      <c r="AB34" s="14">
        <f t="shared" si="29"/>
        <v>1704.8080122042893</v>
      </c>
      <c r="AC34" s="14">
        <f t="shared" si="29"/>
        <v>1543.173572597206</v>
      </c>
      <c r="AD34" s="14">
        <f t="shared" si="29"/>
        <v>1402.8785439361584</v>
      </c>
      <c r="AE34" s="14">
        <f t="shared" si="29"/>
        <v>1302.1163662198458</v>
      </c>
      <c r="AF34" s="14">
        <f t="shared" si="29"/>
        <v>1055.1171050091159</v>
      </c>
      <c r="AG34" s="14">
        <f t="shared" si="29"/>
        <v>1196.4454863194892</v>
      </c>
      <c r="AH34" s="14">
        <f t="shared" si="29"/>
        <v>1104.9033852813991</v>
      </c>
      <c r="AI34" s="14">
        <f t="shared" si="29"/>
        <v>1073.9526565931369</v>
      </c>
      <c r="AJ34" s="14">
        <f t="shared" si="29"/>
        <v>1012.4073484202</v>
      </c>
      <c r="AK34" s="14">
        <f t="shared" si="29"/>
        <v>962.82881672381609</v>
      </c>
      <c r="AL34" s="14">
        <f t="shared" si="29"/>
        <v>906.96322332837599</v>
      </c>
      <c r="AM34" s="14">
        <f t="shared" si="29"/>
        <v>835.1822792189472</v>
      </c>
      <c r="AN34" s="14">
        <f t="shared" si="29"/>
        <v>788.96900724704483</v>
      </c>
      <c r="AO34" s="14">
        <f t="shared" si="29"/>
        <v>732.30171785230721</v>
      </c>
      <c r="AP34" s="14">
        <f t="shared" si="29"/>
        <v>686.6595874075831</v>
      </c>
      <c r="AQ34" s="14">
        <f t="shared" si="29"/>
        <v>644.58556729726229</v>
      </c>
      <c r="AR34" s="14">
        <f t="shared" si="29"/>
        <v>583.76982725496725</v>
      </c>
      <c r="AS34" s="14">
        <f t="shared" si="29"/>
        <v>537.84620044903977</v>
      </c>
      <c r="AT34" s="14">
        <f t="shared" si="29"/>
        <v>500.27034737263006</v>
      </c>
      <c r="AU34" s="14">
        <f t="shared" si="29"/>
        <v>458.9719482047787</v>
      </c>
      <c r="AV34" s="14">
        <f t="shared" si="29"/>
        <v>413.19807859692821</v>
      </c>
      <c r="AW34" s="14">
        <f t="shared" si="29"/>
        <v>371.96240278499448</v>
      </c>
      <c r="AX34" s="14">
        <f t="shared" si="29"/>
        <v>324.83807588581573</v>
      </c>
    </row>
    <row r="35" spans="1:50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spans="1:50">
      <c r="A36" s="12" t="s">
        <v>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O36" s="14"/>
      <c r="P36" s="14">
        <f>+'DAV Pi'!P61</f>
        <v>40327.311673865901</v>
      </c>
      <c r="Q36" s="14">
        <f>+'DAV Pi'!Q61</f>
        <v>42446.560302333077</v>
      </c>
      <c r="R36" s="14">
        <f>+'DAV Pi'!R61</f>
        <v>45437.126501686296</v>
      </c>
      <c r="S36" s="14">
        <f>+'DAV Pi'!S61</f>
        <v>49299.079784046124</v>
      </c>
      <c r="T36" s="14">
        <f>+'DAV Pi'!T61</f>
        <v>51082.088193217707</v>
      </c>
      <c r="U36" s="14">
        <f>+'DAV Pi'!U61</f>
        <v>53343.340820295758</v>
      </c>
      <c r="V36" s="14">
        <f>+'DAV Pi'!V61</f>
        <v>52769.628151998986</v>
      </c>
      <c r="W36" s="14">
        <f>+'DAV Pi'!W61</f>
        <v>51885.342456128034</v>
      </c>
      <c r="X36" s="14">
        <f>+'DAV Pi'!X61</f>
        <v>50901.995916521322</v>
      </c>
      <c r="Y36" s="14">
        <f>+'DAV Pi'!Y61</f>
        <v>49824.483877433886</v>
      </c>
      <c r="Z36" s="14">
        <f>+'DAV Pi'!Z61</f>
        <v>48718.748301866603</v>
      </c>
      <c r="AA36" s="14">
        <f>+'DAV Pi'!AA61</f>
        <v>47619.417363969769</v>
      </c>
      <c r="AB36" s="14">
        <f>+'DAV Pi'!AB61</f>
        <v>46525.942918314482</v>
      </c>
      <c r="AC36" s="14">
        <f>+'DAV Pi'!AC61</f>
        <v>45529.699748595129</v>
      </c>
      <c r="AD36" s="14">
        <f>+'DAV Pi'!AD61</f>
        <v>44591.232199945101</v>
      </c>
      <c r="AE36" s="14">
        <f>+'DAV Pi'!AE61</f>
        <v>43661.003143651033</v>
      </c>
      <c r="AF36" s="14">
        <f>+'DAV Pi'!AF61</f>
        <v>43054.066862115978</v>
      </c>
      <c r="AG36" s="14">
        <f>+'DAV Pi'!AG61</f>
        <v>42044.416688826183</v>
      </c>
      <c r="AH36" s="14">
        <f>+'DAV Pi'!AH61</f>
        <v>41073.542238744667</v>
      </c>
      <c r="AI36" s="14">
        <f>+'DAV Pi'!AI61</f>
        <v>40017.102601218976</v>
      </c>
      <c r="AJ36" s="14">
        <f>+'DAV Pi'!AJ61</f>
        <v>38926.397296702104</v>
      </c>
      <c r="AK36" s="14">
        <f>+'DAV Pi'!AK61</f>
        <v>37787.217728107076</v>
      </c>
      <c r="AL36" s="14">
        <f>+'DAV Pi'!AL61</f>
        <v>36604.935000041514</v>
      </c>
      <c r="AM36" s="14">
        <f>+'DAV Pi'!AM61</f>
        <v>35429.041317504772</v>
      </c>
      <c r="AN36" s="14">
        <f>+'DAV Pi'!AN61</f>
        <v>34190.60760592817</v>
      </c>
      <c r="AO36" s="14">
        <f>+'DAV Pi'!AO61</f>
        <v>32936.476740661819</v>
      </c>
      <c r="AP36" s="14">
        <f>+'DAV Pi'!AP61</f>
        <v>31617.661403614959</v>
      </c>
      <c r="AQ36" s="14">
        <f>+'DAV Pi'!AQ61</f>
        <v>30237.835712311138</v>
      </c>
      <c r="AR36" s="14">
        <f>+'DAV Pi'!AR61</f>
        <v>28861.613404272066</v>
      </c>
      <c r="AS36" s="14">
        <f>+'DAV Pi'!AS61</f>
        <v>27462.616463034206</v>
      </c>
      <c r="AT36" s="14">
        <f>+'DAV Pi'!AT61</f>
        <v>26013.089217549517</v>
      </c>
      <c r="AU36" s="14">
        <f>+'DAV Pi'!AU61</f>
        <v>24537.757223334869</v>
      </c>
      <c r="AV36" s="14">
        <f>+'DAV Pi'!AV61</f>
        <v>23066.604623673531</v>
      </c>
      <c r="AW36" s="14">
        <f>+'DAV Pi'!AW61</f>
        <v>21605.088984385904</v>
      </c>
      <c r="AX36" s="14">
        <f>+'DAV Pi'!AX61</f>
        <v>20168.279522711673</v>
      </c>
    </row>
    <row r="37" spans="1:50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</row>
    <row r="38" spans="1:50">
      <c r="A38" s="15" t="s">
        <v>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3"/>
      <c r="O38" s="31">
        <f>-Inputs!P55</f>
        <v>-32234.966445652888</v>
      </c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 spans="1:50">
      <c r="A39" s="15" t="s">
        <v>111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3"/>
      <c r="O39" s="31">
        <f>AX36*AX5</f>
        <v>4927.6452126205413</v>
      </c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  <row r="40" spans="1:50">
      <c r="A40" s="12" t="s">
        <v>287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1">
        <f>SUM(O34:O39)</f>
        <v>0</v>
      </c>
      <c r="P40" s="143" t="s">
        <v>286</v>
      </c>
      <c r="Q40" s="143"/>
      <c r="R40" s="112">
        <f>SUM(P31:AX31)-SUM('UR Tax Calculation'!P26:AX26)</f>
        <v>7.9710307727509644E-4</v>
      </c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</row>
    <row r="41" spans="1:50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>
      <c r="A42" s="12" t="s">
        <v>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O42" s="14"/>
      <c r="P42" s="14"/>
      <c r="Q42" s="14"/>
      <c r="R42" s="14"/>
      <c r="S42" s="14"/>
      <c r="T42" s="14"/>
      <c r="U42" s="14">
        <f>U46+U47</f>
        <v>46334.220846650969</v>
      </c>
      <c r="V42" s="14"/>
      <c r="W42" s="14"/>
      <c r="X42" s="14"/>
      <c r="Y42" s="14"/>
      <c r="Z42" s="14"/>
      <c r="AA42" s="14">
        <f>AA46+AA47</f>
        <v>39571.441957653944</v>
      </c>
      <c r="AB42" s="14"/>
      <c r="AC42" s="14"/>
      <c r="AD42" s="14"/>
      <c r="AE42" s="14"/>
      <c r="AF42" s="14"/>
      <c r="AG42" s="14">
        <f>AG46+AG47</f>
        <v>34134.795604258412</v>
      </c>
      <c r="AH42" s="14"/>
      <c r="AI42" s="14"/>
      <c r="AJ42" s="14"/>
      <c r="AK42" s="14"/>
      <c r="AL42" s="14"/>
      <c r="AM42" s="14">
        <f>AM46+AM47</f>
        <v>28467.952438109085</v>
      </c>
      <c r="AN42" s="14"/>
      <c r="AO42" s="14"/>
      <c r="AP42" s="14"/>
      <c r="AQ42" s="14"/>
      <c r="AR42" s="14"/>
      <c r="AS42" s="14">
        <f>AS46+AS47</f>
        <v>23279.333053103481</v>
      </c>
      <c r="AT42" s="14"/>
      <c r="AU42" s="14"/>
      <c r="AV42" s="14"/>
      <c r="AW42" s="14"/>
      <c r="AX42" s="14">
        <f>AX46+AX47</f>
        <v>20168.279522711717</v>
      </c>
    </row>
    <row r="43" spans="1:50">
      <c r="A43" s="17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</row>
    <row r="44" spans="1:50">
      <c r="A44" s="12" t="s">
        <v>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O44" s="13"/>
      <c r="P44" s="13">
        <f>P32*(1+P3*$O4)*(1+Q3)*(1+R3)*(1+S3)*(1+T3)*(1+U3)</f>
        <v>-1383.8586006394096</v>
      </c>
      <c r="Q44" s="13">
        <f>Q32*(1+Q3*$O4)*(1+R3)*(1+S3)*(1+T3)*(1+U3)</f>
        <v>-878.1804383661721</v>
      </c>
      <c r="R44" s="13">
        <f>R32*(1+R3*$O4)*(1+S3)*(1+T3)*(1+U3)</f>
        <v>-1624.0960830107369</v>
      </c>
      <c r="S44" s="13">
        <f>S32*(1+S3*$O4)*(1+T3)*(1+U3)</f>
        <v>-2407.6614545932612</v>
      </c>
      <c r="T44" s="13">
        <f>T32*(1+T3*$O4)*(1+U3)</f>
        <v>62.319502599824993</v>
      </c>
      <c r="U44" s="13">
        <f>U32*(1+U3*$O4)</f>
        <v>-423.14722327522111</v>
      </c>
      <c r="V44" s="13">
        <f t="shared" ref="V44:AA44" si="30">V32*(1+$AA$3*$O$4)*(1+$AA$3)^($AA$1-V1)</f>
        <v>3213.2585567593205</v>
      </c>
      <c r="W44" s="13">
        <f t="shared" si="30"/>
        <v>3517.7661570970063</v>
      </c>
      <c r="X44" s="13">
        <f t="shared" si="30"/>
        <v>3479.7493814973418</v>
      </c>
      <c r="Y44" s="13">
        <f t="shared" si="30"/>
        <v>3395.6823279165246</v>
      </c>
      <c r="Z44" s="13">
        <f t="shared" si="30"/>
        <v>3207.4952531860799</v>
      </c>
      <c r="AA44" s="13">
        <f t="shared" si="30"/>
        <v>3024.4338070628505</v>
      </c>
      <c r="AB44" s="13">
        <f t="shared" ref="AB44:AG44" si="31">AB32*(1+$AG$3*$O$4)*(1+$AG$3)^($AG$1-AB1)</f>
        <v>3450.0735707311633</v>
      </c>
      <c r="AC44" s="13">
        <f t="shared" si="31"/>
        <v>3122.9688737704141</v>
      </c>
      <c r="AD44" s="13">
        <f t="shared" si="31"/>
        <v>2839.0494136180591</v>
      </c>
      <c r="AE44" s="13">
        <f t="shared" si="31"/>
        <v>2635.1338267720785</v>
      </c>
      <c r="AF44" s="13">
        <f t="shared" si="31"/>
        <v>2135.2736565987661</v>
      </c>
      <c r="AG44" s="13">
        <f t="shared" si="31"/>
        <v>2421.284344994514</v>
      </c>
      <c r="AH44" s="13">
        <f t="shared" ref="AH44:AM44" si="32">AH32*(1+$AM$3*$O$4)*(1+$AM$3)^($AM$1-AH1)</f>
        <v>2867.039056756762</v>
      </c>
      <c r="AI44" s="13">
        <f t="shared" si="32"/>
        <v>2786.727104448164</v>
      </c>
      <c r="AJ44" s="13">
        <f t="shared" si="32"/>
        <v>2627.0273473087627</v>
      </c>
      <c r="AK44" s="13">
        <f t="shared" si="32"/>
        <v>2498.37936899346</v>
      </c>
      <c r="AL44" s="13">
        <f t="shared" si="32"/>
        <v>2353.417519543766</v>
      </c>
      <c r="AM44" s="13">
        <f t="shared" si="32"/>
        <v>2167.1580030701216</v>
      </c>
      <c r="AN44" s="13">
        <f t="shared" ref="AN44:AS44" si="33">AN32*(1+$AS$3*$O$4)*(1+$AS$3)^($AS$1-AN1)</f>
        <v>2624.9780425798494</v>
      </c>
      <c r="AO44" s="13">
        <f t="shared" si="33"/>
        <v>2436.4403572875722</v>
      </c>
      <c r="AP44" s="13">
        <f t="shared" si="33"/>
        <v>2284.5844679770166</v>
      </c>
      <c r="AQ44" s="13">
        <f t="shared" si="33"/>
        <v>2144.6000352069304</v>
      </c>
      <c r="AR44" s="13">
        <f t="shared" si="33"/>
        <v>1942.2600436636612</v>
      </c>
      <c r="AS44" s="13">
        <f t="shared" si="33"/>
        <v>1789.4675880742816</v>
      </c>
      <c r="AT44" s="13">
        <f>AT32*(1+$AX$3*$O$4)*(1+$AX$3)^($AX$1-AT1)</f>
        <v>2047.5484267605352</v>
      </c>
      <c r="AU44" s="13">
        <f>AU32*(1+$AX$3*$O$4)*(1+$AX$3)^($AX$1-AU1)</f>
        <v>1878.518875662882</v>
      </c>
      <c r="AV44" s="13">
        <f>AV32*(1+$AX$3*$O$4)*(1+$AX$3)^($AX$1-AV1)</f>
        <v>1691.1717438679907</v>
      </c>
      <c r="AW44" s="13">
        <f>AW32*(1+$AX$3*$O$4)*(1+$AX$3)^($AX$1-AW1)</f>
        <v>1522.3989121809616</v>
      </c>
      <c r="AX44" s="13">
        <f>AX32*(1+$AX$3*$O$4)*(1+$AX$3)^($AX$1-AX1)</f>
        <v>1329.524515544593</v>
      </c>
    </row>
    <row r="45" spans="1:50">
      <c r="A45" s="12" t="s">
        <v>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O45" s="13">
        <f>-O38</f>
        <v>32234.966445652888</v>
      </c>
      <c r="P45" s="13"/>
      <c r="Q45" s="13"/>
      <c r="R45" s="13"/>
      <c r="S45" s="13"/>
      <c r="T45" s="13"/>
      <c r="U45" s="13">
        <f>-O45/U5</f>
        <v>-39679.59654936599</v>
      </c>
      <c r="V45" s="13"/>
      <c r="W45" s="13"/>
      <c r="X45" s="13"/>
      <c r="Y45" s="13"/>
      <c r="Z45" s="13"/>
      <c r="AA45" s="13">
        <f>-U42*(1+AA3)^(AA1-U1)</f>
        <v>-59409.827441173067</v>
      </c>
      <c r="AB45" s="13"/>
      <c r="AC45" s="13"/>
      <c r="AD45" s="13"/>
      <c r="AE45" s="13"/>
      <c r="AF45" s="13"/>
      <c r="AG45" s="13">
        <f>-AA42*(1+AG3)^(AG1-AA1)</f>
        <v>-50738.579290743408</v>
      </c>
      <c r="AH45" s="13"/>
      <c r="AI45" s="13"/>
      <c r="AJ45" s="13"/>
      <c r="AK45" s="13"/>
      <c r="AL45" s="13"/>
      <c r="AM45" s="13">
        <f t="shared" ref="AM45:AS45" si="34">-AG42*(1+AM3)^(AM1-AG1)</f>
        <v>-43767.700838230121</v>
      </c>
      <c r="AN45" s="13"/>
      <c r="AO45" s="13"/>
      <c r="AP45" s="13"/>
      <c r="AQ45" s="13"/>
      <c r="AR45" s="13"/>
      <c r="AS45" s="13">
        <f t="shared" si="34"/>
        <v>-36501.663587892792</v>
      </c>
      <c r="AT45" s="13"/>
      <c r="AU45" s="13"/>
      <c r="AV45" s="13"/>
      <c r="AW45" s="13"/>
      <c r="AX45" s="13">
        <f>-AS42*(1+AX3)^(AX1-AS1)</f>
        <v>-28637.441996728678</v>
      </c>
    </row>
    <row r="46" spans="1:50">
      <c r="A46" s="12" t="s">
        <v>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O46" s="13"/>
      <c r="P46" s="13"/>
      <c r="Q46" s="13"/>
      <c r="R46" s="13"/>
      <c r="S46" s="13"/>
      <c r="T46" s="13"/>
      <c r="U46" s="13">
        <f>U36</f>
        <v>53343.340820295758</v>
      </c>
      <c r="V46" s="13"/>
      <c r="W46" s="13"/>
      <c r="X46" s="13"/>
      <c r="Y46" s="13"/>
      <c r="Z46" s="13"/>
      <c r="AA46" s="13">
        <f>AA36</f>
        <v>47619.417363969769</v>
      </c>
      <c r="AB46" s="13"/>
      <c r="AC46" s="13"/>
      <c r="AD46" s="13"/>
      <c r="AE46" s="13"/>
      <c r="AF46" s="13"/>
      <c r="AG46" s="13">
        <f>AG36</f>
        <v>42044.416688826183</v>
      </c>
      <c r="AH46" s="13"/>
      <c r="AI46" s="13"/>
      <c r="AJ46" s="13"/>
      <c r="AK46" s="13"/>
      <c r="AL46" s="13"/>
      <c r="AM46" s="13">
        <f t="shared" ref="AM46:AX46" si="35">AM36</f>
        <v>35429.041317504772</v>
      </c>
      <c r="AN46" s="13"/>
      <c r="AO46" s="13"/>
      <c r="AP46" s="13"/>
      <c r="AQ46" s="13"/>
      <c r="AR46" s="13"/>
      <c r="AS46" s="13">
        <f t="shared" si="35"/>
        <v>27462.616463034206</v>
      </c>
      <c r="AT46" s="13"/>
      <c r="AU46" s="13"/>
      <c r="AV46" s="13"/>
      <c r="AW46" s="13"/>
      <c r="AX46" s="13">
        <f t="shared" si="35"/>
        <v>20168.279522711673</v>
      </c>
    </row>
    <row r="47" spans="1:50">
      <c r="A47" s="12" t="s">
        <v>14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O47" s="13"/>
      <c r="P47" s="13"/>
      <c r="Q47" s="13"/>
      <c r="R47" s="13"/>
      <c r="S47" s="13"/>
      <c r="T47" s="13"/>
      <c r="U47" s="13">
        <f>-SUM(P44:U46)</f>
        <v>-7009.1199736447888</v>
      </c>
      <c r="V47" s="13"/>
      <c r="W47" s="13"/>
      <c r="X47" s="13"/>
      <c r="Y47" s="13"/>
      <c r="Z47" s="13"/>
      <c r="AA47" s="13">
        <f>-SUM(V44:AA46)</f>
        <v>-8047.9754063158252</v>
      </c>
      <c r="AB47" s="13"/>
      <c r="AC47" s="13"/>
      <c r="AD47" s="13"/>
      <c r="AE47" s="13"/>
      <c r="AF47" s="13"/>
      <c r="AG47" s="13">
        <f>-SUM(AB44:AG46)</f>
        <v>-7909.6210845677706</v>
      </c>
      <c r="AH47" s="13"/>
      <c r="AI47" s="13"/>
      <c r="AJ47" s="13"/>
      <c r="AK47" s="13"/>
      <c r="AL47" s="13"/>
      <c r="AM47" s="13">
        <f t="shared" ref="AM47:AS47" si="36">-SUM(AH44:AM46)</f>
        <v>-6961.0888793956874</v>
      </c>
      <c r="AN47" s="13"/>
      <c r="AO47" s="13"/>
      <c r="AP47" s="13"/>
      <c r="AQ47" s="13"/>
      <c r="AR47" s="13"/>
      <c r="AS47" s="13">
        <f t="shared" si="36"/>
        <v>-4183.2834099307256</v>
      </c>
      <c r="AT47" s="13"/>
      <c r="AU47" s="13"/>
      <c r="AV47" s="13"/>
      <c r="AW47" s="13"/>
      <c r="AX47" s="13">
        <f>-SUM(AT44:AX46)</f>
        <v>4.3655745685100555E-11</v>
      </c>
    </row>
    <row r="48" spans="1:50">
      <c r="A48" s="28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</row>
    <row r="49" spans="1:50">
      <c r="A49" s="28" t="s">
        <v>156</v>
      </c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</row>
    <row r="50" spans="1:50">
      <c r="A50" s="9" t="s">
        <v>35</v>
      </c>
      <c r="P50" s="31">
        <f>+P61</f>
        <v>-1140.6346226319413</v>
      </c>
      <c r="Q50" s="31">
        <f t="shared" ref="Q50:AM50" si="37">+Q61</f>
        <v>-1927.3005478597388</v>
      </c>
      <c r="R50" s="31">
        <f t="shared" si="37"/>
        <v>-3450.7882843209877</v>
      </c>
      <c r="S50" s="31">
        <f t="shared" si="37"/>
        <v>-5803.8959847449241</v>
      </c>
      <c r="T50" s="31">
        <f t="shared" si="37"/>
        <v>-5978.5830125777175</v>
      </c>
      <c r="U50" s="31">
        <f t="shared" si="37"/>
        <v>-6654.6242972849759</v>
      </c>
      <c r="V50" s="31">
        <f t="shared" si="37"/>
        <v>-4324.0619103450399</v>
      </c>
      <c r="W50" s="31">
        <f t="shared" si="37"/>
        <v>-1526.4224492088629</v>
      </c>
      <c r="X50" s="31">
        <f t="shared" si="37"/>
        <v>1482.0607764655065</v>
      </c>
      <c r="Y50" s="31">
        <f t="shared" si="37"/>
        <v>4670.4108240801506</v>
      </c>
      <c r="Z50" s="31">
        <f t="shared" si="37"/>
        <v>7945.2936317440563</v>
      </c>
      <c r="AA50" s="31">
        <f t="shared" si="37"/>
        <v>11305.81335942968</v>
      </c>
      <c r="AB50" s="31">
        <f t="shared" si="37"/>
        <v>14588.608824005916</v>
      </c>
      <c r="AC50" s="31">
        <f t="shared" si="37"/>
        <v>17851.748802209426</v>
      </c>
      <c r="AD50" s="31">
        <f t="shared" si="37"/>
        <v>21114.111024041107</v>
      </c>
      <c r="AE50" s="31">
        <f t="shared" si="37"/>
        <v>24432.826842329174</v>
      </c>
      <c r="AF50" s="31">
        <f t="shared" si="37"/>
        <v>27514.952568866644</v>
      </c>
      <c r="AG50" s="31">
        <f t="shared" si="37"/>
        <v>31100.119407524217</v>
      </c>
      <c r="AH50" s="31">
        <f t="shared" si="37"/>
        <v>34746.266148086186</v>
      </c>
      <c r="AI50" s="31">
        <f t="shared" si="37"/>
        <v>38577.182731212175</v>
      </c>
      <c r="AJ50" s="31">
        <f t="shared" si="37"/>
        <v>42528.988990150414</v>
      </c>
      <c r="AK50" s="31">
        <f t="shared" si="37"/>
        <v>46627.674354476345</v>
      </c>
      <c r="AL50" s="31">
        <f t="shared" si="37"/>
        <v>50857.932990362206</v>
      </c>
      <c r="AM50" s="31">
        <f t="shared" si="37"/>
        <v>55176.381558924644</v>
      </c>
      <c r="AN50" s="31">
        <f t="shared" ref="AN50:AX50" si="38">+AN61</f>
        <v>59644.183158143933</v>
      </c>
      <c r="AO50" s="31">
        <f t="shared" si="38"/>
        <v>64231.489244711505</v>
      </c>
      <c r="AP50" s="31">
        <f t="shared" si="38"/>
        <v>68966.053074671552</v>
      </c>
      <c r="AQ50" s="31">
        <f t="shared" si="38"/>
        <v>73857.37932279821</v>
      </c>
      <c r="AR50" s="31">
        <f t="shared" si="38"/>
        <v>78844.983140572847</v>
      </c>
      <c r="AS50" s="31">
        <f t="shared" si="38"/>
        <v>83969.593515493354</v>
      </c>
      <c r="AT50" s="31">
        <f t="shared" si="38"/>
        <v>89256.36251662494</v>
      </c>
      <c r="AU50" s="31">
        <f t="shared" si="38"/>
        <v>94690.872133863741</v>
      </c>
      <c r="AV50" s="31">
        <f t="shared" si="38"/>
        <v>100252.9863933348</v>
      </c>
      <c r="AW50" s="31">
        <f t="shared" si="38"/>
        <v>105954.30261960627</v>
      </c>
      <c r="AX50" s="31">
        <f t="shared" si="38"/>
        <v>111765.69413596021</v>
      </c>
    </row>
    <row r="51" spans="1:50">
      <c r="A51" s="9" t="s">
        <v>36</v>
      </c>
      <c r="P51" s="31">
        <f t="shared" ref="P51:AX51" si="39">-$O45/P$5</f>
        <v>-32705.596955759418</v>
      </c>
      <c r="Q51" s="31">
        <f t="shared" si="39"/>
        <v>-33807.77557316851</v>
      </c>
      <c r="R51" s="31">
        <f t="shared" si="39"/>
        <v>-35234.463702356225</v>
      </c>
      <c r="S51" s="31">
        <f t="shared" si="39"/>
        <v>-36590.99055489694</v>
      </c>
      <c r="T51" s="31">
        <f t="shared" si="39"/>
        <v>-38069.266573314773</v>
      </c>
      <c r="U51" s="31">
        <f t="shared" si="39"/>
        <v>-39679.59654936599</v>
      </c>
      <c r="V51" s="31">
        <f t="shared" si="39"/>
        <v>-41358.043483404173</v>
      </c>
      <c r="W51" s="31">
        <f t="shared" si="39"/>
        <v>-43107.488722752169</v>
      </c>
      <c r="X51" s="31">
        <f t="shared" si="39"/>
        <v>-44930.935495724589</v>
      </c>
      <c r="Y51" s="31">
        <f t="shared" si="39"/>
        <v>-46831.514067193741</v>
      </c>
      <c r="Z51" s="31">
        <f t="shared" si="39"/>
        <v>-48812.487112236035</v>
      </c>
      <c r="AA51" s="31">
        <f t="shared" si="39"/>
        <v>-50877.255317083618</v>
      </c>
      <c r="AB51" s="31">
        <f t="shared" si="39"/>
        <v>-53029.363216996258</v>
      </c>
      <c r="AC51" s="31">
        <f t="shared" si="39"/>
        <v>-55272.505281075195</v>
      </c>
      <c r="AD51" s="31">
        <f t="shared" si="39"/>
        <v>-57610.53225446467</v>
      </c>
      <c r="AE51" s="31">
        <f t="shared" si="39"/>
        <v>-60047.457768828521</v>
      </c>
      <c r="AF51" s="31">
        <f t="shared" si="39"/>
        <v>-62587.465232449969</v>
      </c>
      <c r="AG51" s="31">
        <f t="shared" si="39"/>
        <v>-65234.915011782607</v>
      </c>
      <c r="AH51" s="31">
        <f t="shared" si="39"/>
        <v>-67994.351916781015</v>
      </c>
      <c r="AI51" s="31">
        <f t="shared" si="39"/>
        <v>-70870.513002860855</v>
      </c>
      <c r="AJ51" s="31">
        <f t="shared" si="39"/>
        <v>-73868.335702881872</v>
      </c>
      <c r="AK51" s="31">
        <f t="shared" si="39"/>
        <v>-76992.966303113775</v>
      </c>
      <c r="AL51" s="31">
        <f t="shared" si="39"/>
        <v>-80249.768777735488</v>
      </c>
      <c r="AM51" s="31">
        <f t="shared" si="39"/>
        <v>-83644.333997033697</v>
      </c>
      <c r="AN51" s="31">
        <f t="shared" si="39"/>
        <v>-87182.489325108239</v>
      </c>
      <c r="AO51" s="31">
        <f t="shared" si="39"/>
        <v>-90870.308623560311</v>
      </c>
      <c r="AP51" s="31">
        <f t="shared" si="39"/>
        <v>-94714.12267833692</v>
      </c>
      <c r="AQ51" s="31">
        <f t="shared" si="39"/>
        <v>-98720.530067630563</v>
      </c>
      <c r="AR51" s="31">
        <f t="shared" si="39"/>
        <v>-102896.40848949134</v>
      </c>
      <c r="AS51" s="31">
        <f t="shared" si="39"/>
        <v>-107248.92656859681</v>
      </c>
      <c r="AT51" s="31">
        <f t="shared" si="39"/>
        <v>-111785.55616244845</v>
      </c>
      <c r="AU51" s="31">
        <f t="shared" si="39"/>
        <v>-116514.08518812002</v>
      </c>
      <c r="AV51" s="31">
        <f t="shared" si="39"/>
        <v>-121442.63099157749</v>
      </c>
      <c r="AW51" s="31">
        <f t="shared" si="39"/>
        <v>-126579.65428252121</v>
      </c>
      <c r="AX51" s="31">
        <f t="shared" si="39"/>
        <v>-131933.97365867186</v>
      </c>
    </row>
    <row r="52" spans="1:50">
      <c r="A52" s="9" t="s">
        <v>37</v>
      </c>
      <c r="O52" s="31">
        <f>+Inputs!P46</f>
        <v>37724.941041327307</v>
      </c>
      <c r="P52" s="31">
        <f t="shared" ref="P52:AX52" si="40">+P36</f>
        <v>40327.311673865901</v>
      </c>
      <c r="Q52" s="31">
        <f t="shared" si="40"/>
        <v>42446.560302333077</v>
      </c>
      <c r="R52" s="31">
        <f t="shared" si="40"/>
        <v>45437.126501686296</v>
      </c>
      <c r="S52" s="31">
        <f t="shared" si="40"/>
        <v>49299.079784046124</v>
      </c>
      <c r="T52" s="31">
        <f t="shared" si="40"/>
        <v>51082.088193217707</v>
      </c>
      <c r="U52" s="31">
        <f t="shared" si="40"/>
        <v>53343.340820295758</v>
      </c>
      <c r="V52" s="31">
        <f t="shared" si="40"/>
        <v>52769.628151998986</v>
      </c>
      <c r="W52" s="31">
        <f t="shared" si="40"/>
        <v>51885.342456128034</v>
      </c>
      <c r="X52" s="31">
        <f t="shared" si="40"/>
        <v>50901.995916521322</v>
      </c>
      <c r="Y52" s="31">
        <f t="shared" si="40"/>
        <v>49824.483877433886</v>
      </c>
      <c r="Z52" s="31">
        <f t="shared" si="40"/>
        <v>48718.748301866603</v>
      </c>
      <c r="AA52" s="31">
        <f t="shared" si="40"/>
        <v>47619.417363969769</v>
      </c>
      <c r="AB52" s="31">
        <f t="shared" si="40"/>
        <v>46525.942918314482</v>
      </c>
      <c r="AC52" s="31">
        <f t="shared" si="40"/>
        <v>45529.699748595129</v>
      </c>
      <c r="AD52" s="31">
        <f t="shared" si="40"/>
        <v>44591.232199945101</v>
      </c>
      <c r="AE52" s="31">
        <f t="shared" si="40"/>
        <v>43661.003143651033</v>
      </c>
      <c r="AF52" s="31">
        <f t="shared" si="40"/>
        <v>43054.066862115978</v>
      </c>
      <c r="AG52" s="31">
        <f t="shared" si="40"/>
        <v>42044.416688826183</v>
      </c>
      <c r="AH52" s="31">
        <f t="shared" si="40"/>
        <v>41073.542238744667</v>
      </c>
      <c r="AI52" s="31">
        <f t="shared" si="40"/>
        <v>40017.102601218976</v>
      </c>
      <c r="AJ52" s="31">
        <f t="shared" si="40"/>
        <v>38926.397296702104</v>
      </c>
      <c r="AK52" s="31">
        <f t="shared" si="40"/>
        <v>37787.217728107076</v>
      </c>
      <c r="AL52" s="31">
        <f t="shared" si="40"/>
        <v>36604.935000041514</v>
      </c>
      <c r="AM52" s="31">
        <f t="shared" si="40"/>
        <v>35429.041317504772</v>
      </c>
      <c r="AN52" s="31">
        <f t="shared" si="40"/>
        <v>34190.60760592817</v>
      </c>
      <c r="AO52" s="31">
        <f t="shared" si="40"/>
        <v>32936.476740661819</v>
      </c>
      <c r="AP52" s="31">
        <f t="shared" si="40"/>
        <v>31617.661403614959</v>
      </c>
      <c r="AQ52" s="31">
        <f t="shared" si="40"/>
        <v>30237.835712311138</v>
      </c>
      <c r="AR52" s="31">
        <f t="shared" si="40"/>
        <v>28861.613404272066</v>
      </c>
      <c r="AS52" s="31">
        <f t="shared" si="40"/>
        <v>27462.616463034206</v>
      </c>
      <c r="AT52" s="31">
        <f t="shared" si="40"/>
        <v>26013.089217549517</v>
      </c>
      <c r="AU52" s="31">
        <f t="shared" si="40"/>
        <v>24537.757223334869</v>
      </c>
      <c r="AV52" s="31">
        <f t="shared" si="40"/>
        <v>23066.604623673531</v>
      </c>
      <c r="AW52" s="31">
        <f t="shared" si="40"/>
        <v>21605.088984385904</v>
      </c>
      <c r="AX52" s="31">
        <f t="shared" si="40"/>
        <v>20168.279522711673</v>
      </c>
    </row>
    <row r="53" spans="1:50">
      <c r="A53" s="9" t="s">
        <v>38</v>
      </c>
      <c r="O53" s="116">
        <f>+Inputs!P47</f>
        <v>-5489.97459567442</v>
      </c>
      <c r="P53" s="116">
        <f t="shared" ref="P53:AX53" si="41">-SUM(P50:P52)</f>
        <v>-6481.0800954745428</v>
      </c>
      <c r="Q53" s="116">
        <f t="shared" si="41"/>
        <v>-6711.4841813048261</v>
      </c>
      <c r="R53" s="116">
        <f t="shared" si="41"/>
        <v>-6751.8745150090836</v>
      </c>
      <c r="S53" s="116">
        <f t="shared" si="41"/>
        <v>-6904.1932444042613</v>
      </c>
      <c r="T53" s="116">
        <f t="shared" si="41"/>
        <v>-7034.2386073252201</v>
      </c>
      <c r="U53" s="116">
        <f t="shared" si="41"/>
        <v>-7009.1199736447961</v>
      </c>
      <c r="V53" s="116">
        <f t="shared" si="41"/>
        <v>-7087.5227582497755</v>
      </c>
      <c r="W53" s="116">
        <f t="shared" si="41"/>
        <v>-7251.4312841670035</v>
      </c>
      <c r="X53" s="116">
        <f t="shared" si="41"/>
        <v>-7453.1211972622405</v>
      </c>
      <c r="Y53" s="116">
        <f t="shared" si="41"/>
        <v>-7663.3806343202959</v>
      </c>
      <c r="Z53" s="116">
        <f t="shared" si="41"/>
        <v>-7851.5548213746224</v>
      </c>
      <c r="AA53" s="116">
        <f t="shared" si="41"/>
        <v>-8047.9754063158325</v>
      </c>
      <c r="AB53" s="116">
        <f t="shared" si="41"/>
        <v>-8085.1885253241417</v>
      </c>
      <c r="AC53" s="116">
        <f t="shared" si="41"/>
        <v>-8108.9432697293596</v>
      </c>
      <c r="AD53" s="116">
        <f t="shared" si="41"/>
        <v>-8094.8109695215389</v>
      </c>
      <c r="AE53" s="116">
        <f t="shared" si="41"/>
        <v>-8046.3722171516856</v>
      </c>
      <c r="AF53" s="116">
        <f t="shared" si="41"/>
        <v>-7981.554198532649</v>
      </c>
      <c r="AG53" s="116">
        <f t="shared" si="41"/>
        <v>-7909.6210845677924</v>
      </c>
      <c r="AH53" s="116">
        <f t="shared" si="41"/>
        <v>-7825.4564700498377</v>
      </c>
      <c r="AI53" s="116">
        <f t="shared" si="41"/>
        <v>-7723.7723295702963</v>
      </c>
      <c r="AJ53" s="116">
        <f t="shared" si="41"/>
        <v>-7587.0505839706457</v>
      </c>
      <c r="AK53" s="116">
        <f t="shared" si="41"/>
        <v>-7421.9257794696459</v>
      </c>
      <c r="AL53" s="116">
        <f t="shared" si="41"/>
        <v>-7213.0992126682322</v>
      </c>
      <c r="AM53" s="116">
        <f t="shared" si="41"/>
        <v>-6961.0888793957201</v>
      </c>
      <c r="AN53" s="116">
        <f t="shared" si="41"/>
        <v>-6652.3014389638629</v>
      </c>
      <c r="AO53" s="116">
        <f t="shared" si="41"/>
        <v>-6297.6573618130133</v>
      </c>
      <c r="AP53" s="116">
        <f t="shared" si="41"/>
        <v>-5869.5917999495905</v>
      </c>
      <c r="AQ53" s="116">
        <f t="shared" si="41"/>
        <v>-5374.6849674787845</v>
      </c>
      <c r="AR53" s="116">
        <f t="shared" si="41"/>
        <v>-4810.1880553535739</v>
      </c>
      <c r="AS53" s="116">
        <f t="shared" si="41"/>
        <v>-4183.2834099307474</v>
      </c>
      <c r="AT53" s="116">
        <f t="shared" si="41"/>
        <v>-3483.8955717260033</v>
      </c>
      <c r="AU53" s="116">
        <f t="shared" si="41"/>
        <v>-2714.5441690785883</v>
      </c>
      <c r="AV53" s="116">
        <f t="shared" si="41"/>
        <v>-1876.9600254308352</v>
      </c>
      <c r="AW53" s="116">
        <f t="shared" si="41"/>
        <v>-979.73732147096598</v>
      </c>
      <c r="AX53" s="116">
        <f t="shared" si="41"/>
        <v>0</v>
      </c>
    </row>
    <row r="54" spans="1:50">
      <c r="A54" s="9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</row>
    <row r="55" spans="1:50">
      <c r="A55" s="9" t="s">
        <v>0</v>
      </c>
      <c r="O55" s="31">
        <f>+O45</f>
        <v>32234.966445652888</v>
      </c>
      <c r="P55" s="31">
        <f t="shared" ref="P55:AX55" si="42">SUM(P52:P53)</f>
        <v>33846.231578391358</v>
      </c>
      <c r="Q55" s="31">
        <f t="shared" si="42"/>
        <v>35735.076121028251</v>
      </c>
      <c r="R55" s="31">
        <f t="shared" si="42"/>
        <v>38685.251986677213</v>
      </c>
      <c r="S55" s="31">
        <f t="shared" si="42"/>
        <v>42394.886539641862</v>
      </c>
      <c r="T55" s="31">
        <f t="shared" si="42"/>
        <v>44047.849585892487</v>
      </c>
      <c r="U55" s="31">
        <f t="shared" si="42"/>
        <v>46334.220846650962</v>
      </c>
      <c r="V55" s="31">
        <f t="shared" si="42"/>
        <v>45682.105393749211</v>
      </c>
      <c r="W55" s="31">
        <f t="shared" si="42"/>
        <v>44633.91117196103</v>
      </c>
      <c r="X55" s="31">
        <f t="shared" si="42"/>
        <v>43448.874719259082</v>
      </c>
      <c r="Y55" s="31">
        <f t="shared" si="42"/>
        <v>42161.10324311359</v>
      </c>
      <c r="Z55" s="31">
        <f t="shared" si="42"/>
        <v>40867.19348049198</v>
      </c>
      <c r="AA55" s="31">
        <f t="shared" si="42"/>
        <v>39571.441957653937</v>
      </c>
      <c r="AB55" s="31">
        <f t="shared" si="42"/>
        <v>38440.75439299034</v>
      </c>
      <c r="AC55" s="31">
        <f t="shared" si="42"/>
        <v>37420.756478865769</v>
      </c>
      <c r="AD55" s="31">
        <f t="shared" si="42"/>
        <v>36496.421230423563</v>
      </c>
      <c r="AE55" s="31">
        <f t="shared" si="42"/>
        <v>35614.630926499347</v>
      </c>
      <c r="AF55" s="31">
        <f t="shared" si="42"/>
        <v>35072.512663583329</v>
      </c>
      <c r="AG55" s="31">
        <f t="shared" si="42"/>
        <v>34134.79560425839</v>
      </c>
      <c r="AH55" s="31">
        <f t="shared" si="42"/>
        <v>33248.085768694829</v>
      </c>
      <c r="AI55" s="31">
        <f t="shared" si="42"/>
        <v>32293.33027164868</v>
      </c>
      <c r="AJ55" s="31">
        <f t="shared" si="42"/>
        <v>31339.346712731458</v>
      </c>
      <c r="AK55" s="31">
        <f t="shared" si="42"/>
        <v>30365.29194863743</v>
      </c>
      <c r="AL55" s="31">
        <f t="shared" si="42"/>
        <v>29391.835787373282</v>
      </c>
      <c r="AM55" s="31">
        <f t="shared" si="42"/>
        <v>28467.952438109052</v>
      </c>
      <c r="AN55" s="31">
        <f t="shared" si="42"/>
        <v>27538.306166964307</v>
      </c>
      <c r="AO55" s="31">
        <f t="shared" si="42"/>
        <v>26638.819378848806</v>
      </c>
      <c r="AP55" s="31">
        <f t="shared" si="42"/>
        <v>25748.069603665368</v>
      </c>
      <c r="AQ55" s="31">
        <f t="shared" si="42"/>
        <v>24863.150744832354</v>
      </c>
      <c r="AR55" s="31">
        <f t="shared" si="42"/>
        <v>24051.425348918492</v>
      </c>
      <c r="AS55" s="31">
        <f t="shared" si="42"/>
        <v>23279.333053103459</v>
      </c>
      <c r="AT55" s="31">
        <f t="shared" si="42"/>
        <v>22529.193645823514</v>
      </c>
      <c r="AU55" s="31">
        <f t="shared" si="42"/>
        <v>21823.213054256281</v>
      </c>
      <c r="AV55" s="31">
        <f t="shared" si="42"/>
        <v>21189.644598242696</v>
      </c>
      <c r="AW55" s="31">
        <f t="shared" si="42"/>
        <v>20625.351662914938</v>
      </c>
      <c r="AX55" s="31">
        <f t="shared" si="42"/>
        <v>20168.279522711673</v>
      </c>
    </row>
    <row r="56" spans="1:50">
      <c r="A56" s="92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</row>
    <row r="57" spans="1:50">
      <c r="A57" s="18" t="s">
        <v>30</v>
      </c>
      <c r="B57" s="19"/>
      <c r="O57" s="19"/>
      <c r="P57" s="19">
        <v>0</v>
      </c>
      <c r="Q57" s="19">
        <f>+P61</f>
        <v>-1140.6346226319413</v>
      </c>
      <c r="R57" s="19">
        <f>+Q61</f>
        <v>-1927.3005478597388</v>
      </c>
      <c r="S57" s="19">
        <f>+R61</f>
        <v>-3450.7882843209877</v>
      </c>
      <c r="T57" s="19">
        <f>+S61</f>
        <v>-5803.8959847449241</v>
      </c>
      <c r="U57" s="19">
        <f>+T61</f>
        <v>-5978.5830125777175</v>
      </c>
      <c r="V57" s="19">
        <f t="shared" ref="V57:AM57" si="43">+U61</f>
        <v>-6654.6242972849759</v>
      </c>
      <c r="W57" s="19">
        <f t="shared" si="43"/>
        <v>-4324.0619103450399</v>
      </c>
      <c r="X57" s="19">
        <f t="shared" si="43"/>
        <v>-1526.4224492088629</v>
      </c>
      <c r="Y57" s="19">
        <f t="shared" si="43"/>
        <v>1482.0607764655065</v>
      </c>
      <c r="Z57" s="19">
        <f t="shared" si="43"/>
        <v>4670.4108240801506</v>
      </c>
      <c r="AA57" s="19">
        <f t="shared" si="43"/>
        <v>7945.2936317440563</v>
      </c>
      <c r="AB57" s="19">
        <f t="shared" si="43"/>
        <v>11305.81335942968</v>
      </c>
      <c r="AC57" s="19">
        <f t="shared" si="43"/>
        <v>14588.608824005916</v>
      </c>
      <c r="AD57" s="19">
        <f t="shared" si="43"/>
        <v>17851.748802209426</v>
      </c>
      <c r="AE57" s="19">
        <f t="shared" si="43"/>
        <v>21114.111024041107</v>
      </c>
      <c r="AF57" s="19">
        <f t="shared" si="43"/>
        <v>24432.826842329174</v>
      </c>
      <c r="AG57" s="19">
        <f t="shared" si="43"/>
        <v>27514.952568866644</v>
      </c>
      <c r="AH57" s="19">
        <f t="shared" si="43"/>
        <v>31100.119407524217</v>
      </c>
      <c r="AI57" s="19">
        <f t="shared" si="43"/>
        <v>34746.266148086186</v>
      </c>
      <c r="AJ57" s="19">
        <f t="shared" si="43"/>
        <v>38577.182731212175</v>
      </c>
      <c r="AK57" s="19">
        <f t="shared" si="43"/>
        <v>42528.988990150414</v>
      </c>
      <c r="AL57" s="19">
        <f t="shared" si="43"/>
        <v>46627.674354476345</v>
      </c>
      <c r="AM57" s="19">
        <f t="shared" si="43"/>
        <v>50857.932990362206</v>
      </c>
      <c r="AN57" s="19">
        <f t="shared" ref="AN57:AX57" si="44">+AM61</f>
        <v>55176.381558924644</v>
      </c>
      <c r="AO57" s="19">
        <f t="shared" si="44"/>
        <v>59644.183158143933</v>
      </c>
      <c r="AP57" s="19">
        <f t="shared" si="44"/>
        <v>64231.489244711505</v>
      </c>
      <c r="AQ57" s="19">
        <f t="shared" si="44"/>
        <v>68966.053074671552</v>
      </c>
      <c r="AR57" s="19">
        <f t="shared" si="44"/>
        <v>73857.37932279821</v>
      </c>
      <c r="AS57" s="19">
        <f t="shared" si="44"/>
        <v>78844.983140572847</v>
      </c>
      <c r="AT57" s="19">
        <f t="shared" si="44"/>
        <v>83969.593515493354</v>
      </c>
      <c r="AU57" s="19">
        <f t="shared" si="44"/>
        <v>89256.36251662494</v>
      </c>
      <c r="AV57" s="19">
        <f t="shared" si="44"/>
        <v>94690.872133863741</v>
      </c>
      <c r="AW57" s="19">
        <f t="shared" si="44"/>
        <v>100252.9863933348</v>
      </c>
      <c r="AX57" s="19">
        <f t="shared" si="44"/>
        <v>105954.30261960627</v>
      </c>
    </row>
    <row r="58" spans="1:50">
      <c r="A58" s="18" t="s">
        <v>31</v>
      </c>
      <c r="B58" s="19"/>
      <c r="O58" s="19"/>
      <c r="P58" s="19">
        <f t="shared" ref="P58:AX58" si="45">+P32</f>
        <v>-1132.3683337952361</v>
      </c>
      <c r="Q58" s="19">
        <f t="shared" si="45"/>
        <v>-735.82783935201951</v>
      </c>
      <c r="R58" s="19">
        <f t="shared" si="45"/>
        <v>-1412.3549636094094</v>
      </c>
      <c r="S58" s="19">
        <f t="shared" si="45"/>
        <v>-2178.3196973044669</v>
      </c>
      <c r="T58" s="19">
        <f t="shared" si="45"/>
        <v>58.606518281613262</v>
      </c>
      <c r="U58" s="19">
        <f t="shared" si="45"/>
        <v>-414.38302235246647</v>
      </c>
      <c r="V58" s="19">
        <f t="shared" si="45"/>
        <v>2557.9523034961467</v>
      </c>
      <c r="W58" s="19">
        <f t="shared" si="45"/>
        <v>2918.8143563078611</v>
      </c>
      <c r="X58" s="19">
        <f t="shared" si="45"/>
        <v>3009.4020420857896</v>
      </c>
      <c r="Y58" s="19">
        <f t="shared" si="45"/>
        <v>3060.9204100966099</v>
      </c>
      <c r="Z58" s="19">
        <f t="shared" si="45"/>
        <v>3013.5870634141065</v>
      </c>
      <c r="AA58" s="19">
        <f t="shared" si="45"/>
        <v>2961.791908204329</v>
      </c>
      <c r="AB58" s="19">
        <f t="shared" si="45"/>
        <v>2746.4716833691059</v>
      </c>
      <c r="AC58" s="19">
        <f t="shared" si="45"/>
        <v>2591.2371590344774</v>
      </c>
      <c r="AD58" s="19">
        <f t="shared" si="45"/>
        <v>2455.3035768478885</v>
      </c>
      <c r="AE58" s="19">
        <f t="shared" si="45"/>
        <v>2375.3502638898567</v>
      </c>
      <c r="AF58" s="19">
        <f t="shared" si="45"/>
        <v>2006.1863106369703</v>
      </c>
      <c r="AG58" s="19">
        <f t="shared" si="45"/>
        <v>2371.1348430637163</v>
      </c>
      <c r="AH58" s="19">
        <f t="shared" si="45"/>
        <v>2282.3401945098103</v>
      </c>
      <c r="AI58" s="19">
        <f t="shared" si="45"/>
        <v>2312.2455320588938</v>
      </c>
      <c r="AJ58" s="19">
        <f t="shared" si="45"/>
        <v>2271.9399005121272</v>
      </c>
      <c r="AK58" s="19">
        <f t="shared" si="45"/>
        <v>2252.0776869632914</v>
      </c>
      <c r="AL58" s="19">
        <f t="shared" si="45"/>
        <v>2211.1423499892426</v>
      </c>
      <c r="AM58" s="19">
        <f t="shared" si="45"/>
        <v>2122.2719513001239</v>
      </c>
      <c r="AN58" s="19">
        <f t="shared" si="45"/>
        <v>2089.6446744129425</v>
      </c>
      <c r="AO58" s="19">
        <f t="shared" si="45"/>
        <v>2021.6002927856675</v>
      </c>
      <c r="AP58" s="19">
        <f t="shared" si="45"/>
        <v>1975.7840032402241</v>
      </c>
      <c r="AQ58" s="19">
        <f t="shared" si="45"/>
        <v>1933.1755403888224</v>
      </c>
      <c r="AR58" s="19">
        <f t="shared" si="45"/>
        <v>1824.8412793617815</v>
      </c>
      <c r="AS58" s="19">
        <f t="shared" si="45"/>
        <v>1752.4042384314562</v>
      </c>
      <c r="AT58" s="19">
        <f t="shared" si="45"/>
        <v>1698.9229745152215</v>
      </c>
      <c r="AU58" s="19">
        <f t="shared" si="45"/>
        <v>1624.6050852328883</v>
      </c>
      <c r="AV58" s="19">
        <f t="shared" si="45"/>
        <v>1524.4482869398328</v>
      </c>
      <c r="AW58" s="19">
        <f t="shared" si="45"/>
        <v>1430.3627300919634</v>
      </c>
      <c r="AX58" s="19">
        <f t="shared" si="45"/>
        <v>1301.9874803354971</v>
      </c>
    </row>
    <row r="59" spans="1:50">
      <c r="A59" s="18" t="s">
        <v>32</v>
      </c>
      <c r="B59" s="19"/>
      <c r="O59" s="19"/>
      <c r="P59" s="19">
        <f t="shared" ref="P59:AX59" si="46">+P58*P3*$O4</f>
        <v>-8.2662888367052236</v>
      </c>
      <c r="Q59" s="19">
        <f t="shared" si="46"/>
        <v>-12.398699093081529</v>
      </c>
      <c r="R59" s="19">
        <f t="shared" si="46"/>
        <v>-29.800689732158535</v>
      </c>
      <c r="S59" s="19">
        <f t="shared" si="46"/>
        <v>-41.93265417311099</v>
      </c>
      <c r="T59" s="19">
        <f t="shared" si="46"/>
        <v>1.1838516692885879</v>
      </c>
      <c r="U59" s="19">
        <f t="shared" si="46"/>
        <v>-8.7642009227546662</v>
      </c>
      <c r="V59" s="19">
        <f t="shared" si="46"/>
        <v>54.10069121894351</v>
      </c>
      <c r="W59" s="19">
        <f t="shared" si="46"/>
        <v>61.73292363591127</v>
      </c>
      <c r="X59" s="19">
        <f t="shared" si="46"/>
        <v>63.648853190114458</v>
      </c>
      <c r="Y59" s="19">
        <f t="shared" si="46"/>
        <v>64.7384666735433</v>
      </c>
      <c r="Z59" s="19">
        <f t="shared" si="46"/>
        <v>63.737366391208361</v>
      </c>
      <c r="AA59" s="19">
        <f t="shared" si="46"/>
        <v>62.641898858521564</v>
      </c>
      <c r="AB59" s="19">
        <f t="shared" si="46"/>
        <v>58.087876103256598</v>
      </c>
      <c r="AC59" s="19">
        <f t="shared" si="46"/>
        <v>54.8046659135792</v>
      </c>
      <c r="AD59" s="19">
        <f t="shared" si="46"/>
        <v>51.929670650332845</v>
      </c>
      <c r="AE59" s="19">
        <f t="shared" si="46"/>
        <v>50.238658081270472</v>
      </c>
      <c r="AF59" s="19">
        <f t="shared" si="46"/>
        <v>42.430840469971926</v>
      </c>
      <c r="AG59" s="19">
        <f t="shared" si="46"/>
        <v>50.149501930797605</v>
      </c>
      <c r="AH59" s="19">
        <f t="shared" si="46"/>
        <v>48.271495113882494</v>
      </c>
      <c r="AI59" s="19">
        <f t="shared" si="46"/>
        <v>48.903993003045606</v>
      </c>
      <c r="AJ59" s="19">
        <f t="shared" si="46"/>
        <v>48.051528895831495</v>
      </c>
      <c r="AK59" s="19">
        <f t="shared" si="46"/>
        <v>47.631443079273616</v>
      </c>
      <c r="AL59" s="19">
        <f t="shared" si="46"/>
        <v>46.765660702272484</v>
      </c>
      <c r="AM59" s="19">
        <f t="shared" si="46"/>
        <v>44.886051769997621</v>
      </c>
      <c r="AN59" s="19">
        <f t="shared" si="46"/>
        <v>44.195984863833736</v>
      </c>
      <c r="AO59" s="19">
        <f t="shared" si="46"/>
        <v>42.756846192416873</v>
      </c>
      <c r="AP59" s="19">
        <f t="shared" si="46"/>
        <v>41.787831668530742</v>
      </c>
      <c r="AQ59" s="19">
        <f t="shared" si="46"/>
        <v>40.886662679223598</v>
      </c>
      <c r="AR59" s="19">
        <f t="shared" si="46"/>
        <v>38.595393058501685</v>
      </c>
      <c r="AS59" s="19">
        <f t="shared" si="46"/>
        <v>37.063349642825301</v>
      </c>
      <c r="AT59" s="19">
        <f t="shared" si="46"/>
        <v>35.932220910996939</v>
      </c>
      <c r="AU59" s="19">
        <f t="shared" si="46"/>
        <v>34.360397552675593</v>
      </c>
      <c r="AV59" s="19">
        <f t="shared" si="46"/>
        <v>32.242081268777468</v>
      </c>
      <c r="AW59" s="19">
        <f t="shared" si="46"/>
        <v>30.252171741445029</v>
      </c>
      <c r="AX59" s="19">
        <f t="shared" si="46"/>
        <v>27.537035209095766</v>
      </c>
    </row>
    <row r="60" spans="1:50">
      <c r="A60" s="18" t="s">
        <v>33</v>
      </c>
      <c r="B60" s="19"/>
      <c r="O60" s="19"/>
      <c r="P60" s="19">
        <f>P57*'Pi''s Calc'!P3</f>
        <v>0</v>
      </c>
      <c r="Q60" s="19">
        <f>Q57*'Pi''s Calc'!Q3</f>
        <v>-38.439386782696424</v>
      </c>
      <c r="R60" s="19">
        <f>R57*'Pi''s Calc'!R3</f>
        <v>-81.332083119680973</v>
      </c>
      <c r="S60" s="19">
        <f>S57*'Pi''s Calc'!S3</f>
        <v>-132.85534894635802</v>
      </c>
      <c r="T60" s="19">
        <f>T57*'Pi''s Calc'!T3</f>
        <v>-234.47739778369493</v>
      </c>
      <c r="U60" s="19">
        <f>U57*'Pi''s Calc'!U3</f>
        <v>-252.89406143203746</v>
      </c>
      <c r="V60" s="19">
        <f>V57*'Pi''s Calc'!V3</f>
        <v>-281.4906077751545</v>
      </c>
      <c r="W60" s="19">
        <f>W57*'Pi''s Calc'!W3</f>
        <v>-182.90781880759522</v>
      </c>
      <c r="X60" s="19">
        <f>X57*'Pi''s Calc'!X3</f>
        <v>-64.567669601534902</v>
      </c>
      <c r="Y60" s="19">
        <f>Y57*'Pi''s Calc'!Y3</f>
        <v>62.691170844490934</v>
      </c>
      <c r="Z60" s="19">
        <f>Z57*'Pi''s Calc'!Z3</f>
        <v>197.5583778585904</v>
      </c>
      <c r="AA60" s="19">
        <f>AA57*'Pi''s Calc'!AA3</f>
        <v>336.08592062277359</v>
      </c>
      <c r="AB60" s="19">
        <f>AB57*'Pi''s Calc'!AB3</f>
        <v>478.2359051038755</v>
      </c>
      <c r="AC60" s="19">
        <f>AC57*'Pi''s Calc'!AC3</f>
        <v>617.09815325545037</v>
      </c>
      <c r="AD60" s="19">
        <f>AD57*'Pi''s Calc'!AD3</f>
        <v>755.12897433345881</v>
      </c>
      <c r="AE60" s="19">
        <f>AE57*'Pi''s Calc'!AE3</f>
        <v>893.12689631693888</v>
      </c>
      <c r="AF60" s="19">
        <f>AF57*'Pi''s Calc'!AF3</f>
        <v>1033.5085754305242</v>
      </c>
      <c r="AG60" s="19">
        <f>AG57*'Pi''s Calc'!AG3</f>
        <v>1163.8824936630592</v>
      </c>
      <c r="AH60" s="19">
        <f>AH57*'Pi''s Calc'!AH3</f>
        <v>1315.5350509382745</v>
      </c>
      <c r="AI60" s="19">
        <f>AI57*'Pi''s Calc'!AI3</f>
        <v>1469.7670580640458</v>
      </c>
      <c r="AJ60" s="19">
        <f>AJ57*'Pi''s Calc'!AJ3</f>
        <v>1631.8148295302751</v>
      </c>
      <c r="AK60" s="19">
        <f>AK57*'Pi''s Calc'!AK3</f>
        <v>1798.9762342833626</v>
      </c>
      <c r="AL60" s="19">
        <f>AL57*'Pi''s Calc'!AL3</f>
        <v>1972.3506251943495</v>
      </c>
      <c r="AM60" s="19">
        <f>AM57*'Pi''s Calc'!AM3</f>
        <v>2151.2905654923215</v>
      </c>
      <c r="AN60" s="19">
        <f>AN57*'Pi''s Calc'!AN3</f>
        <v>2333.9609399425126</v>
      </c>
      <c r="AO60" s="19">
        <f>AO57*'Pi''s Calc'!AO3</f>
        <v>2522.9489475894884</v>
      </c>
      <c r="AP60" s="19">
        <f>AP57*'Pi''s Calc'!AP3</f>
        <v>2716.9919950512967</v>
      </c>
      <c r="AQ60" s="19">
        <f>AQ57*'Pi''s Calc'!AQ3</f>
        <v>2917.2640450586068</v>
      </c>
      <c r="AR60" s="19">
        <f>AR57*'Pi''s Calc'!AR3</f>
        <v>3124.1671453543645</v>
      </c>
      <c r="AS60" s="19">
        <f>AS57*'Pi''s Calc'!AS3</f>
        <v>3335.142786846232</v>
      </c>
      <c r="AT60" s="19">
        <f>AT57*'Pi''s Calc'!AT3</f>
        <v>3551.9138057053692</v>
      </c>
      <c r="AU60" s="19">
        <f>AU57*'Pi''s Calc'!AU3</f>
        <v>3775.5441344532355</v>
      </c>
      <c r="AV60" s="19">
        <f>AV57*'Pi''s Calc'!AV3</f>
        <v>4005.4238912624364</v>
      </c>
      <c r="AW60" s="19">
        <f>AW57*'Pi''s Calc'!AW3</f>
        <v>4240.7013244380623</v>
      </c>
      <c r="AX60" s="19">
        <f>AX57*'Pi''s Calc'!AX3</f>
        <v>4481.8670008093459</v>
      </c>
    </row>
    <row r="61" spans="1:50">
      <c r="A61" s="18" t="s">
        <v>34</v>
      </c>
      <c r="B61" s="19"/>
      <c r="O61" s="56"/>
      <c r="P61" s="56">
        <f t="shared" ref="P61:AM61" si="47">SUM(P57:P60)</f>
        <v>-1140.6346226319413</v>
      </c>
      <c r="Q61" s="56">
        <f t="shared" si="47"/>
        <v>-1927.3005478597388</v>
      </c>
      <c r="R61" s="56">
        <f t="shared" si="47"/>
        <v>-3450.7882843209877</v>
      </c>
      <c r="S61" s="56">
        <f t="shared" si="47"/>
        <v>-5803.8959847449241</v>
      </c>
      <c r="T61" s="56">
        <f t="shared" si="47"/>
        <v>-5978.5830125777175</v>
      </c>
      <c r="U61" s="56">
        <f t="shared" si="47"/>
        <v>-6654.6242972849759</v>
      </c>
      <c r="V61" s="56">
        <f t="shared" si="47"/>
        <v>-4324.0619103450399</v>
      </c>
      <c r="W61" s="56">
        <f t="shared" si="47"/>
        <v>-1526.4224492088629</v>
      </c>
      <c r="X61" s="56">
        <f t="shared" si="47"/>
        <v>1482.0607764655065</v>
      </c>
      <c r="Y61" s="56">
        <f t="shared" si="47"/>
        <v>4670.4108240801506</v>
      </c>
      <c r="Z61" s="56">
        <f t="shared" si="47"/>
        <v>7945.2936317440563</v>
      </c>
      <c r="AA61" s="56">
        <f t="shared" si="47"/>
        <v>11305.81335942968</v>
      </c>
      <c r="AB61" s="56">
        <f t="shared" si="47"/>
        <v>14588.608824005916</v>
      </c>
      <c r="AC61" s="56">
        <f t="shared" si="47"/>
        <v>17851.748802209426</v>
      </c>
      <c r="AD61" s="56">
        <f t="shared" si="47"/>
        <v>21114.111024041107</v>
      </c>
      <c r="AE61" s="56">
        <f t="shared" si="47"/>
        <v>24432.826842329174</v>
      </c>
      <c r="AF61" s="56">
        <f t="shared" si="47"/>
        <v>27514.952568866644</v>
      </c>
      <c r="AG61" s="56">
        <f t="shared" si="47"/>
        <v>31100.119407524217</v>
      </c>
      <c r="AH61" s="56">
        <f t="shared" si="47"/>
        <v>34746.266148086186</v>
      </c>
      <c r="AI61" s="56">
        <f t="shared" si="47"/>
        <v>38577.182731212175</v>
      </c>
      <c r="AJ61" s="56">
        <f t="shared" si="47"/>
        <v>42528.988990150414</v>
      </c>
      <c r="AK61" s="56">
        <f t="shared" si="47"/>
        <v>46627.674354476345</v>
      </c>
      <c r="AL61" s="56">
        <f t="shared" si="47"/>
        <v>50857.932990362206</v>
      </c>
      <c r="AM61" s="56">
        <f t="shared" si="47"/>
        <v>55176.381558924644</v>
      </c>
      <c r="AN61" s="56">
        <f t="shared" ref="AN61:AX61" si="48">SUM(AN57:AN60)</f>
        <v>59644.183158143933</v>
      </c>
      <c r="AO61" s="56">
        <f t="shared" si="48"/>
        <v>64231.489244711505</v>
      </c>
      <c r="AP61" s="56">
        <f t="shared" si="48"/>
        <v>68966.053074671552</v>
      </c>
      <c r="AQ61" s="56">
        <f t="shared" si="48"/>
        <v>73857.37932279821</v>
      </c>
      <c r="AR61" s="56">
        <f t="shared" si="48"/>
        <v>78844.983140572847</v>
      </c>
      <c r="AS61" s="56">
        <f t="shared" si="48"/>
        <v>83969.593515493354</v>
      </c>
      <c r="AT61" s="56">
        <f t="shared" si="48"/>
        <v>89256.36251662494</v>
      </c>
      <c r="AU61" s="56">
        <f t="shared" si="48"/>
        <v>94690.872133863741</v>
      </c>
      <c r="AV61" s="56">
        <f t="shared" si="48"/>
        <v>100252.9863933348</v>
      </c>
      <c r="AW61" s="56">
        <f t="shared" si="48"/>
        <v>105954.30261960627</v>
      </c>
      <c r="AX61" s="56">
        <f t="shared" si="48"/>
        <v>111765.69413596021</v>
      </c>
    </row>
    <row r="62" spans="1:50"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</row>
    <row r="63" spans="1:50">
      <c r="A63" s="11" t="s">
        <v>301</v>
      </c>
      <c r="P63" s="31">
        <f>+O66</f>
        <v>32234.966445652888</v>
      </c>
      <c r="Q63" s="31">
        <f>+P66</f>
        <v>33846.231578391365</v>
      </c>
      <c r="R63" s="31">
        <f t="shared" ref="R63:AM63" si="49">+Q66</f>
        <v>35735.076121028258</v>
      </c>
      <c r="S63" s="31">
        <f t="shared" si="49"/>
        <v>38685.25198667722</v>
      </c>
      <c r="T63" s="31">
        <f t="shared" si="49"/>
        <v>42394.88653964187</v>
      </c>
      <c r="U63" s="31">
        <f t="shared" si="49"/>
        <v>44047.849585892494</v>
      </c>
      <c r="V63" s="31">
        <f t="shared" si="49"/>
        <v>46334.220846650969</v>
      </c>
      <c r="W63" s="31">
        <f t="shared" si="49"/>
        <v>45682.105393749211</v>
      </c>
      <c r="X63" s="31">
        <f t="shared" si="49"/>
        <v>44633.91117196103</v>
      </c>
      <c r="Y63" s="31">
        <f t="shared" si="49"/>
        <v>43448.874719259074</v>
      </c>
      <c r="Z63" s="31">
        <f t="shared" si="49"/>
        <v>42161.103243113583</v>
      </c>
      <c r="AA63" s="31">
        <f t="shared" si="49"/>
        <v>40867.193480491973</v>
      </c>
      <c r="AB63" s="31">
        <f t="shared" si="49"/>
        <v>39571.441957653929</v>
      </c>
      <c r="AC63" s="31">
        <f t="shared" si="49"/>
        <v>38440.754392990326</v>
      </c>
      <c r="AD63" s="31">
        <f t="shared" si="49"/>
        <v>37420.756478865762</v>
      </c>
      <c r="AE63" s="31">
        <f t="shared" si="49"/>
        <v>36496.421230423555</v>
      </c>
      <c r="AF63" s="31">
        <f t="shared" si="49"/>
        <v>35614.630926499347</v>
      </c>
      <c r="AG63" s="31">
        <f t="shared" si="49"/>
        <v>35072.512663583329</v>
      </c>
      <c r="AH63" s="31">
        <f t="shared" si="49"/>
        <v>34134.79560425839</v>
      </c>
      <c r="AI63" s="31">
        <f t="shared" si="49"/>
        <v>33248.085768694829</v>
      </c>
      <c r="AJ63" s="31">
        <f t="shared" si="49"/>
        <v>32293.33027164868</v>
      </c>
      <c r="AK63" s="31">
        <f t="shared" si="49"/>
        <v>31339.346712731465</v>
      </c>
      <c r="AL63" s="31">
        <f t="shared" si="49"/>
        <v>30365.291948637441</v>
      </c>
      <c r="AM63" s="31">
        <f t="shared" si="49"/>
        <v>29391.835787373293</v>
      </c>
      <c r="AN63" s="31">
        <f t="shared" ref="AN63:AX63" si="50">+AM66</f>
        <v>28467.95243810906</v>
      </c>
      <c r="AO63" s="31">
        <f t="shared" si="50"/>
        <v>27538.306166964299</v>
      </c>
      <c r="AP63" s="31">
        <f t="shared" si="50"/>
        <v>26638.819378848806</v>
      </c>
      <c r="AQ63" s="31">
        <f t="shared" si="50"/>
        <v>25748.069603665357</v>
      </c>
      <c r="AR63" s="31">
        <f t="shared" si="50"/>
        <v>24863.150744832357</v>
      </c>
      <c r="AS63" s="31">
        <f t="shared" si="50"/>
        <v>24051.425348918481</v>
      </c>
      <c r="AT63" s="31">
        <f t="shared" si="50"/>
        <v>23279.333053103452</v>
      </c>
      <c r="AU63" s="31">
        <f t="shared" si="50"/>
        <v>22529.19364582351</v>
      </c>
      <c r="AV63" s="31">
        <f t="shared" si="50"/>
        <v>21823.213054256281</v>
      </c>
      <c r="AW63" s="31">
        <f t="shared" si="50"/>
        <v>21189.644598242714</v>
      </c>
      <c r="AX63" s="31">
        <f t="shared" si="50"/>
        <v>20625.351662914974</v>
      </c>
    </row>
    <row r="64" spans="1:50">
      <c r="A64" s="11" t="s">
        <v>302</v>
      </c>
      <c r="P64" s="31">
        <f t="shared" ref="P64:AX64" si="51">+P63*P3</f>
        <v>470.63051010653214</v>
      </c>
      <c r="Q64" s="31">
        <f t="shared" si="51"/>
        <v>1140.6180041917889</v>
      </c>
      <c r="R64" s="31">
        <f t="shared" si="51"/>
        <v>1508.0202123073923</v>
      </c>
      <c r="S64" s="31">
        <f t="shared" si="51"/>
        <v>1489.382201487073</v>
      </c>
      <c r="T64" s="31">
        <f t="shared" si="51"/>
        <v>1712.7534162015315</v>
      </c>
      <c r="U64" s="31">
        <f t="shared" si="51"/>
        <v>1863.2240374832527</v>
      </c>
      <c r="V64" s="31">
        <f t="shared" si="51"/>
        <v>1959.9375418133361</v>
      </c>
      <c r="W64" s="31">
        <f t="shared" si="51"/>
        <v>1932.3530581555917</v>
      </c>
      <c r="X64" s="31">
        <f t="shared" si="51"/>
        <v>1888.0144425739518</v>
      </c>
      <c r="Y64" s="31">
        <f t="shared" si="51"/>
        <v>1837.887400624659</v>
      </c>
      <c r="Z64" s="31">
        <f t="shared" si="51"/>
        <v>1783.4146671837048</v>
      </c>
      <c r="AA64" s="31">
        <f t="shared" si="51"/>
        <v>1728.6822842248107</v>
      </c>
      <c r="AB64" s="31">
        <f t="shared" si="51"/>
        <v>1673.8719948087614</v>
      </c>
      <c r="AC64" s="31">
        <f t="shared" si="51"/>
        <v>1626.0439108234909</v>
      </c>
      <c r="AD64" s="31">
        <f t="shared" si="51"/>
        <v>1582.8979990560219</v>
      </c>
      <c r="AE64" s="31">
        <f t="shared" si="51"/>
        <v>1543.7986180469165</v>
      </c>
      <c r="AF64" s="31">
        <f t="shared" si="51"/>
        <v>1506.4988881909226</v>
      </c>
      <c r="AG64" s="31">
        <f t="shared" si="51"/>
        <v>1483.5672856695751</v>
      </c>
      <c r="AH64" s="31">
        <f t="shared" si="51"/>
        <v>1443.9018540601301</v>
      </c>
      <c r="AI64" s="31">
        <f t="shared" si="51"/>
        <v>1406.3940280157915</v>
      </c>
      <c r="AJ64" s="31">
        <f t="shared" si="51"/>
        <v>1366.0078704907394</v>
      </c>
      <c r="AK64" s="31">
        <f t="shared" si="51"/>
        <v>1325.6543659485412</v>
      </c>
      <c r="AL64" s="31">
        <f t="shared" si="51"/>
        <v>1284.4518494273639</v>
      </c>
      <c r="AM64" s="31">
        <f t="shared" si="51"/>
        <v>1243.2746538058905</v>
      </c>
      <c r="AN64" s="31">
        <f t="shared" si="51"/>
        <v>1204.1943881320133</v>
      </c>
      <c r="AO64" s="31">
        <f t="shared" si="51"/>
        <v>1164.8703508625899</v>
      </c>
      <c r="AP64" s="31">
        <f t="shared" si="51"/>
        <v>1126.8220597253046</v>
      </c>
      <c r="AQ64" s="31">
        <f t="shared" si="51"/>
        <v>1089.1433442350447</v>
      </c>
      <c r="AR64" s="31">
        <f t="shared" si="51"/>
        <v>1051.7112765064089</v>
      </c>
      <c r="AS64" s="31">
        <f t="shared" si="51"/>
        <v>1017.3752922592519</v>
      </c>
      <c r="AT64" s="31">
        <f t="shared" si="51"/>
        <v>984.71578814627605</v>
      </c>
      <c r="AU64" s="31">
        <f t="shared" si="51"/>
        <v>952.98489121833461</v>
      </c>
      <c r="AV64" s="31">
        <f t="shared" si="51"/>
        <v>923.12191219504075</v>
      </c>
      <c r="AW64" s="31">
        <f t="shared" si="51"/>
        <v>896.32196650566686</v>
      </c>
      <c r="AX64" s="31">
        <f t="shared" si="51"/>
        <v>872.45237534130354</v>
      </c>
    </row>
    <row r="65" spans="1:50">
      <c r="A65" s="11" t="s">
        <v>35</v>
      </c>
      <c r="P65" s="31">
        <f>-P58-P59</f>
        <v>1140.6346226319413</v>
      </c>
      <c r="Q65" s="31">
        <f t="shared" ref="Q65:AX65" si="52">-Q58-Q59</f>
        <v>748.22653844510103</v>
      </c>
      <c r="R65" s="31">
        <f t="shared" si="52"/>
        <v>1442.155653341568</v>
      </c>
      <c r="S65" s="31">
        <f t="shared" si="52"/>
        <v>2220.252351477578</v>
      </c>
      <c r="T65" s="31">
        <f t="shared" si="52"/>
        <v>-59.790369950901848</v>
      </c>
      <c r="U65" s="31">
        <f t="shared" si="52"/>
        <v>423.14722327522111</v>
      </c>
      <c r="V65" s="31">
        <f t="shared" si="52"/>
        <v>-2612.0529947150903</v>
      </c>
      <c r="W65" s="31">
        <f t="shared" si="52"/>
        <v>-2980.5472799437725</v>
      </c>
      <c r="X65" s="31">
        <f t="shared" si="52"/>
        <v>-3073.0508952759042</v>
      </c>
      <c r="Y65" s="31">
        <f t="shared" si="52"/>
        <v>-3125.6588767701533</v>
      </c>
      <c r="Z65" s="31">
        <f t="shared" si="52"/>
        <v>-3077.324429805315</v>
      </c>
      <c r="AA65" s="31">
        <f t="shared" si="52"/>
        <v>-3024.4338070628505</v>
      </c>
      <c r="AB65" s="31">
        <f t="shared" si="52"/>
        <v>-2804.5595594723627</v>
      </c>
      <c r="AC65" s="31">
        <f t="shared" si="52"/>
        <v>-2646.0418249480567</v>
      </c>
      <c r="AD65" s="31">
        <f t="shared" si="52"/>
        <v>-2507.2332474982213</v>
      </c>
      <c r="AE65" s="31">
        <f t="shared" si="52"/>
        <v>-2425.5889219711271</v>
      </c>
      <c r="AF65" s="31">
        <f t="shared" si="52"/>
        <v>-2048.6171511069424</v>
      </c>
      <c r="AG65" s="31">
        <f t="shared" si="52"/>
        <v>-2421.284344994514</v>
      </c>
      <c r="AH65" s="31">
        <f t="shared" si="52"/>
        <v>-2330.6116896236927</v>
      </c>
      <c r="AI65" s="31">
        <f t="shared" si="52"/>
        <v>-2361.1495250619396</v>
      </c>
      <c r="AJ65" s="31">
        <f t="shared" si="52"/>
        <v>-2319.9914294079585</v>
      </c>
      <c r="AK65" s="31">
        <f t="shared" si="52"/>
        <v>-2299.709130042565</v>
      </c>
      <c r="AL65" s="31">
        <f t="shared" si="52"/>
        <v>-2257.9080106915148</v>
      </c>
      <c r="AM65" s="31">
        <f t="shared" si="52"/>
        <v>-2167.1580030701216</v>
      </c>
      <c r="AN65" s="31">
        <f t="shared" si="52"/>
        <v>-2133.8406592767765</v>
      </c>
      <c r="AO65" s="31">
        <f t="shared" si="52"/>
        <v>-2064.3571389780845</v>
      </c>
      <c r="AP65" s="31">
        <f t="shared" si="52"/>
        <v>-2017.5718349087549</v>
      </c>
      <c r="AQ65" s="31">
        <f t="shared" si="52"/>
        <v>-1974.0622030680458</v>
      </c>
      <c r="AR65" s="31">
        <f t="shared" si="52"/>
        <v>-1863.4366724202832</v>
      </c>
      <c r="AS65" s="31">
        <f t="shared" si="52"/>
        <v>-1789.4675880742816</v>
      </c>
      <c r="AT65" s="31">
        <f t="shared" si="52"/>
        <v>-1734.8551954262184</v>
      </c>
      <c r="AU65" s="31">
        <f t="shared" si="52"/>
        <v>-1658.9654827855638</v>
      </c>
      <c r="AV65" s="31">
        <f t="shared" si="52"/>
        <v>-1556.6903682086102</v>
      </c>
      <c r="AW65" s="31">
        <f t="shared" si="52"/>
        <v>-1460.6149018334083</v>
      </c>
      <c r="AX65" s="31">
        <f t="shared" si="52"/>
        <v>-1329.524515544593</v>
      </c>
    </row>
    <row r="66" spans="1:50">
      <c r="A66" s="11" t="s">
        <v>303</v>
      </c>
      <c r="O66" s="116">
        <f>+O55</f>
        <v>32234.966445652888</v>
      </c>
      <c r="P66" s="116">
        <f t="shared" ref="P66:AM66" si="53">SUM(P63:P65)</f>
        <v>33846.231578391365</v>
      </c>
      <c r="Q66" s="116">
        <f t="shared" si="53"/>
        <v>35735.076121028258</v>
      </c>
      <c r="R66" s="116">
        <f t="shared" si="53"/>
        <v>38685.25198667722</v>
      </c>
      <c r="S66" s="116">
        <f t="shared" si="53"/>
        <v>42394.88653964187</v>
      </c>
      <c r="T66" s="116">
        <f t="shared" si="53"/>
        <v>44047.849585892494</v>
      </c>
      <c r="U66" s="116">
        <f t="shared" si="53"/>
        <v>46334.220846650969</v>
      </c>
      <c r="V66" s="116">
        <f t="shared" si="53"/>
        <v>45682.105393749211</v>
      </c>
      <c r="W66" s="116">
        <f t="shared" si="53"/>
        <v>44633.91117196103</v>
      </c>
      <c r="X66" s="116">
        <f t="shared" si="53"/>
        <v>43448.874719259074</v>
      </c>
      <c r="Y66" s="116">
        <f t="shared" si="53"/>
        <v>42161.103243113583</v>
      </c>
      <c r="Z66" s="116">
        <f t="shared" si="53"/>
        <v>40867.193480491973</v>
      </c>
      <c r="AA66" s="116">
        <f t="shared" si="53"/>
        <v>39571.441957653929</v>
      </c>
      <c r="AB66" s="116">
        <f t="shared" si="53"/>
        <v>38440.754392990326</v>
      </c>
      <c r="AC66" s="116">
        <f t="shared" si="53"/>
        <v>37420.756478865762</v>
      </c>
      <c r="AD66" s="116">
        <f t="shared" si="53"/>
        <v>36496.421230423555</v>
      </c>
      <c r="AE66" s="116">
        <f t="shared" si="53"/>
        <v>35614.630926499347</v>
      </c>
      <c r="AF66" s="116">
        <f t="shared" si="53"/>
        <v>35072.512663583329</v>
      </c>
      <c r="AG66" s="116">
        <f t="shared" si="53"/>
        <v>34134.79560425839</v>
      </c>
      <c r="AH66" s="116">
        <f t="shared" si="53"/>
        <v>33248.085768694829</v>
      </c>
      <c r="AI66" s="116">
        <f t="shared" si="53"/>
        <v>32293.33027164868</v>
      </c>
      <c r="AJ66" s="116">
        <f t="shared" si="53"/>
        <v>31339.346712731465</v>
      </c>
      <c r="AK66" s="116">
        <f t="shared" si="53"/>
        <v>30365.291948637441</v>
      </c>
      <c r="AL66" s="116">
        <f t="shared" si="53"/>
        <v>29391.835787373293</v>
      </c>
      <c r="AM66" s="116">
        <f t="shared" si="53"/>
        <v>28467.95243810906</v>
      </c>
      <c r="AN66" s="116">
        <f t="shared" ref="AN66:AX66" si="54">SUM(AN63:AN65)</f>
        <v>27538.306166964299</v>
      </c>
      <c r="AO66" s="116">
        <f t="shared" si="54"/>
        <v>26638.819378848806</v>
      </c>
      <c r="AP66" s="116">
        <f t="shared" si="54"/>
        <v>25748.069603665357</v>
      </c>
      <c r="AQ66" s="116">
        <f t="shared" si="54"/>
        <v>24863.150744832357</v>
      </c>
      <c r="AR66" s="116">
        <f t="shared" si="54"/>
        <v>24051.425348918481</v>
      </c>
      <c r="AS66" s="116">
        <f t="shared" si="54"/>
        <v>23279.333053103452</v>
      </c>
      <c r="AT66" s="116">
        <f t="shared" si="54"/>
        <v>22529.19364582351</v>
      </c>
      <c r="AU66" s="116">
        <f t="shared" si="54"/>
        <v>21823.213054256281</v>
      </c>
      <c r="AV66" s="116">
        <f t="shared" si="54"/>
        <v>21189.644598242714</v>
      </c>
      <c r="AW66" s="116">
        <f t="shared" si="54"/>
        <v>20625.351662914974</v>
      </c>
      <c r="AX66" s="116">
        <f t="shared" si="54"/>
        <v>20168.279522711688</v>
      </c>
    </row>
    <row r="68" spans="1:50">
      <c r="A68" s="11" t="s">
        <v>198</v>
      </c>
      <c r="P68" s="31">
        <f>+P7+P8</f>
        <v>7286.6989987706593</v>
      </c>
      <c r="Q68" s="31">
        <f t="shared" ref="Q68:U68" si="55">+Q7+Q8</f>
        <v>7125.4632091937165</v>
      </c>
      <c r="R68" s="31">
        <f t="shared" si="55"/>
        <v>8254.1363851742062</v>
      </c>
      <c r="S68" s="31">
        <f t="shared" si="55"/>
        <v>9481.3980227964439</v>
      </c>
      <c r="T68" s="31">
        <f t="shared" si="55"/>
        <v>7595.020782103109</v>
      </c>
      <c r="U68" s="31">
        <f t="shared" si="55"/>
        <v>8372.465461454769</v>
      </c>
    </row>
    <row r="69" spans="1:50">
      <c r="A69" s="11" t="s">
        <v>0</v>
      </c>
      <c r="P69" s="31">
        <f>+P55</f>
        <v>33846.231578391358</v>
      </c>
      <c r="Q69" s="31">
        <f t="shared" ref="Q69:U69" si="56">+Q55</f>
        <v>35735.076121028251</v>
      </c>
      <c r="R69" s="31">
        <f t="shared" si="56"/>
        <v>38685.251986677213</v>
      </c>
      <c r="S69" s="31">
        <f t="shared" si="56"/>
        <v>42394.886539641862</v>
      </c>
      <c r="T69" s="31">
        <f t="shared" si="56"/>
        <v>44047.849585892487</v>
      </c>
      <c r="U69" s="31">
        <f t="shared" si="56"/>
        <v>46334.220846650962</v>
      </c>
    </row>
    <row r="70" spans="1:50">
      <c r="A70" s="11" t="s">
        <v>199</v>
      </c>
      <c r="P70" s="122">
        <f>+P68/P69</f>
        <v>0.21528833961600463</v>
      </c>
      <c r="Q70" s="122">
        <f t="shared" ref="Q70:U70" si="57">+Q68/Q69</f>
        <v>0.19939689466621141</v>
      </c>
      <c r="R70" s="122">
        <f t="shared" si="57"/>
        <v>0.21336648881121009</v>
      </c>
      <c r="S70" s="122">
        <f t="shared" si="57"/>
        <v>0.22364484957238287</v>
      </c>
      <c r="T70" s="122">
        <f t="shared" si="57"/>
        <v>0.17242659638339347</v>
      </c>
      <c r="U70" s="122">
        <f t="shared" si="57"/>
        <v>0.1806972321637719</v>
      </c>
    </row>
    <row r="72" spans="1:50">
      <c r="A72" s="58" t="s">
        <v>225</v>
      </c>
    </row>
    <row r="73" spans="1:50">
      <c r="A73" s="11" t="s">
        <v>289</v>
      </c>
      <c r="O73" s="139" t="s">
        <v>295</v>
      </c>
      <c r="P73" s="31">
        <f>+P63*P3-P59</f>
        <v>478.89679894323734</v>
      </c>
      <c r="Q73" s="31">
        <f t="shared" ref="Q73:AX73" si="58">+Q63*Q3-Q59</f>
        <v>1153.0167032848706</v>
      </c>
      <c r="R73" s="31">
        <f t="shared" si="58"/>
        <v>1537.8209020395509</v>
      </c>
      <c r="S73" s="31">
        <f t="shared" si="58"/>
        <v>1531.3148556601839</v>
      </c>
      <c r="T73" s="31">
        <f t="shared" si="58"/>
        <v>1711.569564532243</v>
      </c>
      <c r="U73" s="31">
        <f t="shared" si="58"/>
        <v>1871.9882384060074</v>
      </c>
      <c r="V73" s="31">
        <f t="shared" si="58"/>
        <v>1905.8368505943927</v>
      </c>
      <c r="W73" s="31">
        <f t="shared" si="58"/>
        <v>1870.6201345196805</v>
      </c>
      <c r="X73" s="31">
        <f t="shared" si="58"/>
        <v>1824.3655893838372</v>
      </c>
      <c r="Y73" s="31">
        <f t="shared" si="58"/>
        <v>1773.1489339511156</v>
      </c>
      <c r="Z73" s="31">
        <f t="shared" si="58"/>
        <v>1719.6773007924965</v>
      </c>
      <c r="AA73" s="31">
        <f t="shared" si="58"/>
        <v>1666.0403853662892</v>
      </c>
      <c r="AB73" s="31">
        <f t="shared" si="58"/>
        <v>1615.7841187055049</v>
      </c>
      <c r="AC73" s="31">
        <f t="shared" si="58"/>
        <v>1571.2392449099118</v>
      </c>
      <c r="AD73" s="31">
        <f t="shared" si="58"/>
        <v>1530.9683284056891</v>
      </c>
      <c r="AE73" s="31">
        <f t="shared" si="58"/>
        <v>1493.5599599656462</v>
      </c>
      <c r="AF73" s="31">
        <f t="shared" si="58"/>
        <v>1464.0680477209507</v>
      </c>
      <c r="AG73" s="31">
        <f t="shared" si="58"/>
        <v>1433.4177837387774</v>
      </c>
      <c r="AH73" s="31">
        <f t="shared" si="58"/>
        <v>1395.6303589462475</v>
      </c>
      <c r="AI73" s="31">
        <f t="shared" si="58"/>
        <v>1357.4900350127459</v>
      </c>
      <c r="AJ73" s="31">
        <f t="shared" si="58"/>
        <v>1317.9563415949078</v>
      </c>
      <c r="AK73" s="31">
        <f t="shared" si="58"/>
        <v>1278.0229228692676</v>
      </c>
      <c r="AL73" s="31">
        <f t="shared" si="58"/>
        <v>1237.6861887250914</v>
      </c>
      <c r="AM73" s="31">
        <f t="shared" si="58"/>
        <v>1198.3886020358927</v>
      </c>
      <c r="AN73" s="31">
        <f t="shared" si="58"/>
        <v>1159.9984032681796</v>
      </c>
      <c r="AO73" s="31">
        <f t="shared" si="58"/>
        <v>1122.1135046701731</v>
      </c>
      <c r="AP73" s="31">
        <f t="shared" si="58"/>
        <v>1085.0342280567738</v>
      </c>
      <c r="AQ73" s="31">
        <f t="shared" si="58"/>
        <v>1048.2566815558212</v>
      </c>
      <c r="AR73" s="31">
        <f t="shared" si="58"/>
        <v>1013.1158834479072</v>
      </c>
      <c r="AS73" s="31">
        <f t="shared" si="58"/>
        <v>980.31194261642656</v>
      </c>
      <c r="AT73" s="31">
        <f t="shared" si="58"/>
        <v>948.78356723527907</v>
      </c>
      <c r="AU73" s="31">
        <f t="shared" si="58"/>
        <v>918.62449366565897</v>
      </c>
      <c r="AV73" s="31">
        <f t="shared" si="58"/>
        <v>890.87983092626325</v>
      </c>
      <c r="AW73" s="31">
        <f t="shared" si="58"/>
        <v>866.0697947642218</v>
      </c>
      <c r="AX73" s="31">
        <f t="shared" si="58"/>
        <v>844.9153401322078</v>
      </c>
    </row>
    <row r="74" spans="1:50">
      <c r="A74" s="11" t="s">
        <v>290</v>
      </c>
      <c r="O74" s="139" t="s">
        <v>296</v>
      </c>
      <c r="P74" s="31">
        <f>+'DAV Pi'!P59</f>
        <v>1615.5694518493642</v>
      </c>
      <c r="Q74" s="31">
        <f>+'DAV Pi'!Q59</f>
        <v>1638.7577105098619</v>
      </c>
      <c r="R74" s="31">
        <f>+'DAV Pi'!R59</f>
        <v>1686.8096176460731</v>
      </c>
      <c r="S74" s="31">
        <f>+'DAV Pi'!S59</f>
        <v>1764.0886645687453</v>
      </c>
      <c r="T74" s="31">
        <f>+'DAV Pi'!T59</f>
        <v>1789.0485264579588</v>
      </c>
      <c r="U74" s="31">
        <f>+'DAV Pi'!U59</f>
        <v>1908.0212011872475</v>
      </c>
      <c r="V74" s="31">
        <f>+'DAV Pi'!V59</f>
        <v>1949.0280889320313</v>
      </c>
      <c r="W74" s="31">
        <f>+'DAV Pi'!W59</f>
        <v>1980.1853371826087</v>
      </c>
      <c r="X74" s="31">
        <f>+'DAV Pi'!X59</f>
        <v>2007.982582173049</v>
      </c>
      <c r="Y74" s="31">
        <f>+'DAV Pi'!Y59</f>
        <v>2032.7957877653935</v>
      </c>
      <c r="Z74" s="31">
        <f>+'DAV Pi'!Z59</f>
        <v>2043.6954078856429</v>
      </c>
      <c r="AA74" s="31">
        <f>+'DAV Pi'!AA59</f>
        <v>2028.628812035392</v>
      </c>
      <c r="AB74" s="31">
        <f>+'DAV Pi'!AB59</f>
        <v>2022.7723197938431</v>
      </c>
      <c r="AC74" s="31">
        <f>+'DAV Pi'!AC59</f>
        <v>1992.7173514300639</v>
      </c>
      <c r="AD74" s="31">
        <f>+'DAV Pi'!AD59</f>
        <v>1990.9473990715442</v>
      </c>
      <c r="AE74" s="31">
        <f>+'DAV Pi'!AE59</f>
        <v>2007.6812784587723</v>
      </c>
      <c r="AF74" s="31">
        <f>+'DAV Pi'!AF59</f>
        <v>2032.558809131438</v>
      </c>
      <c r="AG74" s="31">
        <f>+'DAV Pi'!AG59</f>
        <v>2049.5938108355758</v>
      </c>
      <c r="AH74" s="31">
        <f>+'DAV Pi'!AH59</f>
        <v>2063.460247719745</v>
      </c>
      <c r="AI74" s="31">
        <f>+'DAV Pi'!AI59</f>
        <v>2076.8230044556781</v>
      </c>
      <c r="AJ74" s="31">
        <f>+'DAV Pi'!AJ59</f>
        <v>2089.1378845441941</v>
      </c>
      <c r="AK74" s="31">
        <f>+'DAV Pi'!AK59</f>
        <v>2105.296837045827</v>
      </c>
      <c r="AL74" s="31">
        <f>+'DAV Pi'!AL59</f>
        <v>2126.0105806571714</v>
      </c>
      <c r="AM74" s="31">
        <f>+'DAV Pi'!AM59</f>
        <v>2151.4514890702212</v>
      </c>
      <c r="AN74" s="31">
        <f>+'DAV Pi'!AN59</f>
        <v>2176.5885585942174</v>
      </c>
      <c r="AO74" s="31">
        <f>+'DAV Pi'!AO59</f>
        <v>2203.2983655217095</v>
      </c>
      <c r="AP74" s="31">
        <f>+'DAV Pi'!AP59</f>
        <v>2227.5564206839504</v>
      </c>
      <c r="AQ74" s="31">
        <f>+'DAV Pi'!AQ59</f>
        <v>2249.1888942101473</v>
      </c>
      <c r="AR74" s="31">
        <f>+'DAV Pi'!AR59</f>
        <v>2270.6826163337178</v>
      </c>
      <c r="AS74" s="31">
        <f>+'DAV Pi'!AS59</f>
        <v>2291.4665521640941</v>
      </c>
      <c r="AT74" s="31">
        <f>+'DAV Pi'!AT59</f>
        <v>2306.9471636809158</v>
      </c>
      <c r="AU74" s="31">
        <f>+'DAV Pi'!AU59</f>
        <v>2322.8737308439777</v>
      </c>
      <c r="AV74" s="31">
        <f>+'DAV Pi'!AV59</f>
        <v>2333.2730243169681</v>
      </c>
      <c r="AW74" s="31">
        <f>+'DAV Pi'!AW59</f>
        <v>2339.1296487490054</v>
      </c>
      <c r="AX74" s="31">
        <f>+'DAV Pi'!AX59</f>
        <v>2347.736639183197</v>
      </c>
    </row>
    <row r="75" spans="1:50">
      <c r="A75" s="11" t="s">
        <v>291</v>
      </c>
      <c r="O75" s="139"/>
      <c r="P75" s="31">
        <f>+P8</f>
        <v>3068.7589143826945</v>
      </c>
      <c r="Q75" s="31">
        <f t="shared" ref="Q75:AX75" si="59">+Q8</f>
        <v>3367.4568702166835</v>
      </c>
      <c r="R75" s="31">
        <f t="shared" si="59"/>
        <v>3576.7605681749073</v>
      </c>
      <c r="S75" s="31">
        <f t="shared" si="59"/>
        <v>3855.3560758678741</v>
      </c>
      <c r="T75" s="31">
        <f t="shared" si="59"/>
        <v>4022.9638464735658</v>
      </c>
      <c r="U75" s="31">
        <f t="shared" si="59"/>
        <v>4203.1916331894672</v>
      </c>
      <c r="V75" s="31">
        <f t="shared" si="59"/>
        <v>4205.0809917086299</v>
      </c>
      <c r="W75" s="31">
        <f t="shared" si="59"/>
        <v>4261.3442862327356</v>
      </c>
      <c r="X75" s="31">
        <f t="shared" si="59"/>
        <v>4338.8843436145789</v>
      </c>
      <c r="Y75" s="31">
        <f t="shared" si="59"/>
        <v>4437.5754439206112</v>
      </c>
      <c r="Z75" s="31">
        <f t="shared" si="59"/>
        <v>4548.7759253482463</v>
      </c>
      <c r="AA75" s="31">
        <f t="shared" si="59"/>
        <v>4659.7982854257334</v>
      </c>
      <c r="AB75" s="31">
        <f t="shared" si="59"/>
        <v>4775.2466170745547</v>
      </c>
      <c r="AC75" s="31">
        <f t="shared" si="59"/>
        <v>4895.5432138829328</v>
      </c>
      <c r="AD75" s="31">
        <f t="shared" si="59"/>
        <v>5007.5968120495063</v>
      </c>
      <c r="AE75" s="31">
        <f t="shared" si="59"/>
        <v>5096.2859556802459</v>
      </c>
      <c r="AF75" s="31">
        <f t="shared" si="59"/>
        <v>5142.9343794044589</v>
      </c>
      <c r="AG75" s="31">
        <f t="shared" si="59"/>
        <v>5187.9158997382592</v>
      </c>
      <c r="AH75" s="31">
        <f t="shared" si="59"/>
        <v>5228.6746301999146</v>
      </c>
      <c r="AI75" s="31">
        <f t="shared" si="59"/>
        <v>5280.2530357965288</v>
      </c>
      <c r="AJ75" s="31">
        <f t="shared" si="59"/>
        <v>5353.5539881922959</v>
      </c>
      <c r="AK75" s="31">
        <f t="shared" si="59"/>
        <v>5421.8482406865096</v>
      </c>
      <c r="AL75" s="31">
        <f t="shared" si="59"/>
        <v>5480.3441191368083</v>
      </c>
      <c r="AM75" s="31">
        <f t="shared" si="59"/>
        <v>5537.8809300652574</v>
      </c>
      <c r="AN75" s="31">
        <f t="shared" si="59"/>
        <v>5609.4487599280983</v>
      </c>
      <c r="AO75" s="31">
        <f t="shared" si="59"/>
        <v>5672.3574525035783</v>
      </c>
      <c r="AP75" s="31">
        <f t="shared" si="59"/>
        <v>5751.198703887595</v>
      </c>
      <c r="AQ75" s="31">
        <f t="shared" si="59"/>
        <v>5832.0504720092586</v>
      </c>
      <c r="AR75" s="31">
        <f t="shared" si="59"/>
        <v>5915.1709622771277</v>
      </c>
      <c r="AS75" s="31">
        <f t="shared" si="59"/>
        <v>5996.5249594701527</v>
      </c>
      <c r="AT75" s="31">
        <f t="shared" si="59"/>
        <v>6075.3111779838391</v>
      </c>
      <c r="AU75" s="31">
        <f t="shared" si="59"/>
        <v>6154.4942613035064</v>
      </c>
      <c r="AV75" s="31">
        <f t="shared" si="59"/>
        <v>6234.873607169885</v>
      </c>
      <c r="AW75" s="31">
        <f t="shared" si="59"/>
        <v>6314.8879101639686</v>
      </c>
      <c r="AX75" s="31">
        <f t="shared" si="59"/>
        <v>6398.1774866229462</v>
      </c>
    </row>
    <row r="76" spans="1:50">
      <c r="A76" s="11" t="s">
        <v>292</v>
      </c>
      <c r="O76" s="139" t="s">
        <v>298</v>
      </c>
      <c r="P76" s="31">
        <f>-P31</f>
        <v>0</v>
      </c>
      <c r="Q76" s="31">
        <f t="shared" ref="Q76:AX76" si="60">-Q31</f>
        <v>0</v>
      </c>
      <c r="R76" s="31">
        <f t="shared" si="60"/>
        <v>0</v>
      </c>
      <c r="S76" s="31">
        <f t="shared" si="60"/>
        <v>0</v>
      </c>
      <c r="T76" s="31">
        <f t="shared" si="60"/>
        <v>0</v>
      </c>
      <c r="U76" s="31">
        <f t="shared" si="60"/>
        <v>0</v>
      </c>
      <c r="V76" s="31">
        <f t="shared" si="60"/>
        <v>0</v>
      </c>
      <c r="W76" s="31">
        <f t="shared" si="60"/>
        <v>0</v>
      </c>
      <c r="X76" s="31">
        <f t="shared" si="60"/>
        <v>0</v>
      </c>
      <c r="Y76" s="31">
        <f t="shared" si="60"/>
        <v>0</v>
      </c>
      <c r="Z76" s="31">
        <f t="shared" si="60"/>
        <v>0</v>
      </c>
      <c r="AA76" s="31">
        <f t="shared" si="60"/>
        <v>0</v>
      </c>
      <c r="AB76" s="31">
        <f t="shared" si="60"/>
        <v>146.7790155643375</v>
      </c>
      <c r="AC76" s="31">
        <f t="shared" si="60"/>
        <v>172.33139532560395</v>
      </c>
      <c r="AD76" s="31">
        <f t="shared" si="60"/>
        <v>178.88852562871296</v>
      </c>
      <c r="AE76" s="31">
        <f t="shared" si="60"/>
        <v>188.8033764965615</v>
      </c>
      <c r="AF76" s="31">
        <f t="shared" si="60"/>
        <v>198.56592797385264</v>
      </c>
      <c r="AG76" s="31">
        <f t="shared" si="60"/>
        <v>213.77449051605606</v>
      </c>
      <c r="AH76" s="31">
        <f t="shared" si="60"/>
        <v>224.38152301848453</v>
      </c>
      <c r="AI76" s="31">
        <f t="shared" si="60"/>
        <v>233.62503852616399</v>
      </c>
      <c r="AJ76" s="31">
        <f t="shared" si="60"/>
        <v>237.64204598498631</v>
      </c>
      <c r="AK76" s="31">
        <f t="shared" si="60"/>
        <v>243.55209820016762</v>
      </c>
      <c r="AL76" s="31">
        <f t="shared" si="60"/>
        <v>246.26897182075015</v>
      </c>
      <c r="AM76" s="31">
        <f t="shared" si="60"/>
        <v>248.86628648070635</v>
      </c>
      <c r="AN76" s="31">
        <f t="shared" si="60"/>
        <v>248.05099856066505</v>
      </c>
      <c r="AO76" s="31">
        <f t="shared" si="60"/>
        <v>249.2463818979455</v>
      </c>
      <c r="AP76" s="31">
        <f t="shared" si="60"/>
        <v>243.3873523325133</v>
      </c>
      <c r="AQ76" s="31">
        <f t="shared" si="60"/>
        <v>238.38970826875141</v>
      </c>
      <c r="AR76" s="31">
        <f t="shared" si="60"/>
        <v>231.74981578699163</v>
      </c>
      <c r="AS76" s="31">
        <f t="shared" si="60"/>
        <v>226.23673629722259</v>
      </c>
      <c r="AT76" s="31">
        <f t="shared" si="60"/>
        <v>217.20659015274589</v>
      </c>
      <c r="AU76" s="31">
        <f t="shared" si="60"/>
        <v>208.57349006653899</v>
      </c>
      <c r="AV76" s="31">
        <f t="shared" si="60"/>
        <v>198.48319664079895</v>
      </c>
      <c r="AW76" s="31">
        <f t="shared" si="60"/>
        <v>188.86856643662398</v>
      </c>
      <c r="AX76" s="31">
        <f t="shared" si="60"/>
        <v>173.89548079695018</v>
      </c>
    </row>
    <row r="77" spans="1:50">
      <c r="A77" s="11" t="s">
        <v>58</v>
      </c>
      <c r="O77" s="139"/>
      <c r="P77" s="31">
        <f>-P53+O53</f>
        <v>991.10549980012274</v>
      </c>
      <c r="Q77" s="31">
        <f t="shared" ref="Q77:AX77" si="61">-Q53+P53</f>
        <v>230.40408583028329</v>
      </c>
      <c r="R77" s="31">
        <f t="shared" si="61"/>
        <v>40.3903337042575</v>
      </c>
      <c r="S77" s="31">
        <f t="shared" si="61"/>
        <v>152.3187293951778</v>
      </c>
      <c r="T77" s="31">
        <f t="shared" si="61"/>
        <v>130.04536292095872</v>
      </c>
      <c r="U77" s="31">
        <f t="shared" si="61"/>
        <v>-25.118633680423955</v>
      </c>
      <c r="V77" s="31">
        <f t="shared" si="61"/>
        <v>78.402784604979388</v>
      </c>
      <c r="W77" s="31">
        <f t="shared" si="61"/>
        <v>163.90852591722796</v>
      </c>
      <c r="X77" s="31">
        <f t="shared" si="61"/>
        <v>201.68991309523699</v>
      </c>
      <c r="Y77" s="31">
        <f t="shared" si="61"/>
        <v>210.25943705805548</v>
      </c>
      <c r="Z77" s="31">
        <f t="shared" si="61"/>
        <v>188.17418705432647</v>
      </c>
      <c r="AA77" s="31">
        <f t="shared" si="61"/>
        <v>196.42058494121011</v>
      </c>
      <c r="AB77" s="31">
        <f t="shared" si="61"/>
        <v>37.21311900830915</v>
      </c>
      <c r="AC77" s="31">
        <f t="shared" si="61"/>
        <v>23.754744405217934</v>
      </c>
      <c r="AD77" s="31">
        <f t="shared" si="61"/>
        <v>-14.132300207820663</v>
      </c>
      <c r="AE77" s="31">
        <f t="shared" si="61"/>
        <v>-48.438752369853319</v>
      </c>
      <c r="AF77" s="31">
        <f t="shared" si="61"/>
        <v>-64.818018619036593</v>
      </c>
      <c r="AG77" s="31">
        <f t="shared" si="61"/>
        <v>-71.933113964856602</v>
      </c>
      <c r="AH77" s="31">
        <f t="shared" si="61"/>
        <v>-84.16461451795476</v>
      </c>
      <c r="AI77" s="31">
        <f t="shared" si="61"/>
        <v>-101.68414047954138</v>
      </c>
      <c r="AJ77" s="31">
        <f t="shared" si="61"/>
        <v>-136.7217455996506</v>
      </c>
      <c r="AK77" s="31">
        <f t="shared" si="61"/>
        <v>-165.12480450099974</v>
      </c>
      <c r="AL77" s="31">
        <f t="shared" si="61"/>
        <v>-208.82656680141372</v>
      </c>
      <c r="AM77" s="31">
        <f t="shared" si="61"/>
        <v>-252.01033327251207</v>
      </c>
      <c r="AN77" s="31">
        <f t="shared" si="61"/>
        <v>-308.78744043185725</v>
      </c>
      <c r="AO77" s="31">
        <f t="shared" si="61"/>
        <v>-354.64407715084963</v>
      </c>
      <c r="AP77" s="31">
        <f t="shared" si="61"/>
        <v>-428.06556186342277</v>
      </c>
      <c r="AQ77" s="31">
        <f t="shared" si="61"/>
        <v>-494.90683247080597</v>
      </c>
      <c r="AR77" s="31">
        <f t="shared" si="61"/>
        <v>-564.49691212521066</v>
      </c>
      <c r="AS77" s="31">
        <f t="shared" si="61"/>
        <v>-626.90464542282643</v>
      </c>
      <c r="AT77" s="31">
        <f t="shared" si="61"/>
        <v>-699.38783820474418</v>
      </c>
      <c r="AU77" s="31">
        <f t="shared" si="61"/>
        <v>-769.35140264741494</v>
      </c>
      <c r="AV77" s="31">
        <f t="shared" si="61"/>
        <v>-837.58414364775308</v>
      </c>
      <c r="AW77" s="31">
        <f t="shared" si="61"/>
        <v>-897.22270395986925</v>
      </c>
      <c r="AX77" s="31">
        <f t="shared" si="61"/>
        <v>-979.73732147096598</v>
      </c>
    </row>
    <row r="78" spans="1:50">
      <c r="A78" s="11" t="s">
        <v>293</v>
      </c>
      <c r="O78" s="139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</row>
    <row r="79" spans="1:50">
      <c r="A79" s="58" t="s">
        <v>294</v>
      </c>
      <c r="O79" s="139"/>
      <c r="P79" s="116">
        <f>SUM(P73:P78)</f>
        <v>6154.3306649754186</v>
      </c>
      <c r="Q79" s="116">
        <f t="shared" ref="Q79:AX79" si="62">SUM(Q73:Q78)</f>
        <v>6389.6353698416988</v>
      </c>
      <c r="R79" s="116">
        <f t="shared" si="62"/>
        <v>6841.7814215647886</v>
      </c>
      <c r="S79" s="116">
        <f t="shared" si="62"/>
        <v>7303.0783254919806</v>
      </c>
      <c r="T79" s="116">
        <f t="shared" si="62"/>
        <v>7653.6273003847264</v>
      </c>
      <c r="U79" s="116">
        <f t="shared" si="62"/>
        <v>7958.0824391022979</v>
      </c>
      <c r="V79" s="116">
        <f t="shared" si="62"/>
        <v>8138.348715840033</v>
      </c>
      <c r="W79" s="116">
        <f t="shared" si="62"/>
        <v>8276.0582838522532</v>
      </c>
      <c r="X79" s="116">
        <f t="shared" si="62"/>
        <v>8372.9224282667019</v>
      </c>
      <c r="Y79" s="116">
        <f t="shared" si="62"/>
        <v>8453.7796026951764</v>
      </c>
      <c r="Z79" s="116">
        <f t="shared" si="62"/>
        <v>8500.3228210807119</v>
      </c>
      <c r="AA79" s="116">
        <f t="shared" si="62"/>
        <v>8550.8880677686248</v>
      </c>
      <c r="AB79" s="116">
        <f t="shared" si="62"/>
        <v>8597.7951901465494</v>
      </c>
      <c r="AC79" s="116">
        <f t="shared" si="62"/>
        <v>8655.5859499537291</v>
      </c>
      <c r="AD79" s="116">
        <f t="shared" si="62"/>
        <v>8694.2687649476302</v>
      </c>
      <c r="AE79" s="116">
        <f t="shared" si="62"/>
        <v>8737.8918182313737</v>
      </c>
      <c r="AF79" s="116">
        <f t="shared" si="62"/>
        <v>8773.3091456116636</v>
      </c>
      <c r="AG79" s="116">
        <f t="shared" si="62"/>
        <v>8812.7688708638125</v>
      </c>
      <c r="AH79" s="116">
        <f t="shared" si="62"/>
        <v>8827.9821453664372</v>
      </c>
      <c r="AI79" s="116">
        <f t="shared" si="62"/>
        <v>8846.5069733115761</v>
      </c>
      <c r="AJ79" s="116">
        <f t="shared" si="62"/>
        <v>8861.5685147167351</v>
      </c>
      <c r="AK79" s="116">
        <f t="shared" si="62"/>
        <v>8883.5952943007705</v>
      </c>
      <c r="AL79" s="116">
        <f t="shared" si="62"/>
        <v>8881.4832935384056</v>
      </c>
      <c r="AM79" s="116">
        <f t="shared" si="62"/>
        <v>8884.5769743795663</v>
      </c>
      <c r="AN79" s="116">
        <f t="shared" si="62"/>
        <v>8885.2992799193034</v>
      </c>
      <c r="AO79" s="116">
        <f t="shared" si="62"/>
        <v>8892.3716274425569</v>
      </c>
      <c r="AP79" s="116">
        <f t="shared" si="62"/>
        <v>8879.1111430974088</v>
      </c>
      <c r="AQ79" s="116">
        <f t="shared" si="62"/>
        <v>8872.9789235731714</v>
      </c>
      <c r="AR79" s="116">
        <f t="shared" si="62"/>
        <v>8866.2223657205341</v>
      </c>
      <c r="AS79" s="116">
        <f t="shared" si="62"/>
        <v>8867.6355451250693</v>
      </c>
      <c r="AT79" s="116">
        <f t="shared" si="62"/>
        <v>8848.860660848035</v>
      </c>
      <c r="AU79" s="116">
        <f t="shared" si="62"/>
        <v>8835.2145732322679</v>
      </c>
      <c r="AV79" s="116">
        <f t="shared" si="62"/>
        <v>8819.9255154061611</v>
      </c>
      <c r="AW79" s="116">
        <f t="shared" si="62"/>
        <v>8811.7332161539507</v>
      </c>
      <c r="AX79" s="116">
        <f t="shared" si="62"/>
        <v>8784.9876252643335</v>
      </c>
    </row>
    <row r="80" spans="1:50">
      <c r="O80" s="139" t="s">
        <v>297</v>
      </c>
      <c r="P80" s="31">
        <f>+P79-P28</f>
        <v>0</v>
      </c>
      <c r="Q80" s="31">
        <f t="shared" ref="Q80:AX80" si="63">+Q79-Q28</f>
        <v>0</v>
      </c>
      <c r="R80" s="31">
        <f t="shared" si="63"/>
        <v>-7.2759576141834259E-12</v>
      </c>
      <c r="S80" s="31">
        <f t="shared" si="63"/>
        <v>0</v>
      </c>
      <c r="T80" s="31">
        <f t="shared" si="63"/>
        <v>0</v>
      </c>
      <c r="U80" s="31">
        <f t="shared" si="63"/>
        <v>0</v>
      </c>
      <c r="V80" s="31">
        <f t="shared" si="63"/>
        <v>0</v>
      </c>
      <c r="W80" s="31">
        <f t="shared" si="63"/>
        <v>0</v>
      </c>
      <c r="X80" s="31">
        <f t="shared" si="63"/>
        <v>0</v>
      </c>
      <c r="Y80" s="31">
        <f t="shared" si="63"/>
        <v>0</v>
      </c>
      <c r="Z80" s="31">
        <f t="shared" si="63"/>
        <v>0</v>
      </c>
      <c r="AA80" s="31">
        <f t="shared" si="63"/>
        <v>0</v>
      </c>
      <c r="AB80" s="31">
        <f t="shared" si="63"/>
        <v>0</v>
      </c>
      <c r="AC80" s="31">
        <f t="shared" si="63"/>
        <v>0</v>
      </c>
      <c r="AD80" s="31">
        <f t="shared" si="63"/>
        <v>0</v>
      </c>
      <c r="AE80" s="31">
        <f t="shared" si="63"/>
        <v>0</v>
      </c>
      <c r="AF80" s="31">
        <f t="shared" si="63"/>
        <v>0</v>
      </c>
      <c r="AG80" s="31">
        <f t="shared" si="63"/>
        <v>0</v>
      </c>
      <c r="AH80" s="31">
        <f t="shared" si="63"/>
        <v>0</v>
      </c>
      <c r="AI80" s="31">
        <f t="shared" si="63"/>
        <v>0</v>
      </c>
      <c r="AJ80" s="31">
        <f t="shared" si="63"/>
        <v>0</v>
      </c>
      <c r="AK80" s="31">
        <f t="shared" si="63"/>
        <v>0</v>
      </c>
      <c r="AL80" s="31">
        <f t="shared" si="63"/>
        <v>0</v>
      </c>
      <c r="AM80" s="31">
        <f t="shared" si="63"/>
        <v>0</v>
      </c>
      <c r="AN80" s="31">
        <f t="shared" si="63"/>
        <v>0</v>
      </c>
      <c r="AO80" s="31">
        <f t="shared" si="63"/>
        <v>0</v>
      </c>
      <c r="AP80" s="31">
        <f t="shared" si="63"/>
        <v>0</v>
      </c>
      <c r="AQ80" s="31">
        <f t="shared" si="63"/>
        <v>0</v>
      </c>
      <c r="AR80" s="31">
        <f t="shared" si="63"/>
        <v>0</v>
      </c>
      <c r="AS80" s="31">
        <f t="shared" si="63"/>
        <v>0</v>
      </c>
      <c r="AT80" s="31">
        <f t="shared" si="63"/>
        <v>0</v>
      </c>
      <c r="AU80" s="31">
        <f t="shared" si="63"/>
        <v>0</v>
      </c>
      <c r="AV80" s="31">
        <f t="shared" si="63"/>
        <v>1.6370904631912708E-11</v>
      </c>
      <c r="AW80" s="31">
        <f t="shared" si="63"/>
        <v>1.4551915228366852E-11</v>
      </c>
      <c r="AX80" s="31">
        <f t="shared" si="63"/>
        <v>-2.3646862246096134E-11</v>
      </c>
    </row>
    <row r="82" spans="1:50">
      <c r="A82" s="138" t="str">
        <f>+Inputs!A37</f>
        <v>Annual Inflation</v>
      </c>
      <c r="B82" s="138">
        <f>+Inputs!B37</f>
        <v>0</v>
      </c>
      <c r="C82" s="138" t="str">
        <f>+Inputs!C37</f>
        <v>CPIH</v>
      </c>
      <c r="D82" s="138">
        <f>+Inputs!D37</f>
        <v>0</v>
      </c>
      <c r="E82" s="138">
        <f>+Inputs!E37</f>
        <v>0</v>
      </c>
      <c r="F82" s="138">
        <f>+Inputs!F37</f>
        <v>0</v>
      </c>
      <c r="G82" s="138">
        <f>+Inputs!G37</f>
        <v>0</v>
      </c>
      <c r="H82" s="138">
        <f>+Inputs!H37</f>
        <v>0</v>
      </c>
      <c r="I82" s="138">
        <f>+Inputs!I37</f>
        <v>0</v>
      </c>
      <c r="J82" s="138">
        <f>+Inputs!J37</f>
        <v>0</v>
      </c>
      <c r="K82" s="138">
        <f>+Inputs!K37</f>
        <v>0</v>
      </c>
      <c r="L82" s="138">
        <f>+Inputs!L37</f>
        <v>0</v>
      </c>
      <c r="M82" s="138">
        <f>+Inputs!M37</f>
        <v>0</v>
      </c>
      <c r="N82" s="138">
        <f>+Inputs!N37</f>
        <v>2.4793388429751984E-2</v>
      </c>
      <c r="O82" s="138">
        <f>+Inputs!O37</f>
        <v>0.08</v>
      </c>
      <c r="P82" s="138">
        <f>+Inputs!P37</f>
        <v>5.5500000000000001E-2</v>
      </c>
      <c r="Q82" s="138">
        <f>+Inputs!Q37</f>
        <v>2.2799999999999997E-2</v>
      </c>
      <c r="R82" s="138">
        <f>+Inputs!R37</f>
        <v>1.09E-2</v>
      </c>
      <c r="S82" s="138">
        <f>+Inputs!S37</f>
        <v>2.0899999999999998E-2</v>
      </c>
      <c r="T82" s="138">
        <f>+Inputs!T37</f>
        <v>2.0899999999999998E-2</v>
      </c>
      <c r="U82" s="138">
        <f>+Inputs!U37</f>
        <v>2.0899999999999998E-2</v>
      </c>
      <c r="V82" s="138">
        <f>+Inputs!V37</f>
        <v>2.0899999999999998E-2</v>
      </c>
      <c r="W82" s="138">
        <f>+Inputs!W37</f>
        <v>2.0899999999999998E-2</v>
      </c>
      <c r="X82" s="138">
        <f>+Inputs!X37</f>
        <v>2.0899999999999998E-2</v>
      </c>
      <c r="Y82" s="138">
        <f>+Inputs!Y37</f>
        <v>2.0899999999999998E-2</v>
      </c>
      <c r="Z82" s="138">
        <f>+Inputs!Z37</f>
        <v>2.0899999999999998E-2</v>
      </c>
      <c r="AA82" s="138">
        <f>+Inputs!AA37</f>
        <v>2.0899999999999998E-2</v>
      </c>
      <c r="AB82" s="138">
        <f>+Inputs!AB37</f>
        <v>2.0899999999999998E-2</v>
      </c>
      <c r="AC82" s="138">
        <f>+Inputs!AC37</f>
        <v>2.0899999999999998E-2</v>
      </c>
      <c r="AD82" s="138">
        <f>+Inputs!AD37</f>
        <v>2.0899999999999998E-2</v>
      </c>
      <c r="AE82" s="138">
        <f>+Inputs!AE37</f>
        <v>2.0899999999999998E-2</v>
      </c>
      <c r="AF82" s="138">
        <f>+Inputs!AF37</f>
        <v>2.0899999999999998E-2</v>
      </c>
      <c r="AG82" s="138">
        <f>+Inputs!AG37</f>
        <v>2.0899999999999998E-2</v>
      </c>
      <c r="AH82" s="138">
        <f>+Inputs!AH37</f>
        <v>2.0899999999999998E-2</v>
      </c>
      <c r="AI82" s="138">
        <f>+Inputs!AI37</f>
        <v>2.0899999999999998E-2</v>
      </c>
      <c r="AJ82" s="138">
        <f>+Inputs!AJ37</f>
        <v>2.0899999999999998E-2</v>
      </c>
      <c r="AK82" s="138">
        <f>+Inputs!AK37</f>
        <v>2.0899999999999998E-2</v>
      </c>
      <c r="AL82" s="138">
        <f>+Inputs!AL37</f>
        <v>2.0899999999999998E-2</v>
      </c>
      <c r="AM82" s="138">
        <f>+Inputs!AM37</f>
        <v>2.0899999999999998E-2</v>
      </c>
      <c r="AN82" s="138">
        <f>+Inputs!AN37</f>
        <v>2.0899999999999998E-2</v>
      </c>
      <c r="AO82" s="138">
        <f>+Inputs!AO37</f>
        <v>2.0899999999999998E-2</v>
      </c>
      <c r="AP82" s="138">
        <f>+Inputs!AP37</f>
        <v>2.0899999999999998E-2</v>
      </c>
      <c r="AQ82" s="138">
        <f>+Inputs!AQ37</f>
        <v>2.0899999999999998E-2</v>
      </c>
      <c r="AR82" s="138">
        <f>+Inputs!AR37</f>
        <v>2.0899999999999998E-2</v>
      </c>
      <c r="AS82" s="138">
        <f>+Inputs!AS37</f>
        <v>2.0899999999999998E-2</v>
      </c>
      <c r="AT82" s="138">
        <f>+Inputs!AT37</f>
        <v>2.0899999999999998E-2</v>
      </c>
      <c r="AU82" s="138">
        <f>+Inputs!AU37</f>
        <v>2.0899999999999998E-2</v>
      </c>
      <c r="AV82" s="138">
        <f>+Inputs!AV37</f>
        <v>2.0899999999999998E-2</v>
      </c>
      <c r="AW82" s="138">
        <f>+Inputs!AW37</f>
        <v>2.0899999999999998E-2</v>
      </c>
      <c r="AX82" s="138">
        <f>+Inputs!AX37</f>
        <v>2.0899999999999998E-2</v>
      </c>
    </row>
    <row r="83" spans="1:50">
      <c r="A83" s="138" t="str">
        <f>+Inputs!A38</f>
        <v>Inflation factor</v>
      </c>
      <c r="B83" s="138">
        <f>+Inputs!B38</f>
        <v>0</v>
      </c>
      <c r="C83" s="138">
        <f>+Inputs!C38</f>
        <v>0</v>
      </c>
      <c r="D83" s="138">
        <f>+Inputs!D38</f>
        <v>0</v>
      </c>
      <c r="E83" s="138">
        <f>+Inputs!E38</f>
        <v>0</v>
      </c>
      <c r="F83" s="138">
        <f>+Inputs!F38</f>
        <v>0</v>
      </c>
      <c r="G83" s="138">
        <f>+Inputs!G38</f>
        <v>0</v>
      </c>
      <c r="H83" s="138">
        <f>+Inputs!H38</f>
        <v>0</v>
      </c>
      <c r="I83" s="138">
        <f>+Inputs!I38</f>
        <v>0</v>
      </c>
      <c r="J83" s="138">
        <f>+Inputs!J38</f>
        <v>0</v>
      </c>
      <c r="K83" s="138">
        <f>+Inputs!K38</f>
        <v>0</v>
      </c>
      <c r="L83" s="138">
        <f>+Inputs!L38</f>
        <v>0</v>
      </c>
      <c r="M83" s="138">
        <f>+Inputs!M38</f>
        <v>1</v>
      </c>
      <c r="N83" s="138">
        <f>+Inputs!N38</f>
        <v>1.024793388429752</v>
      </c>
      <c r="O83" s="138">
        <f>+Inputs!O38</f>
        <v>1.1067768595041321</v>
      </c>
      <c r="P83" s="138">
        <f>+Inputs!P38</f>
        <v>1.1682029752066114</v>
      </c>
      <c r="Q83" s="138">
        <f>+Inputs!Q38</f>
        <v>1.1948380030413221</v>
      </c>
      <c r="R83" s="138">
        <f>+Inputs!R38</f>
        <v>1.2078617372744727</v>
      </c>
      <c r="S83" s="138">
        <f>+Inputs!S38</f>
        <v>1.2331060475835092</v>
      </c>
      <c r="T83" s="138">
        <f>+Inputs!T38</f>
        <v>1.2588779639780046</v>
      </c>
      <c r="U83" s="138">
        <f>+Inputs!U38</f>
        <v>1.2851885134251448</v>
      </c>
      <c r="V83" s="138">
        <f>+Inputs!V38</f>
        <v>1.3120489533557305</v>
      </c>
      <c r="W83" s="138">
        <f>+Inputs!W38</f>
        <v>1.3394707764808653</v>
      </c>
      <c r="X83" s="138">
        <f>+Inputs!X38</f>
        <v>1.3674657157093153</v>
      </c>
      <c r="Y83" s="138">
        <f>+Inputs!Y38</f>
        <v>1.3960457491676399</v>
      </c>
      <c r="Z83" s="138">
        <f>+Inputs!Z38</f>
        <v>1.4252231053252435</v>
      </c>
      <c r="AA83" s="138">
        <f>+Inputs!AA38</f>
        <v>1.4550102682265411</v>
      </c>
      <c r="AB83" s="138">
        <f>+Inputs!AB38</f>
        <v>1.4854199828324759</v>
      </c>
      <c r="AC83" s="138">
        <f>+Inputs!AC38</f>
        <v>1.5164652604736746</v>
      </c>
      <c r="AD83" s="138">
        <f>+Inputs!AD38</f>
        <v>1.5481593844175743</v>
      </c>
      <c r="AE83" s="138">
        <f>+Inputs!AE38</f>
        <v>1.5805159155519015</v>
      </c>
      <c r="AF83" s="138">
        <f>+Inputs!AF38</f>
        <v>1.6135486981869362</v>
      </c>
      <c r="AG83" s="138">
        <f>+Inputs!AG38</f>
        <v>1.6472718659790433</v>
      </c>
      <c r="AH83" s="138">
        <f>+Inputs!AH38</f>
        <v>1.6816998479780052</v>
      </c>
      <c r="AI83" s="138">
        <f>+Inputs!AI38</f>
        <v>1.7168473748007456</v>
      </c>
      <c r="AJ83" s="138">
        <f>+Inputs!AJ38</f>
        <v>1.7527294849340811</v>
      </c>
      <c r="AK83" s="138">
        <f>+Inputs!AK38</f>
        <v>1.7893615311692035</v>
      </c>
      <c r="AL83" s="138">
        <f>+Inputs!AL38</f>
        <v>1.8267591871706399</v>
      </c>
      <c r="AM83" s="138">
        <f>+Inputs!AM38</f>
        <v>1.8649384541825063</v>
      </c>
      <c r="AN83" s="138">
        <f>+Inputs!AN38</f>
        <v>1.9039156678749207</v>
      </c>
      <c r="AO83" s="138">
        <f>+Inputs!AO38</f>
        <v>1.9437075053335067</v>
      </c>
      <c r="AP83" s="138">
        <f>+Inputs!AP38</f>
        <v>1.984330992194977</v>
      </c>
      <c r="AQ83" s="138">
        <f>+Inputs!AQ38</f>
        <v>2.0258035099318521</v>
      </c>
      <c r="AR83" s="138">
        <f>+Inputs!AR38</f>
        <v>2.0681428032894278</v>
      </c>
      <c r="AS83" s="138">
        <f>+Inputs!AS38</f>
        <v>2.1113669878781769</v>
      </c>
      <c r="AT83" s="138">
        <f>+Inputs!AT38</f>
        <v>2.1554945579248308</v>
      </c>
      <c r="AU83" s="138">
        <f>+Inputs!AU38</f>
        <v>2.2005443941854597</v>
      </c>
      <c r="AV83" s="138">
        <f>+Inputs!AV38</f>
        <v>2.2465357720239356</v>
      </c>
      <c r="AW83" s="138">
        <f>+Inputs!AW38</f>
        <v>2.2934883696592361</v>
      </c>
      <c r="AX83" s="138">
        <f>+Inputs!AX38</f>
        <v>2.341422276585114</v>
      </c>
    </row>
    <row r="85" spans="1:50">
      <c r="A85" s="58" t="s">
        <v>229</v>
      </c>
    </row>
    <row r="86" spans="1:50">
      <c r="A86" s="11" t="s">
        <v>289</v>
      </c>
      <c r="P86" s="31">
        <f t="shared" ref="P86:AX86" si="64">+P73*P$83</f>
        <v>559.44866534241226</v>
      </c>
      <c r="Q86" s="31">
        <f t="shared" si="64"/>
        <v>1377.6681752261834</v>
      </c>
      <c r="R86" s="31">
        <f t="shared" si="64"/>
        <v>1857.4750263544886</v>
      </c>
      <c r="S86" s="31">
        <f t="shared" si="64"/>
        <v>1888.2736092690411</v>
      </c>
      <c r="T86" s="31">
        <f t="shared" si="64"/>
        <v>2154.6572086050701</v>
      </c>
      <c r="U86" s="31">
        <f t="shared" si="64"/>
        <v>2405.8577812663725</v>
      </c>
      <c r="V86" s="31">
        <f t="shared" si="64"/>
        <v>2500.5512450891547</v>
      </c>
      <c r="W86" s="31">
        <f t="shared" si="64"/>
        <v>2505.6410040858173</v>
      </c>
      <c r="X86" s="31">
        <f t="shared" si="64"/>
        <v>2494.7573964022158</v>
      </c>
      <c r="Y86" s="31">
        <f t="shared" si="64"/>
        <v>2475.3970318835873</v>
      </c>
      <c r="Z86" s="31">
        <f t="shared" si="64"/>
        <v>2450.9238227928149</v>
      </c>
      <c r="AA86" s="31">
        <f t="shared" si="64"/>
        <v>2424.1058679880543</v>
      </c>
      <c r="AB86" s="31">
        <f t="shared" si="64"/>
        <v>2400.1180178685181</v>
      </c>
      <c r="AC86" s="31">
        <f t="shared" si="64"/>
        <v>2382.7297307987692</v>
      </c>
      <c r="AD86" s="31">
        <f t="shared" si="64"/>
        <v>2370.1829848673542</v>
      </c>
      <c r="AE86" s="31">
        <f t="shared" si="64"/>
        <v>2360.5952875567646</v>
      </c>
      <c r="AF86" s="31">
        <f t="shared" si="64"/>
        <v>2362.3450924572294</v>
      </c>
      <c r="AG86" s="31">
        <f t="shared" si="64"/>
        <v>2361.2287873469204</v>
      </c>
      <c r="AH86" s="31">
        <f t="shared" si="64"/>
        <v>2347.0313624733931</v>
      </c>
      <c r="AI86" s="31">
        <f t="shared" si="64"/>
        <v>2330.6032029298049</v>
      </c>
      <c r="AJ86" s="31">
        <f t="shared" si="64"/>
        <v>2310.0209397692488</v>
      </c>
      <c r="AK86" s="31">
        <f t="shared" si="64"/>
        <v>2286.8450541346938</v>
      </c>
      <c r="AL86" s="31">
        <f t="shared" si="64"/>
        <v>2260.9546160877753</v>
      </c>
      <c r="AM86" s="31">
        <f t="shared" si="64"/>
        <v>2234.9209869907527</v>
      </c>
      <c r="AN86" s="31">
        <f t="shared" si="64"/>
        <v>2208.5391346921779</v>
      </c>
      <c r="AO86" s="31">
        <f t="shared" si="64"/>
        <v>2181.0604408635004</v>
      </c>
      <c r="AP86" s="31">
        <f t="shared" si="64"/>
        <v>2153.0670463254091</v>
      </c>
      <c r="AQ86" s="31">
        <f t="shared" si="64"/>
        <v>2123.5620648052982</v>
      </c>
      <c r="AR86" s="31">
        <f t="shared" si="64"/>
        <v>2095.2683232509999</v>
      </c>
      <c r="AS86" s="31">
        <f t="shared" si="64"/>
        <v>2069.7982734630486</v>
      </c>
      <c r="AT86" s="31">
        <f t="shared" si="64"/>
        <v>2045.0978158241519</v>
      </c>
      <c r="AU86" s="31">
        <f t="shared" si="64"/>
        <v>2021.4739798974222</v>
      </c>
      <c r="AV86" s="31">
        <f t="shared" si="64"/>
        <v>2001.3934087504861</v>
      </c>
      <c r="AW86" s="31">
        <f t="shared" si="64"/>
        <v>1986.3210016049043</v>
      </c>
      <c r="AX86" s="31">
        <f t="shared" si="64"/>
        <v>1978.3035992140399</v>
      </c>
    </row>
    <row r="87" spans="1:50">
      <c r="A87" s="11" t="s">
        <v>290</v>
      </c>
      <c r="P87" s="31">
        <f t="shared" ref="P87:AX87" si="65">+P74*P$83</f>
        <v>1887.3130403033417</v>
      </c>
      <c r="Q87" s="31">
        <f t="shared" si="65"/>
        <v>1958.0499902941724</v>
      </c>
      <c r="R87" s="31">
        <f t="shared" si="65"/>
        <v>2037.4327952212748</v>
      </c>
      <c r="S87" s="31">
        <f t="shared" si="65"/>
        <v>2175.3084007532366</v>
      </c>
      <c r="T87" s="31">
        <f t="shared" si="65"/>
        <v>2252.1937664452444</v>
      </c>
      <c r="U87" s="31">
        <f t="shared" si="65"/>
        <v>2452.1669311374976</v>
      </c>
      <c r="V87" s="31">
        <f t="shared" si="65"/>
        <v>2557.2202641441913</v>
      </c>
      <c r="W87" s="31">
        <f t="shared" si="65"/>
        <v>2652.4003911720129</v>
      </c>
      <c r="X87" s="31">
        <f t="shared" si="65"/>
        <v>2745.8473388631073</v>
      </c>
      <c r="Y87" s="31">
        <f t="shared" si="65"/>
        <v>2837.8759184357614</v>
      </c>
      <c r="Z87" s="31">
        <f t="shared" si="65"/>
        <v>2912.7219155657162</v>
      </c>
      <c r="AA87" s="31">
        <f t="shared" si="65"/>
        <v>2951.6757519317052</v>
      </c>
      <c r="AB87" s="31">
        <f t="shared" si="65"/>
        <v>3004.666424542178</v>
      </c>
      <c r="AC87" s="31">
        <f t="shared" si="65"/>
        <v>3021.8866373868027</v>
      </c>
      <c r="AD87" s="31">
        <f t="shared" si="65"/>
        <v>3082.3038997543722</v>
      </c>
      <c r="AE87" s="31">
        <f t="shared" si="65"/>
        <v>3173.1722139596786</v>
      </c>
      <c r="AF87" s="31">
        <f t="shared" si="65"/>
        <v>3279.6326204624211</v>
      </c>
      <c r="AG87" s="31">
        <f t="shared" si="65"/>
        <v>3376.2382212742173</v>
      </c>
      <c r="AH87" s="31">
        <f t="shared" si="65"/>
        <v>3470.120784898952</v>
      </c>
      <c r="AI87" s="31">
        <f t="shared" si="65"/>
        <v>3565.588123125528</v>
      </c>
      <c r="AJ87" s="31">
        <f t="shared" si="65"/>
        <v>3661.6935683334209</v>
      </c>
      <c r="AK87" s="31">
        <f t="shared" si="65"/>
        <v>3767.1371719020021</v>
      </c>
      <c r="AL87" s="31">
        <f t="shared" si="65"/>
        <v>3883.7093602374748</v>
      </c>
      <c r="AM87" s="31">
        <f t="shared" si="65"/>
        <v>4012.3246142752696</v>
      </c>
      <c r="AN87" s="31">
        <f t="shared" si="65"/>
        <v>4144.0410592248199</v>
      </c>
      <c r="AO87" s="31">
        <f t="shared" si="65"/>
        <v>4282.5675695535947</v>
      </c>
      <c r="AP87" s="31">
        <f t="shared" si="65"/>
        <v>4420.2092424260745</v>
      </c>
      <c r="AQ87" s="31">
        <f t="shared" si="65"/>
        <v>4556.4147563906572</v>
      </c>
      <c r="AR87" s="31">
        <f t="shared" si="65"/>
        <v>4696.0959115249871</v>
      </c>
      <c r="AS87" s="31">
        <f t="shared" si="65"/>
        <v>4838.1268320662948</v>
      </c>
      <c r="AT87" s="31">
        <f t="shared" si="65"/>
        <v>4972.6120567343378</v>
      </c>
      <c r="AU87" s="31">
        <f t="shared" si="65"/>
        <v>5111.5867668093797</v>
      </c>
      <c r="AV87" s="31">
        <f t="shared" si="65"/>
        <v>5241.7813150265429</v>
      </c>
      <c r="AW87" s="31">
        <f t="shared" si="65"/>
        <v>5364.7666445309378</v>
      </c>
      <c r="AX87" s="31">
        <f t="shared" si="65"/>
        <v>5497.0428665386053</v>
      </c>
    </row>
    <row r="88" spans="1:50">
      <c r="A88" s="11" t="s">
        <v>291</v>
      </c>
      <c r="P88" s="31">
        <f t="shared" ref="P88:AX88" si="66">+P75*P$83</f>
        <v>3584.9332939736746</v>
      </c>
      <c r="Q88" s="31">
        <f t="shared" si="66"/>
        <v>4023.5654421374829</v>
      </c>
      <c r="R88" s="31">
        <f t="shared" si="66"/>
        <v>4320.2322336905736</v>
      </c>
      <c r="S88" s="31">
        <f t="shared" si="66"/>
        <v>4754.0628927405023</v>
      </c>
      <c r="T88" s="31">
        <f t="shared" si="66"/>
        <v>5064.4205362057646</v>
      </c>
      <c r="U88" s="31">
        <f t="shared" si="66"/>
        <v>5401.8936066997785</v>
      </c>
      <c r="V88" s="31">
        <f t="shared" si="66"/>
        <v>5517.2721139473852</v>
      </c>
      <c r="W88" s="31">
        <f t="shared" si="66"/>
        <v>5707.9461399324609</v>
      </c>
      <c r="X88" s="31">
        <f t="shared" si="66"/>
        <v>5933.2755843208533</v>
      </c>
      <c r="Y88" s="31">
        <f t="shared" si="66"/>
        <v>6195.0583350960715</v>
      </c>
      <c r="Z88" s="31">
        <f t="shared" si="66"/>
        <v>6483.0205497535362</v>
      </c>
      <c r="AA88" s="31">
        <f t="shared" si="66"/>
        <v>6780.0543531588728</v>
      </c>
      <c r="AB88" s="31">
        <f t="shared" si="66"/>
        <v>7093.2467479557235</v>
      </c>
      <c r="AC88" s="31">
        <f t="shared" si="66"/>
        <v>7423.9212150011117</v>
      </c>
      <c r="AD88" s="31">
        <f t="shared" si="66"/>
        <v>7752.5579979539707</v>
      </c>
      <c r="AE88" s="31">
        <f t="shared" si="66"/>
        <v>8054.7610631562611</v>
      </c>
      <c r="AF88" s="31">
        <f t="shared" si="66"/>
        <v>8298.3750727489041</v>
      </c>
      <c r="AG88" s="31">
        <f t="shared" si="66"/>
        <v>8545.9079047041887</v>
      </c>
      <c r="AH88" s="31">
        <f t="shared" si="66"/>
        <v>8793.0613307336498</v>
      </c>
      <c r="AI88" s="31">
        <f t="shared" si="66"/>
        <v>9065.3885627909385</v>
      </c>
      <c r="AJ88" s="31">
        <f t="shared" si="66"/>
        <v>9383.3319242910784</v>
      </c>
      <c r="AK88" s="31">
        <f t="shared" si="66"/>
        <v>9701.6466697218657</v>
      </c>
      <c r="AL88" s="31">
        <f t="shared" si="66"/>
        <v>10011.268968489752</v>
      </c>
      <c r="AM88" s="31">
        <f t="shared" si="66"/>
        <v>10327.807101162682</v>
      </c>
      <c r="AN88" s="31">
        <f t="shared" si="66"/>
        <v>10679.917382168651</v>
      </c>
      <c r="AO88" s="31">
        <f t="shared" si="66"/>
        <v>11025.403753365656</v>
      </c>
      <c r="AP88" s="31">
        <f t="shared" si="66"/>
        <v>11412.281830395737</v>
      </c>
      <c r="AQ88" s="31">
        <f t="shared" si="66"/>
        <v>11814.588316296071</v>
      </c>
      <c r="AR88" s="31">
        <f t="shared" si="66"/>
        <v>12233.418255860041</v>
      </c>
      <c r="AS88" s="31">
        <f t="shared" si="66"/>
        <v>12660.864841412804</v>
      </c>
      <c r="AT88" s="31">
        <f t="shared" si="66"/>
        <v>13095.300181844059</v>
      </c>
      <c r="AU88" s="31">
        <f t="shared" si="66"/>
        <v>13543.237845758013</v>
      </c>
      <c r="AV88" s="31">
        <f t="shared" si="66"/>
        <v>14006.866592555058</v>
      </c>
      <c r="AW88" s="31">
        <f t="shared" si="66"/>
        <v>14483.12197766278</v>
      </c>
      <c r="AX88" s="31">
        <f t="shared" si="66"/>
        <v>14980.835296724321</v>
      </c>
    </row>
    <row r="89" spans="1:50">
      <c r="A89" s="11" t="s">
        <v>292</v>
      </c>
      <c r="P89" s="31">
        <f t="shared" ref="P89:AX89" si="67">+P76*P$83</f>
        <v>0</v>
      </c>
      <c r="Q89" s="31">
        <f t="shared" si="67"/>
        <v>0</v>
      </c>
      <c r="R89" s="31">
        <f t="shared" si="67"/>
        <v>0</v>
      </c>
      <c r="S89" s="31">
        <f t="shared" si="67"/>
        <v>0</v>
      </c>
      <c r="T89" s="31">
        <f t="shared" si="67"/>
        <v>0</v>
      </c>
      <c r="U89" s="31">
        <f t="shared" si="67"/>
        <v>0</v>
      </c>
      <c r="V89" s="31">
        <f t="shared" si="67"/>
        <v>0</v>
      </c>
      <c r="W89" s="31">
        <f t="shared" si="67"/>
        <v>0</v>
      </c>
      <c r="X89" s="31">
        <f t="shared" si="67"/>
        <v>0</v>
      </c>
      <c r="Y89" s="31">
        <f t="shared" si="67"/>
        <v>0</v>
      </c>
      <c r="Z89" s="31">
        <f t="shared" si="67"/>
        <v>0</v>
      </c>
      <c r="AA89" s="31">
        <f t="shared" si="67"/>
        <v>0</v>
      </c>
      <c r="AB89" s="31">
        <f t="shared" si="67"/>
        <v>218.02848277974593</v>
      </c>
      <c r="AC89" s="31">
        <f t="shared" si="67"/>
        <v>261.33457430023378</v>
      </c>
      <c r="AD89" s="31">
        <f t="shared" si="67"/>
        <v>276.9479497167157</v>
      </c>
      <c r="AE89" s="31">
        <f t="shared" si="67"/>
        <v>298.40674146275325</v>
      </c>
      <c r="AF89" s="31">
        <f t="shared" si="67"/>
        <v>320.39579458649087</v>
      </c>
      <c r="AG89" s="31">
        <f t="shared" si="67"/>
        <v>352.14470389110295</v>
      </c>
      <c r="AH89" s="31">
        <f t="shared" si="67"/>
        <v>377.34237314925872</v>
      </c>
      <c r="AI89" s="31">
        <f t="shared" si="67"/>
        <v>401.09853408136769</v>
      </c>
      <c r="AJ89" s="31">
        <f t="shared" si="67"/>
        <v>416.52222085794625</v>
      </c>
      <c r="AK89" s="31">
        <f t="shared" si="67"/>
        <v>435.80275535492416</v>
      </c>
      <c r="AL89" s="31">
        <f t="shared" si="67"/>
        <v>449.87410678862278</v>
      </c>
      <c r="AM89" s="31">
        <f t="shared" si="67"/>
        <v>464.12030760746927</v>
      </c>
      <c r="AN89" s="31">
        <f t="shared" si="67"/>
        <v>472.26818259166959</v>
      </c>
      <c r="AO89" s="31">
        <f t="shared" si="67"/>
        <v>484.46206317225813</v>
      </c>
      <c r="AP89" s="31">
        <f t="shared" si="67"/>
        <v>482.96106634168456</v>
      </c>
      <c r="AQ89" s="31">
        <f t="shared" si="67"/>
        <v>482.93070774246684</v>
      </c>
      <c r="AR89" s="31">
        <f t="shared" si="67"/>
        <v>479.29171368351734</v>
      </c>
      <c r="AS89" s="31">
        <f t="shared" si="67"/>
        <v>477.66877646325628</v>
      </c>
      <c r="AT89" s="31">
        <f t="shared" si="67"/>
        <v>468.1876230196529</v>
      </c>
      <c r="AU89" s="31">
        <f t="shared" si="67"/>
        <v>458.97522434161903</v>
      </c>
      <c r="AV89" s="31">
        <f t="shared" si="67"/>
        <v>445.8996013992159</v>
      </c>
      <c r="AW89" s="31">
        <f t="shared" si="67"/>
        <v>433.16786051660984</v>
      </c>
      <c r="AX89" s="31">
        <f t="shared" si="67"/>
        <v>407.16275253545808</v>
      </c>
    </row>
    <row r="90" spans="1:50">
      <c r="A90" s="11" t="s">
        <v>58</v>
      </c>
      <c r="P90" s="31">
        <f t="shared" ref="P90:AX90" si="68">+P77*P$83</f>
        <v>1157.812393610139</v>
      </c>
      <c r="Q90" s="31">
        <f t="shared" si="68"/>
        <v>275.29555780601709</v>
      </c>
      <c r="R90" s="31">
        <f t="shared" si="68"/>
        <v>48.785938637120154</v>
      </c>
      <c r="S90" s="31">
        <f t="shared" si="68"/>
        <v>187.82514637742977</v>
      </c>
      <c r="T90" s="31">
        <f t="shared" si="68"/>
        <v>163.7112416987172</v>
      </c>
      <c r="U90" s="31">
        <f t="shared" si="68"/>
        <v>-32.282179479014836</v>
      </c>
      <c r="V90" s="31">
        <f t="shared" si="68"/>
        <v>102.86829148113799</v>
      </c>
      <c r="W90" s="31">
        <f t="shared" si="68"/>
        <v>219.55068048218337</v>
      </c>
      <c r="X90" s="31">
        <f t="shared" si="68"/>
        <v>275.80404136212786</v>
      </c>
      <c r="Y90" s="31">
        <f t="shared" si="68"/>
        <v>293.53179332727927</v>
      </c>
      <c r="Z90" s="31">
        <f t="shared" si="68"/>
        <v>268.1901992156204</v>
      </c>
      <c r="AA90" s="31">
        <f t="shared" si="68"/>
        <v>285.7939679805242</v>
      </c>
      <c r="AB90" s="31">
        <f t="shared" si="68"/>
        <v>55.277110598465462</v>
      </c>
      <c r="AC90" s="31">
        <f t="shared" si="68"/>
        <v>36.023244661944382</v>
      </c>
      <c r="AD90" s="31">
        <f t="shared" si="68"/>
        <v>-21.879053190143996</v>
      </c>
      <c r="AE90" s="31">
        <f t="shared" si="68"/>
        <v>-76.558219050030559</v>
      </c>
      <c r="AF90" s="31">
        <f t="shared" si="68"/>
        <v>-104.58702956180309</v>
      </c>
      <c r="AG90" s="31">
        <f t="shared" si="68"/>
        <v>-118.49339486657252</v>
      </c>
      <c r="AH90" s="31">
        <f t="shared" si="68"/>
        <v>-141.53961943997194</v>
      </c>
      <c r="AI90" s="31">
        <f t="shared" si="68"/>
        <v>-174.57614964117084</v>
      </c>
      <c r="AJ90" s="31">
        <f t="shared" si="68"/>
        <v>-239.63623474416406</v>
      </c>
      <c r="AK90" s="31">
        <f t="shared" si="68"/>
        <v>-295.46797301592426</v>
      </c>
      <c r="AL90" s="31">
        <f t="shared" si="68"/>
        <v>-381.47584942978585</v>
      </c>
      <c r="AM90" s="31">
        <f t="shared" si="68"/>
        <v>-469.98376137125689</v>
      </c>
      <c r="AN90" s="31">
        <f t="shared" si="68"/>
        <v>-587.90524588120684</v>
      </c>
      <c r="AO90" s="31">
        <f t="shared" si="68"/>
        <v>-689.32435448018157</v>
      </c>
      <c r="AP90" s="31">
        <f t="shared" si="68"/>
        <v>-849.42376109694601</v>
      </c>
      <c r="AQ90" s="31">
        <f t="shared" si="68"/>
        <v>-1002.5839983086138</v>
      </c>
      <c r="AR90" s="31">
        <f t="shared" si="68"/>
        <v>-1167.4602262908591</v>
      </c>
      <c r="AS90" s="31">
        <f t="shared" si="68"/>
        <v>-1323.6257728932296</v>
      </c>
      <c r="AT90" s="31">
        <f t="shared" si="68"/>
        <v>-1507.5266791291381</v>
      </c>
      <c r="AU90" s="31">
        <f t="shared" si="68"/>
        <v>-1692.9919162544893</v>
      </c>
      <c r="AV90" s="31">
        <f t="shared" si="68"/>
        <v>-1881.662740784712</v>
      </c>
      <c r="AW90" s="31">
        <f t="shared" si="68"/>
        <v>-2057.7698365261717</v>
      </c>
      <c r="AX90" s="31">
        <f t="shared" si="68"/>
        <v>-2293.9787896939511</v>
      </c>
    </row>
    <row r="91" spans="1:50">
      <c r="A91" s="11" t="s">
        <v>293</v>
      </c>
      <c r="P91" s="31">
        <f t="shared" ref="P91:AX91" si="69">+P78*P$83</f>
        <v>0</v>
      </c>
      <c r="Q91" s="31">
        <f t="shared" si="69"/>
        <v>0</v>
      </c>
      <c r="R91" s="31">
        <f t="shared" si="69"/>
        <v>0</v>
      </c>
      <c r="S91" s="31">
        <f t="shared" si="69"/>
        <v>0</v>
      </c>
      <c r="T91" s="31">
        <f t="shared" si="69"/>
        <v>0</v>
      </c>
      <c r="U91" s="31">
        <f t="shared" si="69"/>
        <v>0</v>
      </c>
      <c r="V91" s="31">
        <f t="shared" si="69"/>
        <v>0</v>
      </c>
      <c r="W91" s="31">
        <f t="shared" si="69"/>
        <v>0</v>
      </c>
      <c r="X91" s="31">
        <f t="shared" si="69"/>
        <v>0</v>
      </c>
      <c r="Y91" s="31">
        <f t="shared" si="69"/>
        <v>0</v>
      </c>
      <c r="Z91" s="31">
        <f t="shared" si="69"/>
        <v>0</v>
      </c>
      <c r="AA91" s="31">
        <f t="shared" si="69"/>
        <v>0</v>
      </c>
      <c r="AB91" s="31">
        <f t="shared" si="69"/>
        <v>0</v>
      </c>
      <c r="AC91" s="31">
        <f t="shared" si="69"/>
        <v>0</v>
      </c>
      <c r="AD91" s="31">
        <f t="shared" si="69"/>
        <v>0</v>
      </c>
      <c r="AE91" s="31">
        <f t="shared" si="69"/>
        <v>0</v>
      </c>
      <c r="AF91" s="31">
        <f t="shared" si="69"/>
        <v>0</v>
      </c>
      <c r="AG91" s="31">
        <f t="shared" si="69"/>
        <v>0</v>
      </c>
      <c r="AH91" s="31">
        <f t="shared" si="69"/>
        <v>0</v>
      </c>
      <c r="AI91" s="31">
        <f t="shared" si="69"/>
        <v>0</v>
      </c>
      <c r="AJ91" s="31">
        <f t="shared" si="69"/>
        <v>0</v>
      </c>
      <c r="AK91" s="31">
        <f t="shared" si="69"/>
        <v>0</v>
      </c>
      <c r="AL91" s="31">
        <f t="shared" si="69"/>
        <v>0</v>
      </c>
      <c r="AM91" s="31">
        <f t="shared" si="69"/>
        <v>0</v>
      </c>
      <c r="AN91" s="31">
        <f t="shared" si="69"/>
        <v>0</v>
      </c>
      <c r="AO91" s="31">
        <f t="shared" si="69"/>
        <v>0</v>
      </c>
      <c r="AP91" s="31">
        <f t="shared" si="69"/>
        <v>0</v>
      </c>
      <c r="AQ91" s="31">
        <f t="shared" si="69"/>
        <v>0</v>
      </c>
      <c r="AR91" s="31">
        <f t="shared" si="69"/>
        <v>0</v>
      </c>
      <c r="AS91" s="31">
        <f t="shared" si="69"/>
        <v>0</v>
      </c>
      <c r="AT91" s="31">
        <f t="shared" si="69"/>
        <v>0</v>
      </c>
      <c r="AU91" s="31">
        <f t="shared" si="69"/>
        <v>0</v>
      </c>
      <c r="AV91" s="31">
        <f t="shared" si="69"/>
        <v>0</v>
      </c>
      <c r="AW91" s="31">
        <f t="shared" si="69"/>
        <v>0</v>
      </c>
      <c r="AX91" s="31">
        <f t="shared" si="69"/>
        <v>0</v>
      </c>
    </row>
    <row r="92" spans="1:50">
      <c r="A92" s="58" t="s">
        <v>294</v>
      </c>
      <c r="P92" s="116">
        <f>SUM(P86:P91)</f>
        <v>7189.5073932295682</v>
      </c>
      <c r="Q92" s="116">
        <f t="shared" ref="Q92:AX92" si="70">SUM(Q86:Q91)</f>
        <v>7634.579165463856</v>
      </c>
      <c r="R92" s="116">
        <f t="shared" si="70"/>
        <v>8263.9259939034564</v>
      </c>
      <c r="S92" s="116">
        <f t="shared" si="70"/>
        <v>9005.4700491402109</v>
      </c>
      <c r="T92" s="116">
        <f t="shared" si="70"/>
        <v>9634.9827529547965</v>
      </c>
      <c r="U92" s="116">
        <f t="shared" si="70"/>
        <v>10227.636139624636</v>
      </c>
      <c r="V92" s="116">
        <f t="shared" si="70"/>
        <v>10677.911914661869</v>
      </c>
      <c r="W92" s="116">
        <f t="shared" si="70"/>
        <v>11085.538215672475</v>
      </c>
      <c r="X92" s="116">
        <f t="shared" si="70"/>
        <v>11449.684360948304</v>
      </c>
      <c r="Y92" s="116">
        <f t="shared" si="70"/>
        <v>11801.863078742701</v>
      </c>
      <c r="Z92" s="116">
        <f t="shared" si="70"/>
        <v>12114.856487327688</v>
      </c>
      <c r="AA92" s="116">
        <f t="shared" si="70"/>
        <v>12441.629941059156</v>
      </c>
      <c r="AB92" s="116">
        <f t="shared" si="70"/>
        <v>12771.336783744629</v>
      </c>
      <c r="AC92" s="116">
        <f t="shared" si="70"/>
        <v>13125.895402148863</v>
      </c>
      <c r="AD92" s="116">
        <f t="shared" si="70"/>
        <v>13460.11377910227</v>
      </c>
      <c r="AE92" s="116">
        <f t="shared" si="70"/>
        <v>13810.377087085428</v>
      </c>
      <c r="AF92" s="116">
        <f t="shared" si="70"/>
        <v>14156.161550693243</v>
      </c>
      <c r="AG92" s="116">
        <f t="shared" si="70"/>
        <v>14517.026222349856</v>
      </c>
      <c r="AH92" s="116">
        <f t="shared" si="70"/>
        <v>14846.01623181528</v>
      </c>
      <c r="AI92" s="116">
        <f t="shared" si="70"/>
        <v>15188.102273286468</v>
      </c>
      <c r="AJ92" s="116">
        <f t="shared" si="70"/>
        <v>15531.932418507531</v>
      </c>
      <c r="AK92" s="116">
        <f t="shared" si="70"/>
        <v>15895.963678097562</v>
      </c>
      <c r="AL92" s="116">
        <f t="shared" si="70"/>
        <v>16224.331202173838</v>
      </c>
      <c r="AM92" s="116">
        <f t="shared" si="70"/>
        <v>16569.189248664919</v>
      </c>
      <c r="AN92" s="116">
        <f t="shared" si="70"/>
        <v>16916.860512796109</v>
      </c>
      <c r="AO92" s="116">
        <f t="shared" si="70"/>
        <v>17284.169472474827</v>
      </c>
      <c r="AP92" s="116">
        <f t="shared" si="70"/>
        <v>17619.095424391962</v>
      </c>
      <c r="AQ92" s="116">
        <f t="shared" si="70"/>
        <v>17974.911846925879</v>
      </c>
      <c r="AR92" s="116">
        <f t="shared" si="70"/>
        <v>18336.613978028683</v>
      </c>
      <c r="AS92" s="116">
        <f t="shared" si="70"/>
        <v>18722.832950512173</v>
      </c>
      <c r="AT92" s="116">
        <f t="shared" si="70"/>
        <v>19073.670998293062</v>
      </c>
      <c r="AU92" s="116">
        <f t="shared" si="70"/>
        <v>19442.281900551945</v>
      </c>
      <c r="AV92" s="116">
        <f t="shared" si="70"/>
        <v>19814.278176946587</v>
      </c>
      <c r="AW92" s="116">
        <f t="shared" si="70"/>
        <v>20209.60764778906</v>
      </c>
      <c r="AX92" s="116">
        <f t="shared" si="70"/>
        <v>20569.365725318476</v>
      </c>
    </row>
    <row r="93" spans="1:50">
      <c r="O93" s="139" t="s">
        <v>297</v>
      </c>
      <c r="P93" s="31">
        <f>+P92-Financeability!P27</f>
        <v>0</v>
      </c>
      <c r="Q93" s="31">
        <f>+Q92-Financeability!Q27</f>
        <v>0</v>
      </c>
      <c r="R93" s="31">
        <f>+R92-Financeability!R27</f>
        <v>0</v>
      </c>
      <c r="S93" s="31">
        <f>+S92-Financeability!S27</f>
        <v>0</v>
      </c>
      <c r="T93" s="31">
        <f>+T92-Financeability!T27</f>
        <v>0</v>
      </c>
      <c r="U93" s="31">
        <f>+U92-Financeability!U27</f>
        <v>0</v>
      </c>
      <c r="V93" s="31">
        <f>+V92-Financeability!V27</f>
        <v>0</v>
      </c>
      <c r="W93" s="31">
        <f>+W92-Financeability!W27</f>
        <v>0</v>
      </c>
      <c r="X93" s="31">
        <f>+X92-Financeability!X27</f>
        <v>0</v>
      </c>
      <c r="Y93" s="31">
        <f>+Y92-Financeability!Y27</f>
        <v>0</v>
      </c>
      <c r="Z93" s="31">
        <f>+Z92-Financeability!Z27</f>
        <v>0</v>
      </c>
      <c r="AA93" s="31">
        <f>+AA92-Financeability!AA27</f>
        <v>0</v>
      </c>
      <c r="AB93" s="31">
        <f>+AB92-Financeability!AB27</f>
        <v>0</v>
      </c>
      <c r="AC93" s="31">
        <f>+AC92-Financeability!AC27</f>
        <v>0</v>
      </c>
      <c r="AD93" s="31">
        <f>+AD92-Financeability!AD27</f>
        <v>0</v>
      </c>
      <c r="AE93" s="31">
        <f>+AE92-Financeability!AE27</f>
        <v>0</v>
      </c>
      <c r="AF93" s="31">
        <f>+AF92-Financeability!AF27</f>
        <v>0</v>
      </c>
      <c r="AG93" s="31">
        <f>+AG92-Financeability!AG27</f>
        <v>0</v>
      </c>
      <c r="AH93" s="31">
        <f>+AH92-Financeability!AH27</f>
        <v>0</v>
      </c>
      <c r="AI93" s="31">
        <f>+AI92-Financeability!AI27</f>
        <v>0</v>
      </c>
      <c r="AJ93" s="31">
        <f>+AJ92-Financeability!AJ27</f>
        <v>0</v>
      </c>
      <c r="AK93" s="31">
        <f>+AK92-Financeability!AK27</f>
        <v>1.4551915228366852E-11</v>
      </c>
      <c r="AL93" s="31">
        <f>+AL92-Financeability!AL27</f>
        <v>0</v>
      </c>
      <c r="AM93" s="31">
        <f>+AM92-Financeability!AM27</f>
        <v>0</v>
      </c>
      <c r="AN93" s="31">
        <f>+AN92-Financeability!AN27</f>
        <v>-2.9103830456733704E-11</v>
      </c>
      <c r="AO93" s="31">
        <f>+AO92-Financeability!AO27</f>
        <v>0</v>
      </c>
      <c r="AP93" s="31">
        <f>+AP92-Financeability!AP27</f>
        <v>0</v>
      </c>
      <c r="AQ93" s="31">
        <f>+AQ92-Financeability!AQ27</f>
        <v>2.9103830456733704E-11</v>
      </c>
      <c r="AR93" s="31">
        <f>+AR92-Financeability!AR27</f>
        <v>-2.9103830456733704E-11</v>
      </c>
      <c r="AS93" s="31">
        <f>+AS92-Financeability!AS27</f>
        <v>0</v>
      </c>
      <c r="AT93" s="31">
        <f>+AT92-Financeability!AT27</f>
        <v>0</v>
      </c>
      <c r="AU93" s="31">
        <f>+AU92-Financeability!AU27</f>
        <v>0</v>
      </c>
      <c r="AV93" s="31">
        <f>+AV92-Financeability!AV27</f>
        <v>3.637978807091713E-11</v>
      </c>
      <c r="AW93" s="31">
        <f>+AW92-Financeability!AW27</f>
        <v>3.2741809263825417E-11</v>
      </c>
      <c r="AX93" s="31">
        <f>+AX92-Financeability!AX27</f>
        <v>-5.0931703299283981E-11</v>
      </c>
    </row>
  </sheetData>
  <dataConsolidate link="1"/>
  <mergeCells count="1">
    <mergeCell ref="P40:Q40"/>
  </mergeCells>
  <pageMargins left="0.70866141732283472" right="0.70866141732283472" top="0.74803149606299213" bottom="0.74803149606299213" header="0.31496062992125984" footer="0.31496062992125984"/>
  <pageSetup paperSize="8" scale="4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Y81"/>
  <sheetViews>
    <sheetView zoomScaleNormal="100" workbookViewId="0">
      <pane xSplit="13" ySplit="1" topLeftCell="N14" activePane="bottomRight" state="frozen"/>
      <selection pane="topRight" activeCell="N1" sqref="N1"/>
      <selection pane="bottomLeft" activeCell="A2" sqref="A2"/>
      <selection pane="bottomRight" activeCell="P26" sqref="P26:AX26"/>
    </sheetView>
  </sheetViews>
  <sheetFormatPr defaultColWidth="9.36328125" defaultRowHeight="13"/>
  <cols>
    <col min="1" max="1" width="47.36328125" style="28" bestFit="1" customWidth="1"/>
    <col min="2" max="13" width="4.36328125" style="29" hidden="1" customWidth="1"/>
    <col min="14" max="21" width="5.6328125" style="29" bestFit="1" customWidth="1"/>
    <col min="22" max="50" width="5.6328125" style="28" bestFit="1" customWidth="1"/>
    <col min="51" max="16384" width="9.36328125" style="28"/>
  </cols>
  <sheetData>
    <row r="1" spans="1:51" s="32" customFormat="1">
      <c r="A1" s="32" t="s">
        <v>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>
        <f>+Inputs!N1</f>
        <v>2021</v>
      </c>
      <c r="O1" s="36">
        <f>+Inputs!O1</f>
        <v>2022</v>
      </c>
      <c r="P1" s="36">
        <f>+Inputs!P1</f>
        <v>2023</v>
      </c>
      <c r="Q1" s="36">
        <f>+Inputs!Q1</f>
        <v>2024</v>
      </c>
      <c r="R1" s="36">
        <f>+Inputs!R1</f>
        <v>2025</v>
      </c>
      <c r="S1" s="36">
        <f>+Inputs!S1</f>
        <v>2026</v>
      </c>
      <c r="T1" s="36">
        <f>+Inputs!T1</f>
        <v>2027</v>
      </c>
      <c r="U1" s="36">
        <f>+Inputs!U1</f>
        <v>2028</v>
      </c>
      <c r="V1" s="36">
        <f>+Inputs!V1</f>
        <v>2029</v>
      </c>
      <c r="W1" s="36">
        <f>+Inputs!W1</f>
        <v>2030</v>
      </c>
      <c r="X1" s="36">
        <f>+Inputs!X1</f>
        <v>2031</v>
      </c>
      <c r="Y1" s="36">
        <f>+Inputs!Y1</f>
        <v>2032</v>
      </c>
      <c r="Z1" s="36">
        <f>+Inputs!Z1</f>
        <v>2033</v>
      </c>
      <c r="AA1" s="36">
        <f>+Inputs!AA1</f>
        <v>2034</v>
      </c>
      <c r="AB1" s="36">
        <f>+Inputs!AB1</f>
        <v>2035</v>
      </c>
      <c r="AC1" s="36">
        <f>+Inputs!AC1</f>
        <v>2036</v>
      </c>
      <c r="AD1" s="36">
        <f>+Inputs!AD1</f>
        <v>2037</v>
      </c>
      <c r="AE1" s="36">
        <f>+Inputs!AE1</f>
        <v>2038</v>
      </c>
      <c r="AF1" s="36">
        <f>+Inputs!AF1</f>
        <v>2039</v>
      </c>
      <c r="AG1" s="36">
        <f>+Inputs!AG1</f>
        <v>2040</v>
      </c>
      <c r="AH1" s="36">
        <f>+Inputs!AH1</f>
        <v>2041</v>
      </c>
      <c r="AI1" s="36">
        <f>+Inputs!AI1</f>
        <v>2042</v>
      </c>
      <c r="AJ1" s="36">
        <f>+Inputs!AJ1</f>
        <v>2043</v>
      </c>
      <c r="AK1" s="36">
        <f>+Inputs!AK1</f>
        <v>2044</v>
      </c>
      <c r="AL1" s="36">
        <f>+Inputs!AL1</f>
        <v>2045</v>
      </c>
      <c r="AM1" s="36">
        <f>+Inputs!AM1</f>
        <v>2046</v>
      </c>
      <c r="AN1" s="36">
        <f>+Inputs!AN1</f>
        <v>2047</v>
      </c>
      <c r="AO1" s="36">
        <f>+Inputs!AO1</f>
        <v>2048</v>
      </c>
      <c r="AP1" s="36">
        <f>+Inputs!AP1</f>
        <v>2049</v>
      </c>
      <c r="AQ1" s="36">
        <f>+Inputs!AQ1</f>
        <v>2050</v>
      </c>
      <c r="AR1" s="36">
        <f>+Inputs!AR1</f>
        <v>2051</v>
      </c>
      <c r="AS1" s="36">
        <f>+Inputs!AS1</f>
        <v>2052</v>
      </c>
      <c r="AT1" s="36">
        <f>+Inputs!AT1</f>
        <v>2053</v>
      </c>
      <c r="AU1" s="36">
        <f>+Inputs!AU1</f>
        <v>2054</v>
      </c>
      <c r="AV1" s="36">
        <f>+Inputs!AV1</f>
        <v>2055</v>
      </c>
      <c r="AW1" s="36">
        <f>+Inputs!AW1</f>
        <v>2056</v>
      </c>
      <c r="AX1" s="36">
        <f>+Inputs!AX1</f>
        <v>2057</v>
      </c>
    </row>
    <row r="2" spans="1:51">
      <c r="A2" s="53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51">
      <c r="A3" s="28" t="s">
        <v>59</v>
      </c>
      <c r="B3" s="31"/>
      <c r="C3" s="31"/>
      <c r="D3" s="31"/>
      <c r="E3" s="31"/>
      <c r="F3" s="65"/>
      <c r="G3" s="66"/>
      <c r="H3" s="66"/>
      <c r="I3" s="66"/>
      <c r="J3" s="66"/>
      <c r="K3" s="66"/>
      <c r="L3" s="66"/>
      <c r="M3" s="66"/>
      <c r="N3" s="78"/>
      <c r="O3" s="78"/>
      <c r="P3" s="78">
        <f>+Inputs!P98</f>
        <v>0.19</v>
      </c>
      <c r="Q3" s="78">
        <f>+Inputs!Q98</f>
        <v>0.19</v>
      </c>
      <c r="R3" s="78">
        <f>+Inputs!R98</f>
        <v>0.19</v>
      </c>
      <c r="S3" s="78">
        <f>+Inputs!S98</f>
        <v>0.19</v>
      </c>
      <c r="T3" s="78">
        <f>+Inputs!T98</f>
        <v>0.19</v>
      </c>
      <c r="U3" s="78">
        <f>+Inputs!U98</f>
        <v>0.19</v>
      </c>
      <c r="V3" s="78">
        <f>+Inputs!V98</f>
        <v>0.19</v>
      </c>
      <c r="W3" s="78">
        <f>+Inputs!W98</f>
        <v>0.19</v>
      </c>
      <c r="X3" s="78">
        <f>+Inputs!X98</f>
        <v>0.19</v>
      </c>
      <c r="Y3" s="78">
        <f>+Inputs!Y98</f>
        <v>0.19</v>
      </c>
      <c r="Z3" s="78">
        <f>+Inputs!Z98</f>
        <v>0.19</v>
      </c>
      <c r="AA3" s="78">
        <f>+Inputs!AA98</f>
        <v>0.19</v>
      </c>
      <c r="AB3" s="78">
        <f>+Inputs!AB98</f>
        <v>0.19</v>
      </c>
      <c r="AC3" s="78">
        <f>+Inputs!AC98</f>
        <v>0.19</v>
      </c>
      <c r="AD3" s="78">
        <f>+Inputs!AD98</f>
        <v>0.19</v>
      </c>
      <c r="AE3" s="78">
        <f>+Inputs!AE98</f>
        <v>0.19</v>
      </c>
      <c r="AF3" s="78">
        <f>+Inputs!AF98</f>
        <v>0.19</v>
      </c>
      <c r="AG3" s="78">
        <f>+Inputs!AG98</f>
        <v>0.19</v>
      </c>
      <c r="AH3" s="78">
        <f>+Inputs!AH98</f>
        <v>0.19</v>
      </c>
      <c r="AI3" s="78">
        <f>+Inputs!AI98</f>
        <v>0.19</v>
      </c>
      <c r="AJ3" s="78">
        <f>+Inputs!AJ98</f>
        <v>0.19</v>
      </c>
      <c r="AK3" s="78">
        <f>+Inputs!AK98</f>
        <v>0.19</v>
      </c>
      <c r="AL3" s="78">
        <f>+Inputs!AL98</f>
        <v>0.19</v>
      </c>
      <c r="AM3" s="78">
        <f>+Inputs!AM98</f>
        <v>0.19</v>
      </c>
      <c r="AN3" s="78">
        <f>+Inputs!AN98</f>
        <v>0.19</v>
      </c>
      <c r="AO3" s="78">
        <f>+Inputs!AO98</f>
        <v>0.19</v>
      </c>
      <c r="AP3" s="78">
        <f>+Inputs!AP98</f>
        <v>0.19</v>
      </c>
      <c r="AQ3" s="78">
        <f>+Inputs!AQ98</f>
        <v>0.19</v>
      </c>
      <c r="AR3" s="78">
        <f>+Inputs!AR98</f>
        <v>0.19</v>
      </c>
      <c r="AS3" s="78">
        <f>+Inputs!AS98</f>
        <v>0.19</v>
      </c>
      <c r="AT3" s="78">
        <f>+Inputs!AT98</f>
        <v>0.19</v>
      </c>
      <c r="AU3" s="78">
        <f>+Inputs!AU98</f>
        <v>0.19</v>
      </c>
      <c r="AV3" s="78">
        <f>+Inputs!AV98</f>
        <v>0.19</v>
      </c>
      <c r="AW3" s="78">
        <f>+Inputs!AW98</f>
        <v>0.19</v>
      </c>
      <c r="AX3" s="78">
        <f>+Inputs!AX98</f>
        <v>0.19</v>
      </c>
    </row>
    <row r="4" spans="1:51">
      <c r="A4" s="28" t="s">
        <v>60</v>
      </c>
      <c r="B4" s="31"/>
      <c r="C4" s="31"/>
      <c r="D4" s="31"/>
      <c r="E4" s="31"/>
      <c r="F4" s="65"/>
      <c r="G4" s="66"/>
      <c r="H4" s="66"/>
      <c r="I4" s="66"/>
      <c r="J4" s="66"/>
      <c r="K4" s="66"/>
      <c r="L4" s="66"/>
      <c r="M4" s="66"/>
      <c r="N4" s="78"/>
      <c r="O4" s="78"/>
      <c r="P4" s="78">
        <f>+Inputs!P99</f>
        <v>0.19</v>
      </c>
      <c r="Q4" s="78">
        <f>+Inputs!Q99</f>
        <v>0.19</v>
      </c>
      <c r="R4" s="78">
        <f>+Inputs!R99</f>
        <v>0.19</v>
      </c>
      <c r="S4" s="78">
        <f>+Inputs!S99</f>
        <v>0.19</v>
      </c>
      <c r="T4" s="78">
        <f>+Inputs!T99</f>
        <v>0.19</v>
      </c>
      <c r="U4" s="78">
        <f>+Inputs!U99</f>
        <v>0.19</v>
      </c>
      <c r="V4" s="78">
        <f>+Inputs!V99</f>
        <v>0.19</v>
      </c>
      <c r="W4" s="78">
        <f>+Inputs!W99</f>
        <v>0.19</v>
      </c>
      <c r="X4" s="78">
        <f>+Inputs!X99</f>
        <v>0.19</v>
      </c>
      <c r="Y4" s="78">
        <f>+Inputs!Y99</f>
        <v>0.19</v>
      </c>
      <c r="Z4" s="78">
        <f>+Inputs!Z99</f>
        <v>0.19</v>
      </c>
      <c r="AA4" s="78">
        <f>+Inputs!AA99</f>
        <v>0.19</v>
      </c>
      <c r="AB4" s="78">
        <f>+Inputs!AB99</f>
        <v>0.19</v>
      </c>
      <c r="AC4" s="78">
        <f>+Inputs!AC99</f>
        <v>0.19</v>
      </c>
      <c r="AD4" s="78">
        <f>+Inputs!AD99</f>
        <v>0.19</v>
      </c>
      <c r="AE4" s="78">
        <f>+Inputs!AE99</f>
        <v>0.19</v>
      </c>
      <c r="AF4" s="78">
        <f>+Inputs!AF99</f>
        <v>0.19</v>
      </c>
      <c r="AG4" s="78">
        <f>+Inputs!AG99</f>
        <v>0.19</v>
      </c>
      <c r="AH4" s="78">
        <f>+Inputs!AH99</f>
        <v>0.19</v>
      </c>
      <c r="AI4" s="78">
        <f>+Inputs!AI99</f>
        <v>0.19</v>
      </c>
      <c r="AJ4" s="78">
        <f>+Inputs!AJ99</f>
        <v>0.19</v>
      </c>
      <c r="AK4" s="78">
        <f>+Inputs!AK99</f>
        <v>0.19</v>
      </c>
      <c r="AL4" s="78">
        <f>+Inputs!AL99</f>
        <v>0.19</v>
      </c>
      <c r="AM4" s="78">
        <f>+Inputs!AM99</f>
        <v>0.19</v>
      </c>
      <c r="AN4" s="78">
        <f>+Inputs!AN99</f>
        <v>0.19</v>
      </c>
      <c r="AO4" s="78">
        <f>+Inputs!AO99</f>
        <v>0.19</v>
      </c>
      <c r="AP4" s="78">
        <f>+Inputs!AP99</f>
        <v>0.19</v>
      </c>
      <c r="AQ4" s="78">
        <f>+Inputs!AQ99</f>
        <v>0.19</v>
      </c>
      <c r="AR4" s="78">
        <f>+Inputs!AR99</f>
        <v>0.19</v>
      </c>
      <c r="AS4" s="78">
        <f>+Inputs!AS99</f>
        <v>0.19</v>
      </c>
      <c r="AT4" s="78">
        <f>+Inputs!AT99</f>
        <v>0.19</v>
      </c>
      <c r="AU4" s="78">
        <f>+Inputs!AU99</f>
        <v>0.19</v>
      </c>
      <c r="AV4" s="78">
        <f>+Inputs!AV99</f>
        <v>0.19</v>
      </c>
      <c r="AW4" s="78">
        <f>+Inputs!AW99</f>
        <v>0.19</v>
      </c>
      <c r="AX4" s="78">
        <f>+Inputs!AX99</f>
        <v>0.19</v>
      </c>
    </row>
    <row r="5" spans="1:51">
      <c r="B5" s="31"/>
      <c r="C5" s="31"/>
      <c r="D5" s="31"/>
      <c r="E5" s="31"/>
      <c r="F5" s="65"/>
      <c r="G5" s="31"/>
      <c r="H5" s="31"/>
      <c r="I5" s="31"/>
      <c r="J5" s="31"/>
      <c r="K5" s="31"/>
      <c r="L5" s="31"/>
      <c r="M5" s="31"/>
      <c r="N5" s="10"/>
      <c r="O5" s="10"/>
      <c r="P5" s="10"/>
      <c r="Q5" s="10"/>
      <c r="R5" s="10"/>
      <c r="S5" s="10"/>
      <c r="T5" s="10"/>
      <c r="U5" s="10"/>
    </row>
    <row r="6" spans="1:51">
      <c r="A6" s="28" t="s">
        <v>211</v>
      </c>
      <c r="B6" s="31"/>
      <c r="C6" s="31"/>
      <c r="D6" s="31"/>
      <c r="E6" s="31"/>
      <c r="F6" s="65"/>
      <c r="G6" s="31"/>
      <c r="H6" s="31"/>
      <c r="I6" s="31"/>
      <c r="J6" s="31"/>
      <c r="K6" s="31"/>
      <c r="L6" s="31"/>
      <c r="M6" s="31"/>
      <c r="N6" s="10">
        <f>+Inputs!N38</f>
        <v>1.024793388429752</v>
      </c>
      <c r="O6" s="10">
        <f>+Inputs!O38</f>
        <v>1.1067768595041321</v>
      </c>
      <c r="P6" s="10">
        <f>+Inputs!P38</f>
        <v>1.1682029752066114</v>
      </c>
      <c r="Q6" s="10">
        <f>+Inputs!Q38</f>
        <v>1.1948380030413221</v>
      </c>
      <c r="R6" s="10">
        <f>+Inputs!R38</f>
        <v>1.2078617372744727</v>
      </c>
      <c r="S6" s="10">
        <f>+Inputs!S38</f>
        <v>1.2331060475835092</v>
      </c>
      <c r="T6" s="10">
        <f>+Inputs!T38</f>
        <v>1.2588779639780046</v>
      </c>
      <c r="U6" s="10">
        <f>+Inputs!U38</f>
        <v>1.2851885134251448</v>
      </c>
      <c r="V6" s="10">
        <f>+Inputs!V38</f>
        <v>1.3120489533557305</v>
      </c>
      <c r="W6" s="10">
        <f>+Inputs!W38</f>
        <v>1.3394707764808653</v>
      </c>
      <c r="X6" s="10">
        <f>+Inputs!X38</f>
        <v>1.3674657157093153</v>
      </c>
      <c r="Y6" s="10">
        <f>+Inputs!Y38</f>
        <v>1.3960457491676399</v>
      </c>
      <c r="Z6" s="10">
        <f>+Inputs!Z38</f>
        <v>1.4252231053252435</v>
      </c>
      <c r="AA6" s="10">
        <f>+Inputs!AA38</f>
        <v>1.4550102682265411</v>
      </c>
      <c r="AB6" s="10">
        <f>+Inputs!AB38</f>
        <v>1.4854199828324759</v>
      </c>
      <c r="AC6" s="10">
        <f>+Inputs!AC38</f>
        <v>1.5164652604736746</v>
      </c>
      <c r="AD6" s="10">
        <f>+Inputs!AD38</f>
        <v>1.5481593844175743</v>
      </c>
      <c r="AE6" s="10">
        <f>+Inputs!AE38</f>
        <v>1.5805159155519015</v>
      </c>
      <c r="AF6" s="10">
        <f>+Inputs!AF38</f>
        <v>1.6135486981869362</v>
      </c>
      <c r="AG6" s="10">
        <f>+Inputs!AG38</f>
        <v>1.6472718659790433</v>
      </c>
      <c r="AH6" s="10">
        <f>+Inputs!AH38</f>
        <v>1.6816998479780052</v>
      </c>
      <c r="AI6" s="10">
        <f>+Inputs!AI38</f>
        <v>1.7168473748007456</v>
      </c>
      <c r="AJ6" s="10">
        <f>+Inputs!AJ38</f>
        <v>1.7527294849340811</v>
      </c>
      <c r="AK6" s="10">
        <f>+Inputs!AK38</f>
        <v>1.7893615311692035</v>
      </c>
      <c r="AL6" s="10">
        <f>+Inputs!AL38</f>
        <v>1.8267591871706399</v>
      </c>
      <c r="AM6" s="10">
        <f>+Inputs!AM38</f>
        <v>1.8649384541825063</v>
      </c>
      <c r="AN6" s="10">
        <f>+Inputs!AN38</f>
        <v>1.9039156678749207</v>
      </c>
      <c r="AO6" s="10">
        <f>+Inputs!AO38</f>
        <v>1.9437075053335067</v>
      </c>
      <c r="AP6" s="10">
        <f>+Inputs!AP38</f>
        <v>1.984330992194977</v>
      </c>
      <c r="AQ6" s="10">
        <f>+Inputs!AQ38</f>
        <v>2.0258035099318521</v>
      </c>
      <c r="AR6" s="10">
        <f>+Inputs!AR38</f>
        <v>2.0681428032894278</v>
      </c>
      <c r="AS6" s="10">
        <f>+Inputs!AS38</f>
        <v>2.1113669878781769</v>
      </c>
      <c r="AT6" s="10">
        <f>+Inputs!AT38</f>
        <v>2.1554945579248308</v>
      </c>
      <c r="AU6" s="10">
        <f>+Inputs!AU38</f>
        <v>2.2005443941854597</v>
      </c>
      <c r="AV6" s="10">
        <f>+Inputs!AV38</f>
        <v>2.2465357720239356</v>
      </c>
      <c r="AW6" s="10">
        <f>+Inputs!AW38</f>
        <v>2.2934883696592361</v>
      </c>
      <c r="AX6" s="10">
        <f>+Inputs!AX38</f>
        <v>2.341422276585114</v>
      </c>
    </row>
    <row r="7" spans="1:51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51">
      <c r="A8" s="28" t="s">
        <v>61</v>
      </c>
      <c r="B8" s="31"/>
      <c r="C8" s="31"/>
      <c r="D8" s="31"/>
      <c r="E8" s="31"/>
      <c r="F8" s="65"/>
      <c r="G8" s="75"/>
      <c r="H8" s="75"/>
      <c r="I8" s="75"/>
      <c r="J8" s="75"/>
      <c r="K8" s="31"/>
      <c r="L8" s="31"/>
      <c r="M8" s="31"/>
      <c r="N8" s="31"/>
      <c r="O8" s="31"/>
      <c r="P8" s="31">
        <f>+'Pi''s Calc'!P28*'UR Tax Calculation'!P6</f>
        <v>7189.5073932295727</v>
      </c>
      <c r="Q8" s="31">
        <f>+'Pi''s Calc'!Q28*'UR Tax Calculation'!Q6</f>
        <v>7634.5791654638533</v>
      </c>
      <c r="R8" s="31">
        <f>+'Pi''s Calc'!R28*'UR Tax Calculation'!R6</f>
        <v>8263.9259939034655</v>
      </c>
      <c r="S8" s="31">
        <f>+'Pi''s Calc'!S28*'UR Tax Calculation'!S6</f>
        <v>9005.4700491402036</v>
      </c>
      <c r="T8" s="31">
        <f>+'Pi''s Calc'!T28*'UR Tax Calculation'!T6</f>
        <v>9634.9827529547892</v>
      </c>
      <c r="U8" s="31">
        <f>+'Pi''s Calc'!U28*'UR Tax Calculation'!U6</f>
        <v>10227.636139624638</v>
      </c>
      <c r="V8" s="31">
        <f>+'Pi''s Calc'!V28*'UR Tax Calculation'!V6</f>
        <v>10677.911914661874</v>
      </c>
      <c r="W8" s="31">
        <f>+'Pi''s Calc'!W28*'UR Tax Calculation'!W6</f>
        <v>11085.53821567247</v>
      </c>
      <c r="X8" s="31">
        <f>+'Pi''s Calc'!X28*'UR Tax Calculation'!X6</f>
        <v>11449.684360948311</v>
      </c>
      <c r="Y8" s="31">
        <f>+'Pi''s Calc'!Y28*'UR Tax Calculation'!Y6</f>
        <v>11801.863078742706</v>
      </c>
      <c r="Z8" s="31">
        <f>+'Pi''s Calc'!Z28*'UR Tax Calculation'!Z6</f>
        <v>12114.856487327686</v>
      </c>
      <c r="AA8" s="31">
        <f>+'Pi''s Calc'!AA28*'UR Tax Calculation'!AA6</f>
        <v>12441.629941059151</v>
      </c>
      <c r="AB8" s="31">
        <f>+'Pi''s Calc'!AB28*'UR Tax Calculation'!AB6</f>
        <v>12771.336783744642</v>
      </c>
      <c r="AC8" s="31">
        <f>+'Pi''s Calc'!AC28*'UR Tax Calculation'!AC6</f>
        <v>13125.895402148863</v>
      </c>
      <c r="AD8" s="31">
        <f>+'Pi''s Calc'!AD28*'UR Tax Calculation'!AD6</f>
        <v>13460.113779102259</v>
      </c>
      <c r="AE8" s="31">
        <f>+'Pi''s Calc'!AE28*'UR Tax Calculation'!AE6</f>
        <v>13810.377087085426</v>
      </c>
      <c r="AF8" s="31">
        <f>+'Pi''s Calc'!AF28*'UR Tax Calculation'!AF6</f>
        <v>14156.161550693241</v>
      </c>
      <c r="AG8" s="31">
        <f>+'Pi''s Calc'!AG28*'UR Tax Calculation'!AG6</f>
        <v>14517.026222349859</v>
      </c>
      <c r="AH8" s="31">
        <f>+'Pi''s Calc'!AH28*'UR Tax Calculation'!AH6</f>
        <v>14846.016231815291</v>
      </c>
      <c r="AI8" s="31">
        <f>+'Pi''s Calc'!AI28*'UR Tax Calculation'!AI6</f>
        <v>15188.102273286466</v>
      </c>
      <c r="AJ8" s="31">
        <f>+'Pi''s Calc'!AJ28*'UR Tax Calculation'!AJ6</f>
        <v>15531.932418507527</v>
      </c>
      <c r="AK8" s="31">
        <f>+'Pi''s Calc'!AK28*'UR Tax Calculation'!AK6</f>
        <v>15895.963678097547</v>
      </c>
      <c r="AL8" s="31">
        <f>+'Pi''s Calc'!AL28*'UR Tax Calculation'!AL6</f>
        <v>16224.331202173849</v>
      </c>
      <c r="AM8" s="31">
        <f>+'Pi''s Calc'!AM28*'UR Tax Calculation'!AM6</f>
        <v>16569.189248664919</v>
      </c>
      <c r="AN8" s="31">
        <f>+'Pi''s Calc'!AN28*'UR Tax Calculation'!AN6</f>
        <v>16916.860512796138</v>
      </c>
      <c r="AO8" s="31">
        <f>+'Pi''s Calc'!AO28*'UR Tax Calculation'!AO6</f>
        <v>17284.169472474816</v>
      </c>
      <c r="AP8" s="31">
        <f>+'Pi''s Calc'!AP28*'UR Tax Calculation'!AP6</f>
        <v>17619.095424391984</v>
      </c>
      <c r="AQ8" s="31">
        <f>+'Pi''s Calc'!AQ28*'UR Tax Calculation'!AQ6</f>
        <v>17974.91184692585</v>
      </c>
      <c r="AR8" s="31">
        <f>+'Pi''s Calc'!AR28*'UR Tax Calculation'!AR6</f>
        <v>18336.613978028712</v>
      </c>
      <c r="AS8" s="31">
        <f>+'Pi''s Calc'!AS28*'UR Tax Calculation'!AS6</f>
        <v>18722.832950512166</v>
      </c>
      <c r="AT8" s="31">
        <f>+'Pi''s Calc'!AT28*'UR Tax Calculation'!AT6</f>
        <v>19073.670998293059</v>
      </c>
      <c r="AU8" s="31">
        <f>+'Pi''s Calc'!AU28*'UR Tax Calculation'!AU6</f>
        <v>19442.281900551938</v>
      </c>
      <c r="AV8" s="31">
        <f>+'Pi''s Calc'!AV28*'UR Tax Calculation'!AV6</f>
        <v>19814.278176946551</v>
      </c>
      <c r="AW8" s="31">
        <f>+'Pi''s Calc'!AW28*'UR Tax Calculation'!AW6</f>
        <v>20209.607647789027</v>
      </c>
      <c r="AX8" s="31">
        <f>+'Pi''s Calc'!AX28*'UR Tax Calculation'!AX6</f>
        <v>20569.365725318527</v>
      </c>
    </row>
    <row r="9" spans="1:51">
      <c r="A9" s="28" t="s">
        <v>62</v>
      </c>
      <c r="B9" s="31"/>
      <c r="C9" s="31"/>
      <c r="D9" s="31"/>
      <c r="E9" s="31"/>
      <c r="F9" s="65"/>
      <c r="G9" s="75"/>
      <c r="H9" s="75"/>
      <c r="I9" s="75"/>
      <c r="J9" s="75"/>
      <c r="K9" s="31"/>
      <c r="L9" s="31"/>
      <c r="M9" s="31"/>
      <c r="N9" s="31"/>
      <c r="O9" s="31"/>
      <c r="P9" s="31">
        <f>+'Pi''s Calc'!P30*'UR Tax Calculation'!P6</f>
        <v>-3584.9332939736746</v>
      </c>
      <c r="Q9" s="31">
        <f>+'Pi''s Calc'!Q30*'UR Tax Calculation'!Q6</f>
        <v>-4023.5654421374829</v>
      </c>
      <c r="R9" s="31">
        <f>+'Pi''s Calc'!R30*'UR Tax Calculation'!R6</f>
        <v>-4320.2322336905736</v>
      </c>
      <c r="S9" s="31">
        <f>+'Pi''s Calc'!S30*'UR Tax Calculation'!S6</f>
        <v>-4754.0628927405023</v>
      </c>
      <c r="T9" s="31">
        <f>+'Pi''s Calc'!T30*'UR Tax Calculation'!T6</f>
        <v>-5064.4205362057646</v>
      </c>
      <c r="U9" s="31">
        <f>+'Pi''s Calc'!U30*'UR Tax Calculation'!U6</f>
        <v>-5401.8936066997785</v>
      </c>
      <c r="V9" s="31">
        <f>+'Pi''s Calc'!V30*'UR Tax Calculation'!V6</f>
        <v>-5517.2721139473852</v>
      </c>
      <c r="W9" s="31">
        <f>+'Pi''s Calc'!W30*'UR Tax Calculation'!W6</f>
        <v>-5707.9461399324609</v>
      </c>
      <c r="X9" s="31">
        <f>+'Pi''s Calc'!X30*'UR Tax Calculation'!X6</f>
        <v>-5933.2755843208533</v>
      </c>
      <c r="Y9" s="31">
        <f>+'Pi''s Calc'!Y30*'UR Tax Calculation'!Y6</f>
        <v>-6195.0583350960715</v>
      </c>
      <c r="Z9" s="31">
        <f>+'Pi''s Calc'!Z30*'UR Tax Calculation'!Z6</f>
        <v>-6483.0205497535362</v>
      </c>
      <c r="AA9" s="31">
        <f>+'Pi''s Calc'!AA30*'UR Tax Calculation'!AA6</f>
        <v>-6780.0543531588728</v>
      </c>
      <c r="AB9" s="31">
        <f>+'Pi''s Calc'!AB30*'UR Tax Calculation'!AB6</f>
        <v>-7093.2467479557235</v>
      </c>
      <c r="AC9" s="31">
        <f>+'Pi''s Calc'!AC30*'UR Tax Calculation'!AC6</f>
        <v>-7423.9212150011117</v>
      </c>
      <c r="AD9" s="31">
        <f>+'Pi''s Calc'!AD30*'UR Tax Calculation'!AD6</f>
        <v>-7752.5579979539707</v>
      </c>
      <c r="AE9" s="31">
        <f>+'Pi''s Calc'!AE30*'UR Tax Calculation'!AE6</f>
        <v>-8054.7610631562611</v>
      </c>
      <c r="AF9" s="31">
        <f>+'Pi''s Calc'!AF30*'UR Tax Calculation'!AF6</f>
        <v>-8298.3750727489041</v>
      </c>
      <c r="AG9" s="31">
        <f>+'Pi''s Calc'!AG30*'UR Tax Calculation'!AG6</f>
        <v>-8545.9079047041887</v>
      </c>
      <c r="AH9" s="31">
        <f>+'Pi''s Calc'!AH30*'UR Tax Calculation'!AH6</f>
        <v>-8793.0613307336498</v>
      </c>
      <c r="AI9" s="31">
        <f>+'Pi''s Calc'!AI30*'UR Tax Calculation'!AI6</f>
        <v>-9065.3885627909385</v>
      </c>
      <c r="AJ9" s="31">
        <f>+'Pi''s Calc'!AJ30*'UR Tax Calculation'!AJ6</f>
        <v>-9383.3319242910784</v>
      </c>
      <c r="AK9" s="31">
        <f>+'Pi''s Calc'!AK30*'UR Tax Calculation'!AK6</f>
        <v>-9701.6466697218657</v>
      </c>
      <c r="AL9" s="31">
        <f>+'Pi''s Calc'!AL30*'UR Tax Calculation'!AL6</f>
        <v>-10011.268968489752</v>
      </c>
      <c r="AM9" s="31">
        <f>+'Pi''s Calc'!AM30*'UR Tax Calculation'!AM6</f>
        <v>-10327.807101162682</v>
      </c>
      <c r="AN9" s="31">
        <f>+'Pi''s Calc'!AN30*'UR Tax Calculation'!AN6</f>
        <v>-10679.917382168651</v>
      </c>
      <c r="AO9" s="31">
        <f>+'Pi''s Calc'!AO30*'UR Tax Calculation'!AO6</f>
        <v>-11025.403753365656</v>
      </c>
      <c r="AP9" s="31">
        <f>+'Pi''s Calc'!AP30*'UR Tax Calculation'!AP6</f>
        <v>-11412.281830395737</v>
      </c>
      <c r="AQ9" s="31">
        <f>+'Pi''s Calc'!AQ30*'UR Tax Calculation'!AQ6</f>
        <v>-11814.588316296071</v>
      </c>
      <c r="AR9" s="31">
        <f>+'Pi''s Calc'!AR30*'UR Tax Calculation'!AR6</f>
        <v>-12233.418255860041</v>
      </c>
      <c r="AS9" s="31">
        <f>+'Pi''s Calc'!AS30*'UR Tax Calculation'!AS6</f>
        <v>-12660.864841412804</v>
      </c>
      <c r="AT9" s="31">
        <f>+'Pi''s Calc'!AT30*'UR Tax Calculation'!AT6</f>
        <v>-13095.300181844059</v>
      </c>
      <c r="AU9" s="31">
        <f>+'Pi''s Calc'!AU30*'UR Tax Calculation'!AU6</f>
        <v>-13543.237845758013</v>
      </c>
      <c r="AV9" s="31">
        <f>+'Pi''s Calc'!AV30*'UR Tax Calculation'!AV6</f>
        <v>-14006.866592555058</v>
      </c>
      <c r="AW9" s="31">
        <f>+'Pi''s Calc'!AW30*'UR Tax Calculation'!AW6</f>
        <v>-14483.12197766278</v>
      </c>
      <c r="AX9" s="31">
        <f>+'Pi''s Calc'!AX30*'UR Tax Calculation'!AX6</f>
        <v>-14980.835296724321</v>
      </c>
    </row>
    <row r="10" spans="1:51">
      <c r="A10" s="28" t="s">
        <v>63</v>
      </c>
      <c r="B10" s="31"/>
      <c r="C10" s="31"/>
      <c r="D10" s="31"/>
      <c r="E10" s="31"/>
      <c r="F10" s="65"/>
      <c r="G10" s="75"/>
      <c r="H10" s="75"/>
      <c r="I10" s="75"/>
      <c r="J10" s="75"/>
      <c r="K10" s="31"/>
      <c r="L10" s="31"/>
      <c r="M10" s="31"/>
      <c r="N10" s="31"/>
      <c r="O10" s="31"/>
      <c r="P10" s="31">
        <f>-Financeability!P25</f>
        <v>-717.75042969705055</v>
      </c>
      <c r="Q10" s="31">
        <f>-Financeability!Q25</f>
        <v>-863.89858639117381</v>
      </c>
      <c r="R10" s="31">
        <f>-Financeability!R25</f>
        <v>-1025.4704385823072</v>
      </c>
      <c r="S10" s="31">
        <f>-Financeability!S25</f>
        <v>-1230.6175652617096</v>
      </c>
      <c r="T10" s="31">
        <f>-Financeability!T25</f>
        <v>-1442.7506977151154</v>
      </c>
      <c r="U10" s="31">
        <f>-Financeability!U25</f>
        <v>-1650.81173045214</v>
      </c>
      <c r="V10" s="31">
        <f>-Financeability!V25</f>
        <v>-1715.2124429917922</v>
      </c>
      <c r="W10" s="31">
        <f>-Financeability!W25</f>
        <v>-1718.623352403215</v>
      </c>
      <c r="X10" s="31">
        <f>-Financeability!X25</f>
        <v>-1711.1255635826537</v>
      </c>
      <c r="Y10" s="31">
        <f>-Financeability!Y25</f>
        <v>-1697.8186121973015</v>
      </c>
      <c r="Z10" s="31">
        <f>-Financeability!Z25</f>
        <v>-1681.0235756165962</v>
      </c>
      <c r="AA10" s="31">
        <f>-Financeability!AA25</f>
        <v>-1662.620830436724</v>
      </c>
      <c r="AB10" s="31">
        <f>-Financeability!AB25</f>
        <v>-1646.1957867870169</v>
      </c>
      <c r="AC10" s="31">
        <f>-Financeability!AC25</f>
        <v>-1634.2872067116043</v>
      </c>
      <c r="AD10" s="31">
        <f>-Financeability!AD25</f>
        <v>-1625.6973512068159</v>
      </c>
      <c r="AE10" s="31">
        <f>-Financeability!AE25</f>
        <v>-1619.1258300904055</v>
      </c>
      <c r="AF10" s="31">
        <f>-Financeability!AF25</f>
        <v>-1620.4024220338142</v>
      </c>
      <c r="AG10" s="31">
        <f>-Financeability!AG25</f>
        <v>-1619.5382143424456</v>
      </c>
      <c r="AH10" s="31">
        <f>-Financeability!AH25</f>
        <v>-1609.8068684341702</v>
      </c>
      <c r="AI10" s="31">
        <f>-Financeability!AI25</f>
        <v>-1598.5156682947272</v>
      </c>
      <c r="AJ10" s="31">
        <f>-Financeability!AJ25</f>
        <v>-1584.3917298084809</v>
      </c>
      <c r="AK10" s="31">
        <f>-Financeability!AK25</f>
        <v>-1568.4830306690064</v>
      </c>
      <c r="AL10" s="31">
        <f>-Financeability!AL25</f>
        <v>-1550.717412300665</v>
      </c>
      <c r="AM10" s="31">
        <f>-Financeability!AM25</f>
        <v>-1532.8668824943366</v>
      </c>
      <c r="AN10" s="31">
        <f>-Financeability!AN25</f>
        <v>-1514.7624501696828</v>
      </c>
      <c r="AO10" s="31">
        <f>-Financeability!AO25</f>
        <v>-1495.9156837677265</v>
      </c>
      <c r="AP10" s="31">
        <f>-Financeability!AP25</f>
        <v>-1476.7098411015336</v>
      </c>
      <c r="AQ10" s="31">
        <f>-Financeability!AQ25</f>
        <v>-1456.4662031537589</v>
      </c>
      <c r="AR10" s="31">
        <f>-Financeability!AR25</f>
        <v>-1437.0738863782353</v>
      </c>
      <c r="AS10" s="31">
        <f>-Financeability!AS25</f>
        <v>-1419.6089798641653</v>
      </c>
      <c r="AT10" s="31">
        <f>-Financeability!AT25</f>
        <v>-1402.6668076963003</v>
      </c>
      <c r="AU10" s="31">
        <f>-Financeability!AU25</f>
        <v>-1386.4705469912435</v>
      </c>
      <c r="AV10" s="31">
        <f>-Financeability!AV25</f>
        <v>-1372.7147288314943</v>
      </c>
      <c r="AW10" s="31">
        <f>-Financeability!AW25</f>
        <v>-1362.3942734909804</v>
      </c>
      <c r="AX10" s="31">
        <f>-Financeability!AX25</f>
        <v>-1356.9273780000301</v>
      </c>
    </row>
    <row r="11" spans="1:51">
      <c r="A11" s="28" t="s">
        <v>64</v>
      </c>
      <c r="B11" s="31"/>
      <c r="C11" s="31"/>
      <c r="D11" s="31"/>
      <c r="E11" s="31"/>
      <c r="F11" s="65"/>
      <c r="G11" s="75"/>
      <c r="H11" s="75"/>
      <c r="I11" s="31"/>
      <c r="J11" s="31"/>
      <c r="K11" s="31"/>
      <c r="L11" s="31"/>
      <c r="M11" s="31"/>
      <c r="N11" s="31"/>
      <c r="O11" s="31"/>
      <c r="P11" s="31">
        <f t="shared" ref="P11:U11" si="0">-P80</f>
        <v>-3040.1424317492742</v>
      </c>
      <c r="Q11" s="31">
        <f t="shared" si="0"/>
        <v>-3114.0342809842082</v>
      </c>
      <c r="R11" s="31">
        <f t="shared" si="0"/>
        <v>-3262.3741594541939</v>
      </c>
      <c r="S11" s="31">
        <f t="shared" si="0"/>
        <v>-3487.4971108046248</v>
      </c>
      <c r="T11" s="31">
        <f t="shared" si="0"/>
        <v>-3537.1942907740799</v>
      </c>
      <c r="U11" s="31">
        <f t="shared" si="0"/>
        <v>-3642.7247020781756</v>
      </c>
      <c r="V11" s="31">
        <f t="shared" ref="V11:AX11" si="1">-V80</f>
        <v>-3508.0435563644405</v>
      </c>
      <c r="W11" s="31">
        <f t="shared" si="1"/>
        <v>-3363.6201847786315</v>
      </c>
      <c r="X11" s="31">
        <f t="shared" si="1"/>
        <v>-3227.4182694769866</v>
      </c>
      <c r="Y11" s="31">
        <f t="shared" si="1"/>
        <v>-3098.2528865543363</v>
      </c>
      <c r="Z11" s="31">
        <f t="shared" si="1"/>
        <v>-2979.8441979895088</v>
      </c>
      <c r="AA11" s="31">
        <f t="shared" si="1"/>
        <v>-2871.8420963731223</v>
      </c>
      <c r="AB11" s="31">
        <f t="shared" si="1"/>
        <v>-2774.0464107438052</v>
      </c>
      <c r="AC11" s="31">
        <f t="shared" si="1"/>
        <v>-2692.2416653730747</v>
      </c>
      <c r="AD11" s="31">
        <f t="shared" si="1"/>
        <v>-2624.2374503700748</v>
      </c>
      <c r="AE11" s="31">
        <f t="shared" si="1"/>
        <v>-2565.9282004515258</v>
      </c>
      <c r="AF11" s="31">
        <f t="shared" si="1"/>
        <v>-2551.0901994281621</v>
      </c>
      <c r="AG11" s="31">
        <f t="shared" si="1"/>
        <v>-2498.1867194258098</v>
      </c>
      <c r="AH11" s="31">
        <f t="shared" si="1"/>
        <v>-2457.1353325988271</v>
      </c>
      <c r="AI11" s="31">
        <f t="shared" si="1"/>
        <v>-2413.1529117451209</v>
      </c>
      <c r="AJ11" s="31">
        <f t="shared" si="1"/>
        <v>-2371.9863306734092</v>
      </c>
      <c r="AK11" s="31">
        <f t="shared" si="1"/>
        <v>-2332.1350419068481</v>
      </c>
      <c r="AL11" s="31">
        <f t="shared" si="1"/>
        <v>-2294.5861369901049</v>
      </c>
      <c r="AM11" s="31">
        <f t="shared" si="1"/>
        <v>-2265.7765718927512</v>
      </c>
      <c r="AN11" s="31">
        <f t="shared" si="1"/>
        <v>-2236.5584303637652</v>
      </c>
      <c r="AO11" s="31">
        <f t="shared" si="1"/>
        <v>-2213.0494617240283</v>
      </c>
      <c r="AP11" s="31">
        <f t="shared" si="1"/>
        <v>-2188.2031583828793</v>
      </c>
      <c r="AQ11" s="31">
        <f t="shared" si="1"/>
        <v>-2162.116510588266</v>
      </c>
      <c r="AR11" s="31">
        <f t="shared" si="1"/>
        <v>-2143.5336146785485</v>
      </c>
      <c r="AS11" s="31">
        <f t="shared" si="1"/>
        <v>-2128.3126781212186</v>
      </c>
      <c r="AT11" s="31">
        <f t="shared" si="1"/>
        <v>-2111.5583609004725</v>
      </c>
      <c r="AU11" s="31">
        <f t="shared" si="1"/>
        <v>-2096.914164228373</v>
      </c>
      <c r="AV11" s="31">
        <f t="shared" si="1"/>
        <v>-2087.8565755301615</v>
      </c>
      <c r="AW11" s="31">
        <f t="shared" si="1"/>
        <v>-2084.2602742806039</v>
      </c>
      <c r="AX11" s="31">
        <f t="shared" si="1"/>
        <v>-2088.6409132648068</v>
      </c>
    </row>
    <row r="12" spans="1:51">
      <c r="A12" s="28" t="s">
        <v>65</v>
      </c>
      <c r="B12" s="31"/>
      <c r="C12" s="31"/>
      <c r="D12" s="31"/>
      <c r="E12" s="31"/>
      <c r="F12" s="65"/>
      <c r="G12" s="75"/>
      <c r="H12" s="75"/>
      <c r="I12" s="75"/>
      <c r="J12" s="75"/>
      <c r="K12" s="31"/>
      <c r="L12" s="31"/>
      <c r="M12" s="31"/>
      <c r="N12" s="31"/>
      <c r="O12" s="31"/>
      <c r="P12" s="31">
        <f t="shared" ref="P12:U12" si="2">SUM(P8:P11)</f>
        <v>-153.3187621904267</v>
      </c>
      <c r="Q12" s="31">
        <f t="shared" si="2"/>
        <v>-366.91914404901172</v>
      </c>
      <c r="R12" s="31">
        <f t="shared" si="2"/>
        <v>-344.15083782360898</v>
      </c>
      <c r="S12" s="31">
        <f t="shared" si="2"/>
        <v>-466.70751966663283</v>
      </c>
      <c r="T12" s="31">
        <f t="shared" si="2"/>
        <v>-409.38277174017048</v>
      </c>
      <c r="U12" s="31">
        <f t="shared" si="2"/>
        <v>-467.79389960545677</v>
      </c>
      <c r="V12" s="31">
        <f t="shared" ref="V12:AX12" si="3">SUM(V8:V11)</f>
        <v>-62.616198641743722</v>
      </c>
      <c r="W12" s="31">
        <f t="shared" si="3"/>
        <v>295.34853855816255</v>
      </c>
      <c r="X12" s="31">
        <f t="shared" si="3"/>
        <v>577.86494356781759</v>
      </c>
      <c r="Y12" s="31">
        <f t="shared" si="3"/>
        <v>810.73324489499737</v>
      </c>
      <c r="Z12" s="31">
        <f t="shared" si="3"/>
        <v>970.96816396804525</v>
      </c>
      <c r="AA12" s="31">
        <f t="shared" si="3"/>
        <v>1127.1126610904321</v>
      </c>
      <c r="AB12" s="31">
        <f t="shared" si="3"/>
        <v>1257.8478382580965</v>
      </c>
      <c r="AC12" s="31">
        <f t="shared" si="3"/>
        <v>1375.445315063072</v>
      </c>
      <c r="AD12" s="31">
        <f t="shared" si="3"/>
        <v>1457.6209795713976</v>
      </c>
      <c r="AE12" s="31">
        <f t="shared" si="3"/>
        <v>1570.5619933872335</v>
      </c>
      <c r="AF12" s="31">
        <f t="shared" si="3"/>
        <v>1686.2938564823608</v>
      </c>
      <c r="AG12" s="31">
        <f t="shared" si="3"/>
        <v>1853.3933838774151</v>
      </c>
      <c r="AH12" s="31">
        <f t="shared" si="3"/>
        <v>1986.0127000486432</v>
      </c>
      <c r="AI12" s="31">
        <f t="shared" si="3"/>
        <v>2111.0451304556791</v>
      </c>
      <c r="AJ12" s="31">
        <f t="shared" si="3"/>
        <v>2192.2224337345592</v>
      </c>
      <c r="AK12" s="31">
        <f t="shared" si="3"/>
        <v>2293.6989357998268</v>
      </c>
      <c r="AL12" s="31">
        <f t="shared" si="3"/>
        <v>2367.7586843933268</v>
      </c>
      <c r="AM12" s="31">
        <f t="shared" si="3"/>
        <v>2442.7386931151505</v>
      </c>
      <c r="AN12" s="31">
        <f t="shared" si="3"/>
        <v>2485.6222500940394</v>
      </c>
      <c r="AO12" s="31">
        <f t="shared" si="3"/>
        <v>2549.8005736174055</v>
      </c>
      <c r="AP12" s="31">
        <f t="shared" si="3"/>
        <v>2541.9005945118333</v>
      </c>
      <c r="AQ12" s="31">
        <f t="shared" si="3"/>
        <v>2541.7408168877541</v>
      </c>
      <c r="AR12" s="31">
        <f t="shared" si="3"/>
        <v>2522.5882211118878</v>
      </c>
      <c r="AS12" s="31">
        <f t="shared" si="3"/>
        <v>2514.046451113978</v>
      </c>
      <c r="AT12" s="31">
        <f t="shared" si="3"/>
        <v>2464.1456478522268</v>
      </c>
      <c r="AU12" s="31">
        <f t="shared" si="3"/>
        <v>2415.6593435743089</v>
      </c>
      <c r="AV12" s="31">
        <f t="shared" si="3"/>
        <v>2346.8402800298372</v>
      </c>
      <c r="AW12" s="31">
        <f t="shared" si="3"/>
        <v>2279.8311223546625</v>
      </c>
      <c r="AX12" s="31">
        <f t="shared" si="3"/>
        <v>2142.9621373293685</v>
      </c>
    </row>
    <row r="13" spans="1:51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</row>
    <row r="14" spans="1:51">
      <c r="A14" s="28" t="s">
        <v>190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>
        <f>+Inputs!P100</f>
        <v>5000</v>
      </c>
      <c r="Q14" s="31">
        <f>+P14</f>
        <v>5000</v>
      </c>
      <c r="R14" s="31">
        <f t="shared" ref="R14:AX14" si="4">+Q14</f>
        <v>5000</v>
      </c>
      <c r="S14" s="31">
        <f t="shared" si="4"/>
        <v>5000</v>
      </c>
      <c r="T14" s="31">
        <f t="shared" si="4"/>
        <v>5000</v>
      </c>
      <c r="U14" s="31">
        <f t="shared" si="4"/>
        <v>5000</v>
      </c>
      <c r="V14" s="31">
        <f t="shared" si="4"/>
        <v>5000</v>
      </c>
      <c r="W14" s="31">
        <f t="shared" si="4"/>
        <v>5000</v>
      </c>
      <c r="X14" s="31">
        <f t="shared" si="4"/>
        <v>5000</v>
      </c>
      <c r="Y14" s="31">
        <f t="shared" si="4"/>
        <v>5000</v>
      </c>
      <c r="Z14" s="31">
        <f t="shared" si="4"/>
        <v>5000</v>
      </c>
      <c r="AA14" s="31">
        <f t="shared" si="4"/>
        <v>5000</v>
      </c>
      <c r="AB14" s="31">
        <f t="shared" si="4"/>
        <v>5000</v>
      </c>
      <c r="AC14" s="31">
        <f t="shared" si="4"/>
        <v>5000</v>
      </c>
      <c r="AD14" s="31">
        <f t="shared" si="4"/>
        <v>5000</v>
      </c>
      <c r="AE14" s="31">
        <f t="shared" si="4"/>
        <v>5000</v>
      </c>
      <c r="AF14" s="31">
        <f t="shared" si="4"/>
        <v>5000</v>
      </c>
      <c r="AG14" s="31">
        <f t="shared" si="4"/>
        <v>5000</v>
      </c>
      <c r="AH14" s="31">
        <f t="shared" si="4"/>
        <v>5000</v>
      </c>
      <c r="AI14" s="31">
        <f t="shared" si="4"/>
        <v>5000</v>
      </c>
      <c r="AJ14" s="31">
        <f t="shared" si="4"/>
        <v>5000</v>
      </c>
      <c r="AK14" s="31">
        <f t="shared" si="4"/>
        <v>5000</v>
      </c>
      <c r="AL14" s="31">
        <f t="shared" si="4"/>
        <v>5000</v>
      </c>
      <c r="AM14" s="31">
        <f t="shared" si="4"/>
        <v>5000</v>
      </c>
      <c r="AN14" s="31">
        <f t="shared" si="4"/>
        <v>5000</v>
      </c>
      <c r="AO14" s="31">
        <f t="shared" si="4"/>
        <v>5000</v>
      </c>
      <c r="AP14" s="31">
        <f t="shared" si="4"/>
        <v>5000</v>
      </c>
      <c r="AQ14" s="31">
        <f t="shared" si="4"/>
        <v>5000</v>
      </c>
      <c r="AR14" s="31">
        <f t="shared" si="4"/>
        <v>5000</v>
      </c>
      <c r="AS14" s="31">
        <f t="shared" si="4"/>
        <v>5000</v>
      </c>
      <c r="AT14" s="31">
        <f t="shared" si="4"/>
        <v>5000</v>
      </c>
      <c r="AU14" s="31">
        <f t="shared" si="4"/>
        <v>5000</v>
      </c>
      <c r="AV14" s="31">
        <f t="shared" si="4"/>
        <v>5000</v>
      </c>
      <c r="AW14" s="31">
        <f t="shared" si="4"/>
        <v>5000</v>
      </c>
      <c r="AX14" s="31">
        <f t="shared" si="4"/>
        <v>5000</v>
      </c>
    </row>
    <row r="15" spans="1:51">
      <c r="A15" s="28" t="s">
        <v>191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>
        <f>IF(P19&gt;=0,0,IF(P12&lt;0,0,IF(P12-P14&lt;0,0,(P12-P14)*50%)))</f>
        <v>0</v>
      </c>
      <c r="Q15" s="31">
        <f t="shared" ref="Q15:AX15" si="5">IF(Q19&gt;=0,0,IF(Q12&lt;0,0,IF(Q12-Q14&lt;0,0,(Q12-Q14)*50%)))</f>
        <v>0</v>
      </c>
      <c r="R15" s="31">
        <f t="shared" si="5"/>
        <v>0</v>
      </c>
      <c r="S15" s="31">
        <f t="shared" si="5"/>
        <v>0</v>
      </c>
      <c r="T15" s="31">
        <f t="shared" si="5"/>
        <v>0</v>
      </c>
      <c r="U15" s="31">
        <f t="shared" si="5"/>
        <v>0</v>
      </c>
      <c r="V15" s="31">
        <f t="shared" si="5"/>
        <v>0</v>
      </c>
      <c r="W15" s="31">
        <f t="shared" si="5"/>
        <v>0</v>
      </c>
      <c r="X15" s="31">
        <f t="shared" si="5"/>
        <v>0</v>
      </c>
      <c r="Y15" s="31">
        <f t="shared" si="5"/>
        <v>0</v>
      </c>
      <c r="Z15" s="31">
        <f t="shared" si="5"/>
        <v>0</v>
      </c>
      <c r="AA15" s="31">
        <f t="shared" si="5"/>
        <v>0</v>
      </c>
      <c r="AB15" s="31">
        <f t="shared" si="5"/>
        <v>0</v>
      </c>
      <c r="AC15" s="31">
        <f t="shared" si="5"/>
        <v>0</v>
      </c>
      <c r="AD15" s="31">
        <f t="shared" si="5"/>
        <v>0</v>
      </c>
      <c r="AE15" s="31">
        <f t="shared" si="5"/>
        <v>0</v>
      </c>
      <c r="AF15" s="31">
        <f t="shared" si="5"/>
        <v>0</v>
      </c>
      <c r="AG15" s="31">
        <f t="shared" si="5"/>
        <v>0</v>
      </c>
      <c r="AH15" s="31">
        <f t="shared" si="5"/>
        <v>0</v>
      </c>
      <c r="AI15" s="31">
        <f t="shared" si="5"/>
        <v>0</v>
      </c>
      <c r="AJ15" s="31">
        <f t="shared" si="5"/>
        <v>0</v>
      </c>
      <c r="AK15" s="31">
        <f t="shared" si="5"/>
        <v>0</v>
      </c>
      <c r="AL15" s="31">
        <f t="shared" si="5"/>
        <v>0</v>
      </c>
      <c r="AM15" s="31">
        <f t="shared" si="5"/>
        <v>0</v>
      </c>
      <c r="AN15" s="31">
        <f t="shared" si="5"/>
        <v>0</v>
      </c>
      <c r="AO15" s="31">
        <f t="shared" si="5"/>
        <v>0</v>
      </c>
      <c r="AP15" s="31">
        <f t="shared" si="5"/>
        <v>0</v>
      </c>
      <c r="AQ15" s="31">
        <f t="shared" si="5"/>
        <v>0</v>
      </c>
      <c r="AR15" s="31">
        <f t="shared" si="5"/>
        <v>0</v>
      </c>
      <c r="AS15" s="31">
        <f t="shared" si="5"/>
        <v>0</v>
      </c>
      <c r="AT15" s="31">
        <f t="shared" si="5"/>
        <v>0</v>
      </c>
      <c r="AU15" s="31">
        <f t="shared" si="5"/>
        <v>0</v>
      </c>
      <c r="AV15" s="31">
        <f t="shared" si="5"/>
        <v>0</v>
      </c>
      <c r="AW15" s="31">
        <f t="shared" si="5"/>
        <v>0</v>
      </c>
      <c r="AX15" s="31">
        <f t="shared" si="5"/>
        <v>0</v>
      </c>
    </row>
    <row r="16" spans="1:51">
      <c r="A16" s="28" t="s">
        <v>192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>
        <f>IF(P19&gt;=0,0,IF(P12&lt;0,0,IF(P12-P14&lt;0,P12,SUM(P14:P15))))</f>
        <v>0</v>
      </c>
      <c r="Q16" s="31">
        <f t="shared" ref="Q16:AX16" si="6">IF(Q19&gt;=0,0,IF(Q12&lt;0,0,IF(Q12-Q14&lt;0,Q12,SUM(Q14:Q15))))</f>
        <v>0</v>
      </c>
      <c r="R16" s="31">
        <f t="shared" si="6"/>
        <v>0</v>
      </c>
      <c r="S16" s="31">
        <f t="shared" si="6"/>
        <v>0</v>
      </c>
      <c r="T16" s="31">
        <f t="shared" si="6"/>
        <v>0</v>
      </c>
      <c r="U16" s="31">
        <f t="shared" si="6"/>
        <v>0</v>
      </c>
      <c r="V16" s="31">
        <f t="shared" si="6"/>
        <v>0</v>
      </c>
      <c r="W16" s="31">
        <f t="shared" si="6"/>
        <v>295.34853855816255</v>
      </c>
      <c r="X16" s="31">
        <f t="shared" si="6"/>
        <v>577.86494356781759</v>
      </c>
      <c r="Y16" s="31">
        <f t="shared" si="6"/>
        <v>810.73324489499737</v>
      </c>
      <c r="Z16" s="31">
        <f t="shared" si="6"/>
        <v>970.96816396804525</v>
      </c>
      <c r="AA16" s="31">
        <f t="shared" si="6"/>
        <v>1127.1126610904321</v>
      </c>
      <c r="AB16" s="31">
        <f t="shared" si="6"/>
        <v>1257.8478382580965</v>
      </c>
      <c r="AC16" s="31">
        <f t="shared" si="6"/>
        <v>0</v>
      </c>
      <c r="AD16" s="31">
        <f t="shared" si="6"/>
        <v>0</v>
      </c>
      <c r="AE16" s="31">
        <f t="shared" si="6"/>
        <v>0</v>
      </c>
      <c r="AF16" s="31">
        <f t="shared" si="6"/>
        <v>0</v>
      </c>
      <c r="AG16" s="31">
        <f t="shared" si="6"/>
        <v>0</v>
      </c>
      <c r="AH16" s="31">
        <f t="shared" si="6"/>
        <v>0</v>
      </c>
      <c r="AI16" s="31">
        <f t="shared" si="6"/>
        <v>0</v>
      </c>
      <c r="AJ16" s="31">
        <f t="shared" si="6"/>
        <v>0</v>
      </c>
      <c r="AK16" s="31">
        <f t="shared" si="6"/>
        <v>0</v>
      </c>
      <c r="AL16" s="31">
        <f t="shared" si="6"/>
        <v>0</v>
      </c>
      <c r="AM16" s="31">
        <f t="shared" si="6"/>
        <v>0</v>
      </c>
      <c r="AN16" s="31">
        <f t="shared" si="6"/>
        <v>0</v>
      </c>
      <c r="AO16" s="31">
        <f t="shared" si="6"/>
        <v>0</v>
      </c>
      <c r="AP16" s="31">
        <f t="shared" si="6"/>
        <v>0</v>
      </c>
      <c r="AQ16" s="31">
        <f t="shared" si="6"/>
        <v>0</v>
      </c>
      <c r="AR16" s="31">
        <f t="shared" si="6"/>
        <v>0</v>
      </c>
      <c r="AS16" s="31">
        <f t="shared" si="6"/>
        <v>0</v>
      </c>
      <c r="AT16" s="31">
        <f t="shared" si="6"/>
        <v>0</v>
      </c>
      <c r="AU16" s="31">
        <f t="shared" si="6"/>
        <v>0</v>
      </c>
      <c r="AV16" s="31">
        <f t="shared" si="6"/>
        <v>0</v>
      </c>
      <c r="AW16" s="31">
        <f t="shared" si="6"/>
        <v>0</v>
      </c>
      <c r="AX16" s="31">
        <f t="shared" si="6"/>
        <v>0</v>
      </c>
      <c r="AY16" s="31"/>
    </row>
    <row r="17" spans="1:50">
      <c r="B17" s="31"/>
      <c r="C17" s="31"/>
      <c r="D17" s="31"/>
      <c r="E17" s="31"/>
      <c r="F17" s="65"/>
      <c r="G17" s="75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</row>
    <row r="18" spans="1:50">
      <c r="A18" s="1" t="s">
        <v>26</v>
      </c>
      <c r="B18" s="71"/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</row>
    <row r="19" spans="1:50">
      <c r="A19" s="1" t="s">
        <v>85</v>
      </c>
      <c r="B19" s="71"/>
      <c r="C19" s="7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31"/>
      <c r="O19" s="31"/>
      <c r="P19" s="31">
        <f>Inputs!N97*P6</f>
        <v>-1621.4657295867767</v>
      </c>
      <c r="Q19" s="31">
        <f>IF(P22&lt;0,P22,0)</f>
        <v>-1774.7844917772034</v>
      </c>
      <c r="R19" s="31">
        <f t="shared" ref="R19:AX19" si="7">IF(Q22&lt;0,Q22,0)</f>
        <v>-2141.7036358262148</v>
      </c>
      <c r="S19" s="31">
        <f t="shared" si="7"/>
        <v>-2485.8544736498238</v>
      </c>
      <c r="T19" s="31">
        <f t="shared" si="7"/>
        <v>-2952.5619933164567</v>
      </c>
      <c r="U19" s="31">
        <f t="shared" si="7"/>
        <v>-3361.9447650566271</v>
      </c>
      <c r="V19" s="31">
        <f t="shared" si="7"/>
        <v>-3829.7386646620839</v>
      </c>
      <c r="W19" s="31">
        <f t="shared" si="7"/>
        <v>-3892.3548633038276</v>
      </c>
      <c r="X19" s="31">
        <f t="shared" si="7"/>
        <v>-3597.0063247456651</v>
      </c>
      <c r="Y19" s="31">
        <f t="shared" si="7"/>
        <v>-3019.1413811778475</v>
      </c>
      <c r="Z19" s="31">
        <f t="shared" si="7"/>
        <v>-2208.4081362828501</v>
      </c>
      <c r="AA19" s="31">
        <f t="shared" si="7"/>
        <v>-1237.4399723148049</v>
      </c>
      <c r="AB19" s="31">
        <f t="shared" si="7"/>
        <v>-110.32731122437281</v>
      </c>
      <c r="AC19" s="31">
        <f t="shared" si="7"/>
        <v>0</v>
      </c>
      <c r="AD19" s="31">
        <f t="shared" si="7"/>
        <v>0</v>
      </c>
      <c r="AE19" s="31">
        <f t="shared" si="7"/>
        <v>0</v>
      </c>
      <c r="AF19" s="31">
        <f t="shared" si="7"/>
        <v>0</v>
      </c>
      <c r="AG19" s="31">
        <f t="shared" si="7"/>
        <v>0</v>
      </c>
      <c r="AH19" s="31">
        <f t="shared" si="7"/>
        <v>0</v>
      </c>
      <c r="AI19" s="31">
        <f t="shared" si="7"/>
        <v>0</v>
      </c>
      <c r="AJ19" s="31">
        <f t="shared" si="7"/>
        <v>0</v>
      </c>
      <c r="AK19" s="31">
        <f t="shared" si="7"/>
        <v>0</v>
      </c>
      <c r="AL19" s="31">
        <f t="shared" si="7"/>
        <v>0</v>
      </c>
      <c r="AM19" s="31">
        <f t="shared" si="7"/>
        <v>0</v>
      </c>
      <c r="AN19" s="31">
        <f t="shared" si="7"/>
        <v>0</v>
      </c>
      <c r="AO19" s="31">
        <f t="shared" si="7"/>
        <v>0</v>
      </c>
      <c r="AP19" s="31">
        <f t="shared" si="7"/>
        <v>0</v>
      </c>
      <c r="AQ19" s="31">
        <f t="shared" si="7"/>
        <v>0</v>
      </c>
      <c r="AR19" s="31">
        <f t="shared" si="7"/>
        <v>0</v>
      </c>
      <c r="AS19" s="31">
        <f t="shared" si="7"/>
        <v>0</v>
      </c>
      <c r="AT19" s="31">
        <f t="shared" si="7"/>
        <v>0</v>
      </c>
      <c r="AU19" s="31">
        <f t="shared" si="7"/>
        <v>0</v>
      </c>
      <c r="AV19" s="31">
        <f t="shared" si="7"/>
        <v>0</v>
      </c>
      <c r="AW19" s="31">
        <f t="shared" si="7"/>
        <v>0</v>
      </c>
      <c r="AX19" s="31">
        <f t="shared" si="7"/>
        <v>0</v>
      </c>
    </row>
    <row r="20" spans="1:50">
      <c r="A20" s="1" t="s">
        <v>86</v>
      </c>
      <c r="B20" s="71"/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31"/>
      <c r="O20" s="31"/>
      <c r="P20" s="31">
        <f>IF((P19*-1)&lt;P16,P19*-1,P16)</f>
        <v>0</v>
      </c>
      <c r="Q20" s="31">
        <f t="shared" ref="Q20:AX20" si="8">IF((Q19*-1)&lt;Q16,Q19*-1,Q16)</f>
        <v>0</v>
      </c>
      <c r="R20" s="31">
        <f t="shared" si="8"/>
        <v>0</v>
      </c>
      <c r="S20" s="31">
        <f t="shared" si="8"/>
        <v>0</v>
      </c>
      <c r="T20" s="31">
        <f t="shared" si="8"/>
        <v>0</v>
      </c>
      <c r="U20" s="31">
        <f t="shared" si="8"/>
        <v>0</v>
      </c>
      <c r="V20" s="31">
        <f t="shared" si="8"/>
        <v>0</v>
      </c>
      <c r="W20" s="31">
        <f t="shared" si="8"/>
        <v>295.34853855816255</v>
      </c>
      <c r="X20" s="31">
        <f t="shared" si="8"/>
        <v>577.86494356781759</v>
      </c>
      <c r="Y20" s="31">
        <f t="shared" si="8"/>
        <v>810.73324489499737</v>
      </c>
      <c r="Z20" s="31">
        <f t="shared" si="8"/>
        <v>970.96816396804525</v>
      </c>
      <c r="AA20" s="31">
        <f t="shared" si="8"/>
        <v>1127.1126610904321</v>
      </c>
      <c r="AB20" s="31">
        <f t="shared" si="8"/>
        <v>110.32731122437281</v>
      </c>
      <c r="AC20" s="31">
        <f t="shared" si="8"/>
        <v>0</v>
      </c>
      <c r="AD20" s="31">
        <f t="shared" si="8"/>
        <v>0</v>
      </c>
      <c r="AE20" s="31">
        <f t="shared" si="8"/>
        <v>0</v>
      </c>
      <c r="AF20" s="31">
        <f t="shared" si="8"/>
        <v>0</v>
      </c>
      <c r="AG20" s="31">
        <f t="shared" si="8"/>
        <v>0</v>
      </c>
      <c r="AH20" s="31">
        <f t="shared" si="8"/>
        <v>0</v>
      </c>
      <c r="AI20" s="31">
        <f t="shared" si="8"/>
        <v>0</v>
      </c>
      <c r="AJ20" s="31">
        <f t="shared" si="8"/>
        <v>0</v>
      </c>
      <c r="AK20" s="31">
        <f t="shared" si="8"/>
        <v>0</v>
      </c>
      <c r="AL20" s="31">
        <f t="shared" si="8"/>
        <v>0</v>
      </c>
      <c r="AM20" s="31">
        <f t="shared" si="8"/>
        <v>0</v>
      </c>
      <c r="AN20" s="31">
        <f t="shared" si="8"/>
        <v>0</v>
      </c>
      <c r="AO20" s="31">
        <f t="shared" si="8"/>
        <v>0</v>
      </c>
      <c r="AP20" s="31">
        <f t="shared" si="8"/>
        <v>0</v>
      </c>
      <c r="AQ20" s="31">
        <f t="shared" si="8"/>
        <v>0</v>
      </c>
      <c r="AR20" s="31">
        <f t="shared" si="8"/>
        <v>0</v>
      </c>
      <c r="AS20" s="31">
        <f t="shared" si="8"/>
        <v>0</v>
      </c>
      <c r="AT20" s="31">
        <f t="shared" si="8"/>
        <v>0</v>
      </c>
      <c r="AU20" s="31">
        <f t="shared" si="8"/>
        <v>0</v>
      </c>
      <c r="AV20" s="31">
        <f t="shared" si="8"/>
        <v>0</v>
      </c>
      <c r="AW20" s="31">
        <f t="shared" si="8"/>
        <v>0</v>
      </c>
      <c r="AX20" s="31">
        <f t="shared" si="8"/>
        <v>0</v>
      </c>
    </row>
    <row r="21" spans="1:50">
      <c r="A21" s="1" t="s">
        <v>193</v>
      </c>
      <c r="B21" s="71"/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31"/>
      <c r="O21" s="31"/>
      <c r="P21" s="31">
        <f>IF(P12&gt;0,0,P12)</f>
        <v>-153.3187621904267</v>
      </c>
      <c r="Q21" s="31">
        <f t="shared" ref="Q21:AX21" si="9">IF(Q12&gt;0,0,Q12)</f>
        <v>-366.91914404901172</v>
      </c>
      <c r="R21" s="31">
        <f t="shared" si="9"/>
        <v>-344.15083782360898</v>
      </c>
      <c r="S21" s="31">
        <f t="shared" si="9"/>
        <v>-466.70751966663283</v>
      </c>
      <c r="T21" s="31">
        <f t="shared" si="9"/>
        <v>-409.38277174017048</v>
      </c>
      <c r="U21" s="31">
        <f t="shared" si="9"/>
        <v>-467.79389960545677</v>
      </c>
      <c r="V21" s="31">
        <f t="shared" si="9"/>
        <v>-62.616198641743722</v>
      </c>
      <c r="W21" s="31">
        <f t="shared" si="9"/>
        <v>0</v>
      </c>
      <c r="X21" s="31">
        <f t="shared" si="9"/>
        <v>0</v>
      </c>
      <c r="Y21" s="31">
        <f t="shared" si="9"/>
        <v>0</v>
      </c>
      <c r="Z21" s="31">
        <f t="shared" si="9"/>
        <v>0</v>
      </c>
      <c r="AA21" s="31">
        <f t="shared" si="9"/>
        <v>0</v>
      </c>
      <c r="AB21" s="31">
        <f t="shared" si="9"/>
        <v>0</v>
      </c>
      <c r="AC21" s="31">
        <f t="shared" si="9"/>
        <v>0</v>
      </c>
      <c r="AD21" s="31">
        <f t="shared" si="9"/>
        <v>0</v>
      </c>
      <c r="AE21" s="31">
        <f t="shared" si="9"/>
        <v>0</v>
      </c>
      <c r="AF21" s="31">
        <f t="shared" si="9"/>
        <v>0</v>
      </c>
      <c r="AG21" s="31">
        <f t="shared" si="9"/>
        <v>0</v>
      </c>
      <c r="AH21" s="31">
        <f t="shared" si="9"/>
        <v>0</v>
      </c>
      <c r="AI21" s="31">
        <f t="shared" si="9"/>
        <v>0</v>
      </c>
      <c r="AJ21" s="31">
        <f t="shared" si="9"/>
        <v>0</v>
      </c>
      <c r="AK21" s="31">
        <f t="shared" si="9"/>
        <v>0</v>
      </c>
      <c r="AL21" s="31">
        <f t="shared" si="9"/>
        <v>0</v>
      </c>
      <c r="AM21" s="31">
        <f t="shared" si="9"/>
        <v>0</v>
      </c>
      <c r="AN21" s="31">
        <f t="shared" si="9"/>
        <v>0</v>
      </c>
      <c r="AO21" s="31">
        <f t="shared" si="9"/>
        <v>0</v>
      </c>
      <c r="AP21" s="31">
        <f t="shared" si="9"/>
        <v>0</v>
      </c>
      <c r="AQ21" s="31">
        <f t="shared" si="9"/>
        <v>0</v>
      </c>
      <c r="AR21" s="31">
        <f t="shared" si="9"/>
        <v>0</v>
      </c>
      <c r="AS21" s="31">
        <f t="shared" si="9"/>
        <v>0</v>
      </c>
      <c r="AT21" s="31">
        <f t="shared" si="9"/>
        <v>0</v>
      </c>
      <c r="AU21" s="31">
        <f t="shared" si="9"/>
        <v>0</v>
      </c>
      <c r="AV21" s="31">
        <f t="shared" si="9"/>
        <v>0</v>
      </c>
      <c r="AW21" s="31">
        <f t="shared" si="9"/>
        <v>0</v>
      </c>
      <c r="AX21" s="31">
        <f t="shared" si="9"/>
        <v>0</v>
      </c>
    </row>
    <row r="22" spans="1:50">
      <c r="A22" s="1" t="s">
        <v>87</v>
      </c>
      <c r="B22" s="71"/>
      <c r="C22" s="71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31"/>
      <c r="O22" s="31"/>
      <c r="P22" s="31">
        <f>P19+P20+P21</f>
        <v>-1774.7844917772034</v>
      </c>
      <c r="Q22" s="31">
        <f t="shared" ref="Q22:AX22" si="10">Q19+Q20+Q21</f>
        <v>-2141.7036358262148</v>
      </c>
      <c r="R22" s="31">
        <f t="shared" si="10"/>
        <v>-2485.8544736498238</v>
      </c>
      <c r="S22" s="31">
        <f t="shared" si="10"/>
        <v>-2952.5619933164567</v>
      </c>
      <c r="T22" s="31">
        <f t="shared" si="10"/>
        <v>-3361.9447650566271</v>
      </c>
      <c r="U22" s="31">
        <f>U19+U20+U21</f>
        <v>-3829.7386646620839</v>
      </c>
      <c r="V22" s="31">
        <f t="shared" si="10"/>
        <v>-3892.3548633038276</v>
      </c>
      <c r="W22" s="31">
        <f t="shared" si="10"/>
        <v>-3597.0063247456651</v>
      </c>
      <c r="X22" s="31">
        <f t="shared" si="10"/>
        <v>-3019.1413811778475</v>
      </c>
      <c r="Y22" s="31">
        <f>Y19+Y20+Y21</f>
        <v>-2208.4081362828501</v>
      </c>
      <c r="Z22" s="31">
        <f t="shared" si="10"/>
        <v>-1237.4399723148049</v>
      </c>
      <c r="AA22" s="31">
        <f t="shared" si="10"/>
        <v>-110.32731122437281</v>
      </c>
      <c r="AB22" s="31">
        <f t="shared" si="10"/>
        <v>0</v>
      </c>
      <c r="AC22" s="31">
        <f t="shared" si="10"/>
        <v>0</v>
      </c>
      <c r="AD22" s="31">
        <f t="shared" si="10"/>
        <v>0</v>
      </c>
      <c r="AE22" s="31">
        <f t="shared" si="10"/>
        <v>0</v>
      </c>
      <c r="AF22" s="31">
        <f t="shared" si="10"/>
        <v>0</v>
      </c>
      <c r="AG22" s="31">
        <f t="shared" si="10"/>
        <v>0</v>
      </c>
      <c r="AH22" s="31">
        <f t="shared" si="10"/>
        <v>0</v>
      </c>
      <c r="AI22" s="31">
        <f t="shared" si="10"/>
        <v>0</v>
      </c>
      <c r="AJ22" s="31">
        <f t="shared" si="10"/>
        <v>0</v>
      </c>
      <c r="AK22" s="31">
        <f t="shared" si="10"/>
        <v>0</v>
      </c>
      <c r="AL22" s="31">
        <f t="shared" si="10"/>
        <v>0</v>
      </c>
      <c r="AM22" s="31">
        <f t="shared" si="10"/>
        <v>0</v>
      </c>
      <c r="AN22" s="31">
        <f t="shared" si="10"/>
        <v>0</v>
      </c>
      <c r="AO22" s="31">
        <f t="shared" si="10"/>
        <v>0</v>
      </c>
      <c r="AP22" s="31">
        <f t="shared" si="10"/>
        <v>0</v>
      </c>
      <c r="AQ22" s="31">
        <f t="shared" si="10"/>
        <v>0</v>
      </c>
      <c r="AR22" s="31">
        <f t="shared" si="10"/>
        <v>0</v>
      </c>
      <c r="AS22" s="31">
        <f t="shared" si="10"/>
        <v>0</v>
      </c>
      <c r="AT22" s="31">
        <f t="shared" si="10"/>
        <v>0</v>
      </c>
      <c r="AU22" s="31">
        <f t="shared" si="10"/>
        <v>0</v>
      </c>
      <c r="AV22" s="31">
        <f t="shared" si="10"/>
        <v>0</v>
      </c>
      <c r="AW22" s="31">
        <f t="shared" si="10"/>
        <v>0</v>
      </c>
      <c r="AX22" s="31">
        <f t="shared" si="10"/>
        <v>0</v>
      </c>
    </row>
    <row r="23" spans="1:50">
      <c r="A23" s="1"/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</row>
    <row r="24" spans="1:50">
      <c r="A24" s="1" t="s">
        <v>88</v>
      </c>
      <c r="B24" s="71"/>
      <c r="C24" s="7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31"/>
      <c r="O24" s="31"/>
      <c r="P24" s="31">
        <f t="shared" ref="P24:U24" si="11">IF(P12&lt;0,0,P12-P20)</f>
        <v>0</v>
      </c>
      <c r="Q24" s="31">
        <f t="shared" si="11"/>
        <v>0</v>
      </c>
      <c r="R24" s="31">
        <f t="shared" si="11"/>
        <v>0</v>
      </c>
      <c r="S24" s="31">
        <f t="shared" si="11"/>
        <v>0</v>
      </c>
      <c r="T24" s="31">
        <f t="shared" si="11"/>
        <v>0</v>
      </c>
      <c r="U24" s="31">
        <f t="shared" si="11"/>
        <v>0</v>
      </c>
      <c r="V24" s="31">
        <f>IF(V12&lt;0,0,IF(V12-V20&lt;0,0,V12-V20))</f>
        <v>0</v>
      </c>
      <c r="W24" s="31">
        <f t="shared" ref="W24:AX24" si="12">IF(W12&lt;0,0,IF(W12-W20&lt;0,0,W12-W20))</f>
        <v>0</v>
      </c>
      <c r="X24" s="31">
        <f t="shared" si="12"/>
        <v>0</v>
      </c>
      <c r="Y24" s="31">
        <f>IF(Y12&lt;0,0,IF(Y12-Y20&lt;0,0,Y12-Y20))</f>
        <v>0</v>
      </c>
      <c r="Z24" s="31">
        <f t="shared" si="12"/>
        <v>0</v>
      </c>
      <c r="AA24" s="31">
        <f t="shared" si="12"/>
        <v>0</v>
      </c>
      <c r="AB24" s="31">
        <f t="shared" si="12"/>
        <v>1147.5205270337237</v>
      </c>
      <c r="AC24" s="31">
        <f>IF(AC12&lt;0,0,IF(AC12-AC20&lt;0,0,AC12-AC20))</f>
        <v>1375.445315063072</v>
      </c>
      <c r="AD24" s="31">
        <f t="shared" si="12"/>
        <v>1457.6209795713976</v>
      </c>
      <c r="AE24" s="31">
        <f t="shared" si="12"/>
        <v>1570.5619933872335</v>
      </c>
      <c r="AF24" s="31">
        <f t="shared" si="12"/>
        <v>1686.2938564823608</v>
      </c>
      <c r="AG24" s="31">
        <f t="shared" si="12"/>
        <v>1853.3933838774151</v>
      </c>
      <c r="AH24" s="31">
        <f t="shared" si="12"/>
        <v>1986.0127000486432</v>
      </c>
      <c r="AI24" s="31">
        <f t="shared" si="12"/>
        <v>2111.0451304556791</v>
      </c>
      <c r="AJ24" s="31">
        <f t="shared" si="12"/>
        <v>2192.2224337345592</v>
      </c>
      <c r="AK24" s="31">
        <f t="shared" si="12"/>
        <v>2293.6989357998268</v>
      </c>
      <c r="AL24" s="31">
        <f t="shared" si="12"/>
        <v>2367.7586843933268</v>
      </c>
      <c r="AM24" s="31">
        <f t="shared" si="12"/>
        <v>2442.7386931151505</v>
      </c>
      <c r="AN24" s="31">
        <f t="shared" si="12"/>
        <v>2485.6222500940394</v>
      </c>
      <c r="AO24" s="31">
        <f t="shared" si="12"/>
        <v>2549.8005736174055</v>
      </c>
      <c r="AP24" s="31">
        <f t="shared" si="12"/>
        <v>2541.9005945118333</v>
      </c>
      <c r="AQ24" s="31">
        <f t="shared" si="12"/>
        <v>2541.7408168877541</v>
      </c>
      <c r="AR24" s="31">
        <f t="shared" si="12"/>
        <v>2522.5882211118878</v>
      </c>
      <c r="AS24" s="31">
        <f t="shared" si="12"/>
        <v>2514.046451113978</v>
      </c>
      <c r="AT24" s="31">
        <f t="shared" si="12"/>
        <v>2464.1456478522268</v>
      </c>
      <c r="AU24" s="31">
        <f t="shared" si="12"/>
        <v>2415.6593435743089</v>
      </c>
      <c r="AV24" s="31">
        <f t="shared" si="12"/>
        <v>2346.8402800298372</v>
      </c>
      <c r="AW24" s="31">
        <f t="shared" si="12"/>
        <v>2279.8311223546625</v>
      </c>
      <c r="AX24" s="31">
        <f t="shared" si="12"/>
        <v>2142.9621373293685</v>
      </c>
    </row>
    <row r="25" spans="1:50">
      <c r="A25" s="1" t="s">
        <v>24</v>
      </c>
      <c r="B25" s="71"/>
      <c r="C25" s="71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31"/>
      <c r="O25" s="31"/>
      <c r="P25" s="31">
        <f>P24*Inputs!P99</f>
        <v>0</v>
      </c>
      <c r="Q25" s="31">
        <f>Q24*Inputs!Q99</f>
        <v>0</v>
      </c>
      <c r="R25" s="31">
        <f>R24*Inputs!R99</f>
        <v>0</v>
      </c>
      <c r="S25" s="31">
        <f>S24*Inputs!S99</f>
        <v>0</v>
      </c>
      <c r="T25" s="31">
        <f>T24*Inputs!T99</f>
        <v>0</v>
      </c>
      <c r="U25" s="31">
        <f>U24*Inputs!U99</f>
        <v>0</v>
      </c>
      <c r="V25" s="31">
        <f>V24*Inputs!V99</f>
        <v>0</v>
      </c>
      <c r="W25" s="31">
        <f>W24*Inputs!W99</f>
        <v>0</v>
      </c>
      <c r="X25" s="31">
        <f>X24*Inputs!X99</f>
        <v>0</v>
      </c>
      <c r="Y25" s="31">
        <f>Y24*Inputs!Y99</f>
        <v>0</v>
      </c>
      <c r="Z25" s="31">
        <f>Z24*Inputs!Z99</f>
        <v>0</v>
      </c>
      <c r="AA25" s="31">
        <f>AA24*Inputs!AA99</f>
        <v>0</v>
      </c>
      <c r="AB25" s="31">
        <f>AB24*Inputs!AB99</f>
        <v>218.02890013640751</v>
      </c>
      <c r="AC25" s="31">
        <f>AC24*Inputs!AC99</f>
        <v>261.33460986198367</v>
      </c>
      <c r="AD25" s="31">
        <f>AD24*Inputs!AD99</f>
        <v>276.94798611856555</v>
      </c>
      <c r="AE25" s="31">
        <f>AE24*Inputs!AE99</f>
        <v>298.40677874357436</v>
      </c>
      <c r="AF25" s="31">
        <f>AF24*Inputs!AF99</f>
        <v>320.39583273164857</v>
      </c>
      <c r="AG25" s="31">
        <f>AG24*Inputs!AG99</f>
        <v>352.14474293670889</v>
      </c>
      <c r="AH25" s="31">
        <f>AH24*Inputs!AH99</f>
        <v>377.34241300924219</v>
      </c>
      <c r="AI25" s="31">
        <f>AI24*Inputs!AI99</f>
        <v>401.09857478657904</v>
      </c>
      <c r="AJ25" s="31">
        <f>AJ24*Inputs!AJ99</f>
        <v>416.52226240956628</v>
      </c>
      <c r="AK25" s="31">
        <f>AK24*Inputs!AK99</f>
        <v>435.80279780196707</v>
      </c>
      <c r="AL25" s="31">
        <f>AL24*Inputs!AL99</f>
        <v>449.87415003473211</v>
      </c>
      <c r="AM25" s="31">
        <f>AM24*Inputs!AM99</f>
        <v>464.12035169187857</v>
      </c>
      <c r="AN25" s="31">
        <f>AN24*Inputs!AN99</f>
        <v>472.2682275178675</v>
      </c>
      <c r="AO25" s="31">
        <f>AO24*Inputs!AO99</f>
        <v>484.46210898730703</v>
      </c>
      <c r="AP25" s="31">
        <f>AP24*Inputs!AP99</f>
        <v>482.96111295724836</v>
      </c>
      <c r="AQ25" s="31">
        <f>AQ24*Inputs!AQ99</f>
        <v>482.9307552086733</v>
      </c>
      <c r="AR25" s="31">
        <f>AR24*Inputs!AR99</f>
        <v>479.2917620112587</v>
      </c>
      <c r="AS25" s="31">
        <f>AS24*Inputs!AS99</f>
        <v>477.66882571165581</v>
      </c>
      <c r="AT25" s="31">
        <f>AT24*Inputs!AT99</f>
        <v>468.1876730919231</v>
      </c>
      <c r="AU25" s="31">
        <f>AU24*Inputs!AU99</f>
        <v>458.9752752791187</v>
      </c>
      <c r="AV25" s="31">
        <f>AV24*Inputs!AV99</f>
        <v>445.8996532056691</v>
      </c>
      <c r="AW25" s="31">
        <f>AW24*Inputs!AW99</f>
        <v>433.16791324738585</v>
      </c>
      <c r="AX25" s="31">
        <f>AX24*Inputs!AX99</f>
        <v>407.16280609258001</v>
      </c>
    </row>
    <row r="26" spans="1:50">
      <c r="A26" s="1" t="s">
        <v>212</v>
      </c>
      <c r="B26" s="71"/>
      <c r="C26" s="71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31"/>
      <c r="O26" s="31"/>
      <c r="P26" s="31">
        <f>+P25/P6*-1</f>
        <v>0</v>
      </c>
      <c r="Q26" s="31">
        <f t="shared" ref="Q26:AX26" si="13">+Q25/Q6*-1</f>
        <v>0</v>
      </c>
      <c r="R26" s="31">
        <f t="shared" si="13"/>
        <v>0</v>
      </c>
      <c r="S26" s="31">
        <f t="shared" si="13"/>
        <v>0</v>
      </c>
      <c r="T26" s="31">
        <f t="shared" si="13"/>
        <v>0</v>
      </c>
      <c r="U26" s="31">
        <f t="shared" si="13"/>
        <v>0</v>
      </c>
      <c r="V26" s="31">
        <f t="shared" si="13"/>
        <v>0</v>
      </c>
      <c r="W26" s="31">
        <f t="shared" si="13"/>
        <v>0</v>
      </c>
      <c r="X26" s="31">
        <f t="shared" si="13"/>
        <v>0</v>
      </c>
      <c r="Y26" s="31">
        <f t="shared" si="13"/>
        <v>0</v>
      </c>
      <c r="Z26" s="31">
        <f t="shared" si="13"/>
        <v>0</v>
      </c>
      <c r="AA26" s="31">
        <f t="shared" si="13"/>
        <v>0</v>
      </c>
      <c r="AB26" s="31">
        <f t="shared" si="13"/>
        <v>-146.7792965331318</v>
      </c>
      <c r="AC26" s="31">
        <f t="shared" si="13"/>
        <v>-172.33141877602569</v>
      </c>
      <c r="AD26" s="31">
        <f t="shared" si="13"/>
        <v>-178.88854914169889</v>
      </c>
      <c r="AE26" s="31">
        <f t="shared" si="13"/>
        <v>-188.8034000843158</v>
      </c>
      <c r="AF26" s="31">
        <f t="shared" si="13"/>
        <v>-198.56595161438963</v>
      </c>
      <c r="AG26" s="31">
        <f t="shared" si="13"/>
        <v>-213.77451421925088</v>
      </c>
      <c r="AH26" s="31">
        <f t="shared" si="13"/>
        <v>-224.38154672068296</v>
      </c>
      <c r="AI26" s="31">
        <f t="shared" si="13"/>
        <v>-233.62506223544179</v>
      </c>
      <c r="AJ26" s="31">
        <f t="shared" si="13"/>
        <v>-237.64206969179352</v>
      </c>
      <c r="AK26" s="31">
        <f t="shared" si="13"/>
        <v>-243.55212192206071</v>
      </c>
      <c r="AL26" s="31">
        <f t="shared" si="13"/>
        <v>-246.26899549442845</v>
      </c>
      <c r="AM26" s="31">
        <f t="shared" si="13"/>
        <v>-248.86631011923942</v>
      </c>
      <c r="AN26" s="31">
        <f t="shared" si="13"/>
        <v>-248.05102215740237</v>
      </c>
      <c r="AO26" s="31">
        <f t="shared" si="13"/>
        <v>-249.24640546890396</v>
      </c>
      <c r="AP26" s="31">
        <f t="shared" si="13"/>
        <v>-243.38737582434203</v>
      </c>
      <c r="AQ26" s="31">
        <f t="shared" si="13"/>
        <v>-238.38973169955614</v>
      </c>
      <c r="AR26" s="31">
        <f t="shared" si="13"/>
        <v>-231.74983915469198</v>
      </c>
      <c r="AS26" s="31">
        <f t="shared" si="13"/>
        <v>-226.23675962258471</v>
      </c>
      <c r="AT26" s="31">
        <f t="shared" si="13"/>
        <v>-217.20661338280695</v>
      </c>
      <c r="AU26" s="31">
        <f t="shared" si="13"/>
        <v>-208.57351321421999</v>
      </c>
      <c r="AV26" s="31">
        <f t="shared" si="13"/>
        <v>-198.48321970139466</v>
      </c>
      <c r="AW26" s="31">
        <f t="shared" si="13"/>
        <v>-188.86858942814061</v>
      </c>
      <c r="AX26" s="31">
        <f t="shared" si="13"/>
        <v>-173.89550367070623</v>
      </c>
    </row>
    <row r="27" spans="1:50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50">
      <c r="A28" s="1" t="s">
        <v>66</v>
      </c>
      <c r="B28" s="71"/>
      <c r="C28" s="71"/>
      <c r="D28" s="72"/>
      <c r="E28" s="72"/>
      <c r="F28" s="76"/>
      <c r="G28" s="76"/>
      <c r="H28" s="76"/>
      <c r="I28" s="76"/>
      <c r="J28" s="76"/>
      <c r="K28" s="76"/>
      <c r="L28" s="76"/>
      <c r="M28" s="65"/>
      <c r="N28" s="31">
        <f>+'DAV Pi'!N44*N6</f>
        <v>10251.132960167592</v>
      </c>
      <c r="O28" s="31">
        <f>+'DAV Pi'!O44*O6</f>
        <v>7895.9885154685862</v>
      </c>
      <c r="P28" s="31">
        <f>+'DAV Pi'!P44*P6</f>
        <v>4927.410155825246</v>
      </c>
      <c r="Q28" s="31">
        <f>+'DAV Pi'!Q44*Q6</f>
        <v>4490.2087894799479</v>
      </c>
      <c r="R28" s="31">
        <f>+'DAV Pi'!R44*R6</f>
        <v>5649.6232802063778</v>
      </c>
      <c r="S28" s="31">
        <f>+'DAV Pi'!S44*S6</f>
        <v>6937.5063487161196</v>
      </c>
      <c r="T28" s="31">
        <f>+'DAV Pi'!T44*T6</f>
        <v>4496.7837623388286</v>
      </c>
      <c r="U28" s="31">
        <f>+'DAV Pi'!U44*U6</f>
        <v>5358.3028334106448</v>
      </c>
      <c r="V28" s="31">
        <f>+'DAV Pi'!V44*V6</f>
        <v>1804.4811581784902</v>
      </c>
      <c r="W28" s="31">
        <f>+'DAV Pi'!W44*W6</f>
        <v>1467.9255434928209</v>
      </c>
      <c r="X28" s="31">
        <f>+'DAV Pi'!X44*X6</f>
        <v>1401.1546592895386</v>
      </c>
      <c r="Y28" s="31">
        <f>+'DAV Pi'!Y44*Y6</f>
        <v>1333.6198165907931</v>
      </c>
      <c r="Z28" s="31">
        <f>+'DAV Pi'!Z44*Z6</f>
        <v>1336.8020248871162</v>
      </c>
      <c r="AA28" s="31">
        <f>+'DAV Pi'!AA44*AA6</f>
        <v>1352.1379491126986</v>
      </c>
      <c r="AB28" s="31">
        <f>+'DAV Pi'!AB44*AB6</f>
        <v>1380.3976322491542</v>
      </c>
      <c r="AC28" s="31">
        <f>+'DAV Pi'!AC44*AC6</f>
        <v>1511.1184795232339</v>
      </c>
      <c r="AD28" s="31">
        <f>+'DAV Pi'!AD44*AD6</f>
        <v>1629.4065573404762</v>
      </c>
      <c r="AE28" s="31">
        <f>+'DAV Pi'!AE44*AE6</f>
        <v>1702.9303853780843</v>
      </c>
      <c r="AF28" s="31">
        <f>+'DAV Pi'!AF44*AF6</f>
        <v>2300.311373509111</v>
      </c>
      <c r="AG28" s="31">
        <f>+'DAV Pi'!AG44*AG6</f>
        <v>1713.0698963330728</v>
      </c>
      <c r="AH28" s="31">
        <f>+'DAV Pi'!AH44*AH6</f>
        <v>1837.4013697911437</v>
      </c>
      <c r="AI28" s="31">
        <f>+'DAV Pi'!AI44*AI6</f>
        <v>1751.842504804094</v>
      </c>
      <c r="AJ28" s="31">
        <f>+'DAV Pi'!AJ44*AJ6</f>
        <v>1749.9822217326944</v>
      </c>
      <c r="AK28" s="31">
        <f>+'DAV Pi'!AK44*AK6</f>
        <v>1728.7330747641265</v>
      </c>
      <c r="AL28" s="31">
        <f>+'DAV Pi'!AL44*AL6</f>
        <v>1723.9635249105465</v>
      </c>
      <c r="AM28" s="31">
        <f>+'DAV Pi'!AM44*AM6</f>
        <v>1819.3552676822251</v>
      </c>
      <c r="AN28" s="31">
        <f>+'DAV Pi'!AN44*AN6</f>
        <v>1786.1677121296279</v>
      </c>
      <c r="AO28" s="31">
        <f>+'DAV Pi'!AO44*AO6</f>
        <v>1844.9039940649868</v>
      </c>
      <c r="AP28" s="31">
        <f>+'DAV Pi'!AP44*AP6</f>
        <v>1803.2430961419245</v>
      </c>
      <c r="AQ28" s="31">
        <f>+'DAV Pi'!AQ44*AQ6</f>
        <v>1761.1590278532324</v>
      </c>
      <c r="AR28" s="31">
        <f>+'DAV Pi'!AR44*AR6</f>
        <v>1849.8716494276155</v>
      </c>
      <c r="AS28" s="31">
        <f>+'DAV Pi'!AS44*AS6</f>
        <v>1884.3308741941316</v>
      </c>
      <c r="AT28" s="31">
        <f>+'DAV Pi'!AT44*AT6</f>
        <v>1848.1639675283209</v>
      </c>
      <c r="AU28" s="31">
        <f>+'DAV Pi'!AU44*AU6</f>
        <v>1865.0532173778824</v>
      </c>
      <c r="AV28" s="31">
        <f>+'DAV Pi'!AV44*AV6</f>
        <v>1936.7843737813357</v>
      </c>
      <c r="AW28" s="31">
        <f>+'DAV Pi'!AW44*AW6</f>
        <v>2012.7975237496871</v>
      </c>
      <c r="AX28" s="31">
        <f>+'DAV Pi'!AX44*AX6</f>
        <v>2132.8651857662903</v>
      </c>
    </row>
    <row r="29" spans="1:50">
      <c r="A29" s="1"/>
      <c r="B29" s="71"/>
      <c r="C29" s="71"/>
      <c r="D29" s="72"/>
      <c r="E29" s="72"/>
      <c r="F29" s="76"/>
      <c r="G29" s="76"/>
      <c r="H29" s="76"/>
      <c r="I29" s="76"/>
      <c r="J29" s="76"/>
      <c r="K29" s="76"/>
      <c r="L29" s="76"/>
      <c r="M29" s="65"/>
      <c r="N29" s="31"/>
      <c r="O29" s="31"/>
      <c r="P29" s="31"/>
      <c r="Q29" s="31"/>
      <c r="R29" s="31"/>
      <c r="S29" s="31"/>
      <c r="T29" s="31"/>
      <c r="U29" s="31"/>
    </row>
    <row r="30" spans="1:50">
      <c r="A30" s="54" t="s">
        <v>67</v>
      </c>
      <c r="B30" s="77"/>
      <c r="C30" s="77"/>
      <c r="D30" s="72"/>
      <c r="E30" s="72"/>
      <c r="F30" s="76"/>
      <c r="G30" s="76"/>
      <c r="H30" s="76"/>
      <c r="I30" s="76"/>
      <c r="J30" s="76"/>
      <c r="K30" s="76"/>
      <c r="L30" s="76"/>
      <c r="M30" s="65"/>
      <c r="N30" s="31"/>
      <c r="O30" s="31"/>
      <c r="P30" s="31"/>
      <c r="Q30" s="31"/>
      <c r="R30" s="31"/>
      <c r="S30" s="31"/>
      <c r="T30" s="31"/>
      <c r="U30" s="31"/>
    </row>
    <row r="31" spans="1:50">
      <c r="A31" s="1" t="s">
        <v>68</v>
      </c>
      <c r="B31" s="71"/>
      <c r="C31" s="71"/>
      <c r="D31" s="72"/>
      <c r="E31" s="72"/>
      <c r="F31" s="76"/>
      <c r="G31" s="76"/>
      <c r="H31" s="76"/>
      <c r="I31" s="76"/>
      <c r="J31" s="76"/>
      <c r="K31" s="76"/>
      <c r="L31" s="76"/>
      <c r="M31" s="65"/>
      <c r="N31" s="10">
        <f>Inputs!$N$83</f>
        <v>0.05</v>
      </c>
      <c r="O31" s="10">
        <f>Inputs!$N$83</f>
        <v>0.05</v>
      </c>
      <c r="P31" s="10">
        <f>Inputs!$N$83</f>
        <v>0.05</v>
      </c>
      <c r="Q31" s="10">
        <f>Inputs!$N$83</f>
        <v>0.05</v>
      </c>
      <c r="R31" s="10">
        <f>Inputs!$N$83</f>
        <v>0.05</v>
      </c>
      <c r="S31" s="10">
        <f>Inputs!$N$83</f>
        <v>0.05</v>
      </c>
      <c r="T31" s="10">
        <f>Inputs!$N$83</f>
        <v>0.05</v>
      </c>
      <c r="U31" s="10">
        <f>Inputs!$N$83</f>
        <v>0.05</v>
      </c>
      <c r="V31" s="10">
        <f>Inputs!$N$83</f>
        <v>0.05</v>
      </c>
      <c r="W31" s="10">
        <f>Inputs!$N$83</f>
        <v>0.05</v>
      </c>
      <c r="X31" s="10">
        <f>Inputs!$N$83</f>
        <v>0.05</v>
      </c>
      <c r="Y31" s="10">
        <f>Inputs!$N$83</f>
        <v>0.05</v>
      </c>
      <c r="Z31" s="10">
        <f>Inputs!$N$83</f>
        <v>0.05</v>
      </c>
      <c r="AA31" s="10">
        <f>Inputs!$N$83</f>
        <v>0.05</v>
      </c>
      <c r="AB31" s="10">
        <f>Inputs!$N$83</f>
        <v>0.05</v>
      </c>
      <c r="AC31" s="10">
        <f>Inputs!$N$83</f>
        <v>0.05</v>
      </c>
      <c r="AD31" s="10">
        <f>Inputs!$N$83</f>
        <v>0.05</v>
      </c>
      <c r="AE31" s="10">
        <f>Inputs!$N$83</f>
        <v>0.05</v>
      </c>
      <c r="AF31" s="10">
        <f>Inputs!$N$83</f>
        <v>0.05</v>
      </c>
      <c r="AG31" s="10">
        <f>Inputs!$N$83</f>
        <v>0.05</v>
      </c>
      <c r="AH31" s="10">
        <f>Inputs!$N$83</f>
        <v>0.05</v>
      </c>
      <c r="AI31" s="10">
        <f>Inputs!$N$83</f>
        <v>0.05</v>
      </c>
      <c r="AJ31" s="10">
        <f>Inputs!$N$83</f>
        <v>0.05</v>
      </c>
      <c r="AK31" s="10">
        <f>Inputs!$N$83</f>
        <v>0.05</v>
      </c>
      <c r="AL31" s="10">
        <f>Inputs!$N$83</f>
        <v>0.05</v>
      </c>
      <c r="AM31" s="10">
        <f>Inputs!$N$83</f>
        <v>0.05</v>
      </c>
      <c r="AN31" s="10">
        <f>Inputs!$N$83</f>
        <v>0.05</v>
      </c>
      <c r="AO31" s="10">
        <f>Inputs!$N$83</f>
        <v>0.05</v>
      </c>
      <c r="AP31" s="10">
        <f>Inputs!$N$83</f>
        <v>0.05</v>
      </c>
      <c r="AQ31" s="10">
        <f>Inputs!$N$83</f>
        <v>0.05</v>
      </c>
      <c r="AR31" s="10">
        <f>Inputs!$N$83</f>
        <v>0.05</v>
      </c>
      <c r="AS31" s="10">
        <f>Inputs!$N$83</f>
        <v>0.05</v>
      </c>
      <c r="AT31" s="10">
        <f>Inputs!$N$83</f>
        <v>0.05</v>
      </c>
      <c r="AU31" s="10">
        <f>Inputs!$N$83</f>
        <v>0.05</v>
      </c>
      <c r="AV31" s="10">
        <f>Inputs!$N$83</f>
        <v>0.05</v>
      </c>
      <c r="AW31" s="10">
        <f>Inputs!$N$83</f>
        <v>0.05</v>
      </c>
      <c r="AX31" s="10">
        <f>Inputs!$N$83</f>
        <v>0.05</v>
      </c>
    </row>
    <row r="32" spans="1:50">
      <c r="A32" s="1" t="s">
        <v>69</v>
      </c>
      <c r="B32" s="71"/>
      <c r="C32" s="71"/>
      <c r="D32" s="72"/>
      <c r="E32" s="72"/>
      <c r="F32" s="76"/>
      <c r="G32" s="76"/>
      <c r="H32" s="76"/>
      <c r="I32" s="76"/>
      <c r="J32" s="76"/>
      <c r="K32" s="76"/>
      <c r="L32" s="76"/>
      <c r="M32" s="65"/>
      <c r="N32" s="10">
        <f>Inputs!$N$84</f>
        <v>0.95</v>
      </c>
      <c r="O32" s="10">
        <f>Inputs!$N$84</f>
        <v>0.95</v>
      </c>
      <c r="P32" s="10">
        <f>Inputs!$N$84</f>
        <v>0.95</v>
      </c>
      <c r="Q32" s="10">
        <f>Inputs!$N$84</f>
        <v>0.95</v>
      </c>
      <c r="R32" s="10">
        <f>Inputs!$N$84</f>
        <v>0.95</v>
      </c>
      <c r="S32" s="10">
        <f>Inputs!$N$84</f>
        <v>0.95</v>
      </c>
      <c r="T32" s="10">
        <f>Inputs!$N$84</f>
        <v>0.95</v>
      </c>
      <c r="U32" s="10">
        <f>Inputs!$N$84</f>
        <v>0.95</v>
      </c>
      <c r="V32" s="10">
        <f>Inputs!$N$84</f>
        <v>0.95</v>
      </c>
      <c r="W32" s="10">
        <f>Inputs!$N$84</f>
        <v>0.95</v>
      </c>
      <c r="X32" s="10">
        <f>Inputs!$N$84</f>
        <v>0.95</v>
      </c>
      <c r="Y32" s="10">
        <f>Inputs!$N$84</f>
        <v>0.95</v>
      </c>
      <c r="Z32" s="10">
        <f>Inputs!$N$84</f>
        <v>0.95</v>
      </c>
      <c r="AA32" s="10">
        <f>Inputs!$N$84</f>
        <v>0.95</v>
      </c>
      <c r="AB32" s="10">
        <f>Inputs!$N$84</f>
        <v>0.95</v>
      </c>
      <c r="AC32" s="10">
        <f>Inputs!$N$84</f>
        <v>0.95</v>
      </c>
      <c r="AD32" s="10">
        <f>Inputs!$N$84</f>
        <v>0.95</v>
      </c>
      <c r="AE32" s="10">
        <f>Inputs!$N$84</f>
        <v>0.95</v>
      </c>
      <c r="AF32" s="10">
        <f>Inputs!$N$84</f>
        <v>0.95</v>
      </c>
      <c r="AG32" s="10">
        <f>Inputs!$N$84</f>
        <v>0.95</v>
      </c>
      <c r="AH32" s="10">
        <f>Inputs!$N$84</f>
        <v>0.95</v>
      </c>
      <c r="AI32" s="10">
        <f>Inputs!$N$84</f>
        <v>0.95</v>
      </c>
      <c r="AJ32" s="10">
        <f>Inputs!$N$84</f>
        <v>0.95</v>
      </c>
      <c r="AK32" s="10">
        <f>Inputs!$N$84</f>
        <v>0.95</v>
      </c>
      <c r="AL32" s="10">
        <f>Inputs!$N$84</f>
        <v>0.95</v>
      </c>
      <c r="AM32" s="10">
        <f>Inputs!$N$84</f>
        <v>0.95</v>
      </c>
      <c r="AN32" s="10">
        <f>Inputs!$N$84</f>
        <v>0.95</v>
      </c>
      <c r="AO32" s="10">
        <f>Inputs!$N$84</f>
        <v>0.95</v>
      </c>
      <c r="AP32" s="10">
        <f>Inputs!$N$84</f>
        <v>0.95</v>
      </c>
      <c r="AQ32" s="10">
        <f>Inputs!$N$84</f>
        <v>0.95</v>
      </c>
      <c r="AR32" s="10">
        <f>Inputs!$N$84</f>
        <v>0.95</v>
      </c>
      <c r="AS32" s="10">
        <f>Inputs!$N$84</f>
        <v>0.95</v>
      </c>
      <c r="AT32" s="10">
        <f>Inputs!$N$84</f>
        <v>0.95</v>
      </c>
      <c r="AU32" s="10">
        <f>Inputs!$N$84</f>
        <v>0.95</v>
      </c>
      <c r="AV32" s="10">
        <f>Inputs!$N$84</f>
        <v>0.95</v>
      </c>
      <c r="AW32" s="10">
        <f>Inputs!$N$84</f>
        <v>0.95</v>
      </c>
      <c r="AX32" s="10">
        <f>Inputs!$N$84</f>
        <v>0.95</v>
      </c>
    </row>
    <row r="33" spans="1:50">
      <c r="A33" s="1" t="s">
        <v>70</v>
      </c>
      <c r="B33" s="71"/>
      <c r="C33" s="71"/>
      <c r="D33" s="72"/>
      <c r="E33" s="72"/>
      <c r="F33" s="76"/>
      <c r="G33" s="76"/>
      <c r="H33" s="76"/>
      <c r="I33" s="76"/>
      <c r="J33" s="76"/>
      <c r="K33" s="76"/>
      <c r="L33" s="76"/>
      <c r="M33" s="65"/>
      <c r="N33" s="10">
        <f>Inputs!$N$85</f>
        <v>0</v>
      </c>
      <c r="O33" s="10">
        <f>Inputs!$N$85</f>
        <v>0</v>
      </c>
      <c r="P33" s="10">
        <f>Inputs!$N$85</f>
        <v>0</v>
      </c>
      <c r="Q33" s="10">
        <f>Inputs!$N$85</f>
        <v>0</v>
      </c>
      <c r="R33" s="10">
        <f>Inputs!$N$85</f>
        <v>0</v>
      </c>
      <c r="S33" s="10">
        <f>Inputs!$N$85</f>
        <v>0</v>
      </c>
      <c r="T33" s="10">
        <f>Inputs!$N$85</f>
        <v>0</v>
      </c>
      <c r="U33" s="10">
        <f>Inputs!$N$85</f>
        <v>0</v>
      </c>
      <c r="V33" s="10">
        <f>Inputs!$N$85</f>
        <v>0</v>
      </c>
      <c r="W33" s="10">
        <f>Inputs!$N$85</f>
        <v>0</v>
      </c>
      <c r="X33" s="10">
        <f>Inputs!$N$85</f>
        <v>0</v>
      </c>
      <c r="Y33" s="10">
        <f>Inputs!$N$85</f>
        <v>0</v>
      </c>
      <c r="Z33" s="10">
        <f>Inputs!$N$85</f>
        <v>0</v>
      </c>
      <c r="AA33" s="10">
        <f>Inputs!$N$85</f>
        <v>0</v>
      </c>
      <c r="AB33" s="10">
        <f>Inputs!$N$85</f>
        <v>0</v>
      </c>
      <c r="AC33" s="10">
        <f>Inputs!$N$85</f>
        <v>0</v>
      </c>
      <c r="AD33" s="10">
        <f>Inputs!$N$85</f>
        <v>0</v>
      </c>
      <c r="AE33" s="10">
        <f>Inputs!$N$85</f>
        <v>0</v>
      </c>
      <c r="AF33" s="10">
        <f>Inputs!$N$85</f>
        <v>0</v>
      </c>
      <c r="AG33" s="10">
        <f>Inputs!$N$85</f>
        <v>0</v>
      </c>
      <c r="AH33" s="10">
        <f>Inputs!$N$85</f>
        <v>0</v>
      </c>
      <c r="AI33" s="10">
        <f>Inputs!$N$85</f>
        <v>0</v>
      </c>
      <c r="AJ33" s="10">
        <f>Inputs!$N$85</f>
        <v>0</v>
      </c>
      <c r="AK33" s="10">
        <f>Inputs!$N$85</f>
        <v>0</v>
      </c>
      <c r="AL33" s="10">
        <f>Inputs!$N$85</f>
        <v>0</v>
      </c>
      <c r="AM33" s="10">
        <f>Inputs!$N$85</f>
        <v>0</v>
      </c>
      <c r="AN33" s="10">
        <f>Inputs!$N$85</f>
        <v>0</v>
      </c>
      <c r="AO33" s="10">
        <f>Inputs!$N$85</f>
        <v>0</v>
      </c>
      <c r="AP33" s="10">
        <f>Inputs!$N$85</f>
        <v>0</v>
      </c>
      <c r="AQ33" s="10">
        <f>Inputs!$N$85</f>
        <v>0</v>
      </c>
      <c r="AR33" s="10">
        <f>Inputs!$N$85</f>
        <v>0</v>
      </c>
      <c r="AS33" s="10">
        <f>Inputs!$N$85</f>
        <v>0</v>
      </c>
      <c r="AT33" s="10">
        <f>Inputs!$N$85</f>
        <v>0</v>
      </c>
      <c r="AU33" s="10">
        <f>Inputs!$N$85</f>
        <v>0</v>
      </c>
      <c r="AV33" s="10">
        <f>Inputs!$N$85</f>
        <v>0</v>
      </c>
      <c r="AW33" s="10">
        <f>Inputs!$N$85</f>
        <v>0</v>
      </c>
      <c r="AX33" s="10">
        <f>Inputs!$N$85</f>
        <v>0</v>
      </c>
    </row>
    <row r="34" spans="1:50">
      <c r="A34" s="1" t="s">
        <v>71</v>
      </c>
      <c r="B34" s="71"/>
      <c r="C34" s="71"/>
      <c r="D34" s="72"/>
      <c r="E34" s="72"/>
      <c r="F34" s="76"/>
      <c r="G34" s="76"/>
      <c r="H34" s="76"/>
      <c r="I34" s="76"/>
      <c r="J34" s="76"/>
      <c r="K34" s="76"/>
      <c r="L34" s="76"/>
      <c r="M34" s="65"/>
      <c r="N34" s="10">
        <f>Inputs!$N$86</f>
        <v>0</v>
      </c>
      <c r="O34" s="10">
        <f>Inputs!$N$86</f>
        <v>0</v>
      </c>
      <c r="P34" s="10">
        <f>Inputs!$N$86</f>
        <v>0</v>
      </c>
      <c r="Q34" s="10">
        <f>Inputs!$N$86</f>
        <v>0</v>
      </c>
      <c r="R34" s="10">
        <f>Inputs!$N$86</f>
        <v>0</v>
      </c>
      <c r="S34" s="10">
        <f>Inputs!$N$86</f>
        <v>0</v>
      </c>
      <c r="T34" s="10">
        <f>Inputs!$N$86</f>
        <v>0</v>
      </c>
      <c r="U34" s="10">
        <f>Inputs!$N$86</f>
        <v>0</v>
      </c>
      <c r="V34" s="10">
        <f>Inputs!$N$86</f>
        <v>0</v>
      </c>
      <c r="W34" s="10">
        <f>Inputs!$N$86</f>
        <v>0</v>
      </c>
      <c r="X34" s="10">
        <f>Inputs!$N$86</f>
        <v>0</v>
      </c>
      <c r="Y34" s="10">
        <f>Inputs!$N$86</f>
        <v>0</v>
      </c>
      <c r="Z34" s="10">
        <f>Inputs!$N$86</f>
        <v>0</v>
      </c>
      <c r="AA34" s="10">
        <f>Inputs!$N$86</f>
        <v>0</v>
      </c>
      <c r="AB34" s="10">
        <f>Inputs!$N$86</f>
        <v>0</v>
      </c>
      <c r="AC34" s="10">
        <f>Inputs!$N$86</f>
        <v>0</v>
      </c>
      <c r="AD34" s="10">
        <f>Inputs!$N$86</f>
        <v>0</v>
      </c>
      <c r="AE34" s="10">
        <f>Inputs!$N$86</f>
        <v>0</v>
      </c>
      <c r="AF34" s="10">
        <f>Inputs!$N$86</f>
        <v>0</v>
      </c>
      <c r="AG34" s="10">
        <f>Inputs!$N$86</f>
        <v>0</v>
      </c>
      <c r="AH34" s="10">
        <f>Inputs!$N$86</f>
        <v>0</v>
      </c>
      <c r="AI34" s="10">
        <f>Inputs!$N$86</f>
        <v>0</v>
      </c>
      <c r="AJ34" s="10">
        <f>Inputs!$N$86</f>
        <v>0</v>
      </c>
      <c r="AK34" s="10">
        <f>Inputs!$N$86</f>
        <v>0</v>
      </c>
      <c r="AL34" s="10">
        <f>Inputs!$N$86</f>
        <v>0</v>
      </c>
      <c r="AM34" s="10">
        <f>Inputs!$N$86</f>
        <v>0</v>
      </c>
      <c r="AN34" s="10">
        <f>Inputs!$N$86</f>
        <v>0</v>
      </c>
      <c r="AO34" s="10">
        <f>Inputs!$N$86</f>
        <v>0</v>
      </c>
      <c r="AP34" s="10">
        <f>Inputs!$N$86</f>
        <v>0</v>
      </c>
      <c r="AQ34" s="10">
        <f>Inputs!$N$86</f>
        <v>0</v>
      </c>
      <c r="AR34" s="10">
        <f>Inputs!$N$86</f>
        <v>0</v>
      </c>
      <c r="AS34" s="10">
        <f>Inputs!$N$86</f>
        <v>0</v>
      </c>
      <c r="AT34" s="10">
        <f>Inputs!$N$86</f>
        <v>0</v>
      </c>
      <c r="AU34" s="10">
        <f>Inputs!$N$86</f>
        <v>0</v>
      </c>
      <c r="AV34" s="10">
        <f>Inputs!$N$86</f>
        <v>0</v>
      </c>
      <c r="AW34" s="10">
        <f>Inputs!$N$86</f>
        <v>0</v>
      </c>
      <c r="AX34" s="10">
        <f>Inputs!$N$86</f>
        <v>0</v>
      </c>
    </row>
    <row r="35" spans="1:50">
      <c r="A35" s="1"/>
      <c r="B35" s="71"/>
      <c r="C35" s="71"/>
      <c r="D35" s="72"/>
      <c r="E35" s="72"/>
      <c r="F35" s="76"/>
      <c r="G35" s="76"/>
      <c r="H35" s="76"/>
      <c r="I35" s="76"/>
      <c r="J35" s="76"/>
      <c r="K35" s="76"/>
      <c r="L35" s="76"/>
      <c r="M35" s="65"/>
      <c r="N35" s="123">
        <f t="shared" ref="N35:O35" si="14">SUM(N31:N34)</f>
        <v>1</v>
      </c>
      <c r="O35" s="123">
        <f t="shared" si="14"/>
        <v>1</v>
      </c>
      <c r="P35" s="123">
        <f t="shared" ref="P35:AX35" si="15">SUM(P31:P34)</f>
        <v>1</v>
      </c>
      <c r="Q35" s="123">
        <f t="shared" si="15"/>
        <v>1</v>
      </c>
      <c r="R35" s="123">
        <f t="shared" si="15"/>
        <v>1</v>
      </c>
      <c r="S35" s="123">
        <f t="shared" si="15"/>
        <v>1</v>
      </c>
      <c r="T35" s="123">
        <f t="shared" si="15"/>
        <v>1</v>
      </c>
      <c r="U35" s="123">
        <f t="shared" si="15"/>
        <v>1</v>
      </c>
      <c r="V35" s="123">
        <f t="shared" si="15"/>
        <v>1</v>
      </c>
      <c r="W35" s="123">
        <f t="shared" si="15"/>
        <v>1</v>
      </c>
      <c r="X35" s="123">
        <f t="shared" si="15"/>
        <v>1</v>
      </c>
      <c r="Y35" s="123">
        <f t="shared" si="15"/>
        <v>1</v>
      </c>
      <c r="Z35" s="123">
        <f t="shared" si="15"/>
        <v>1</v>
      </c>
      <c r="AA35" s="123">
        <f t="shared" si="15"/>
        <v>1</v>
      </c>
      <c r="AB35" s="123">
        <f t="shared" si="15"/>
        <v>1</v>
      </c>
      <c r="AC35" s="123">
        <f t="shared" si="15"/>
        <v>1</v>
      </c>
      <c r="AD35" s="123">
        <f t="shared" si="15"/>
        <v>1</v>
      </c>
      <c r="AE35" s="123">
        <f t="shared" si="15"/>
        <v>1</v>
      </c>
      <c r="AF35" s="123">
        <f t="shared" si="15"/>
        <v>1</v>
      </c>
      <c r="AG35" s="123">
        <f t="shared" si="15"/>
        <v>1</v>
      </c>
      <c r="AH35" s="123">
        <f t="shared" si="15"/>
        <v>1</v>
      </c>
      <c r="AI35" s="123">
        <f t="shared" si="15"/>
        <v>1</v>
      </c>
      <c r="AJ35" s="123">
        <f t="shared" si="15"/>
        <v>1</v>
      </c>
      <c r="AK35" s="123">
        <f t="shared" si="15"/>
        <v>1</v>
      </c>
      <c r="AL35" s="123">
        <f t="shared" si="15"/>
        <v>1</v>
      </c>
      <c r="AM35" s="123">
        <f t="shared" si="15"/>
        <v>1</v>
      </c>
      <c r="AN35" s="123">
        <f t="shared" si="15"/>
        <v>1</v>
      </c>
      <c r="AO35" s="123">
        <f t="shared" si="15"/>
        <v>1</v>
      </c>
      <c r="AP35" s="123">
        <f t="shared" si="15"/>
        <v>1</v>
      </c>
      <c r="AQ35" s="123">
        <f t="shared" si="15"/>
        <v>1</v>
      </c>
      <c r="AR35" s="123">
        <f t="shared" si="15"/>
        <v>1</v>
      </c>
      <c r="AS35" s="123">
        <f t="shared" si="15"/>
        <v>1</v>
      </c>
      <c r="AT35" s="123">
        <f t="shared" si="15"/>
        <v>1</v>
      </c>
      <c r="AU35" s="123">
        <f t="shared" si="15"/>
        <v>1</v>
      </c>
      <c r="AV35" s="123">
        <f t="shared" si="15"/>
        <v>1</v>
      </c>
      <c r="AW35" s="123">
        <f t="shared" si="15"/>
        <v>1</v>
      </c>
      <c r="AX35" s="123">
        <f t="shared" si="15"/>
        <v>1</v>
      </c>
    </row>
    <row r="36" spans="1:50">
      <c r="A36" s="1"/>
      <c r="B36" s="71"/>
      <c r="C36" s="71"/>
      <c r="D36" s="72"/>
      <c r="E36" s="72"/>
      <c r="F36" s="76"/>
      <c r="G36" s="76"/>
      <c r="H36" s="76"/>
      <c r="I36" s="76"/>
      <c r="J36" s="76"/>
      <c r="K36" s="76"/>
      <c r="L36" s="76"/>
      <c r="M36" s="65"/>
      <c r="N36" s="10"/>
      <c r="O36" s="10"/>
      <c r="P36" s="10"/>
      <c r="Q36" s="10"/>
      <c r="R36" s="10"/>
      <c r="S36" s="10"/>
      <c r="T36" s="10"/>
      <c r="U36" s="10"/>
    </row>
    <row r="37" spans="1:50">
      <c r="A37" s="1" t="s">
        <v>171</v>
      </c>
      <c r="B37" s="71"/>
      <c r="C37" s="71"/>
      <c r="D37" s="72"/>
      <c r="E37" s="72"/>
      <c r="F37" s="76"/>
      <c r="G37" s="76"/>
      <c r="H37" s="76"/>
      <c r="I37" s="76"/>
      <c r="J37" s="76"/>
      <c r="K37" s="76"/>
      <c r="L37" s="76"/>
      <c r="M37" s="65"/>
      <c r="N37" s="10"/>
      <c r="O37" s="10"/>
      <c r="P37" s="10"/>
      <c r="Q37" s="10"/>
      <c r="R37" s="10"/>
      <c r="S37" s="10"/>
      <c r="T37" s="10"/>
      <c r="U37" s="10"/>
    </row>
    <row r="38" spans="1:50">
      <c r="A38" s="1" t="s">
        <v>188</v>
      </c>
      <c r="B38" s="71"/>
      <c r="C38" s="71"/>
      <c r="D38" s="72"/>
      <c r="E38" s="72"/>
      <c r="F38" s="76"/>
      <c r="G38" s="76"/>
      <c r="H38" s="76"/>
      <c r="I38" s="76"/>
      <c r="J38" s="76"/>
      <c r="K38" s="76"/>
      <c r="L38" s="76"/>
      <c r="M38" s="65"/>
      <c r="N38" s="31">
        <f>N28*N31</f>
        <v>512.55664800837963</v>
      </c>
      <c r="O38" s="31">
        <f>O28*O31</f>
        <v>394.79942577342933</v>
      </c>
      <c r="P38" s="10"/>
      <c r="Q38" s="10"/>
      <c r="R38" s="10"/>
      <c r="S38" s="10"/>
      <c r="T38" s="10"/>
      <c r="U38" s="10"/>
    </row>
    <row r="39" spans="1:50">
      <c r="A39" s="1" t="s">
        <v>172</v>
      </c>
      <c r="B39" s="71"/>
      <c r="C39" s="71"/>
      <c r="D39" s="72"/>
      <c r="E39" s="72"/>
      <c r="F39" s="76"/>
      <c r="G39" s="76"/>
      <c r="H39" s="76"/>
      <c r="I39" s="76"/>
      <c r="J39" s="76"/>
      <c r="K39" s="76"/>
      <c r="L39" s="76"/>
      <c r="M39" s="65"/>
      <c r="N39" s="31">
        <f>N38*Inputs!$N$89</f>
        <v>0</v>
      </c>
      <c r="O39" s="31">
        <f>O38*Inputs!$N$89</f>
        <v>0</v>
      </c>
      <c r="P39" s="10"/>
      <c r="Q39" s="10"/>
      <c r="R39" s="10"/>
      <c r="S39" s="10"/>
      <c r="T39" s="10"/>
      <c r="U39" s="10"/>
    </row>
    <row r="40" spans="1:50">
      <c r="A40" s="28" t="s">
        <v>173</v>
      </c>
      <c r="B40" s="71"/>
      <c r="C40" s="71"/>
      <c r="D40" s="72"/>
      <c r="E40" s="72"/>
      <c r="F40" s="76"/>
      <c r="G40" s="76"/>
      <c r="H40" s="76"/>
      <c r="I40" s="76"/>
      <c r="J40" s="76"/>
      <c r="K40" s="76"/>
      <c r="L40" s="76"/>
      <c r="M40" s="65"/>
      <c r="N40" s="31">
        <f>N38-N39</f>
        <v>512.55664800837963</v>
      </c>
      <c r="O40" s="31">
        <f>O38-O39</f>
        <v>394.79942577342933</v>
      </c>
      <c r="P40" s="10"/>
      <c r="Q40" s="10"/>
      <c r="R40" s="10"/>
      <c r="S40" s="10"/>
      <c r="T40" s="10"/>
      <c r="U40" s="10"/>
    </row>
    <row r="41" spans="1:50">
      <c r="A41" s="1"/>
      <c r="B41" s="71"/>
      <c r="C41" s="71"/>
      <c r="D41" s="72"/>
      <c r="E41" s="72"/>
      <c r="F41" s="76"/>
      <c r="G41" s="76"/>
      <c r="H41" s="76"/>
      <c r="I41" s="76"/>
      <c r="J41" s="76"/>
      <c r="K41" s="76"/>
      <c r="L41" s="76"/>
      <c r="M41" s="65"/>
      <c r="N41" s="10"/>
      <c r="O41" s="10"/>
      <c r="P41" s="10"/>
      <c r="Q41" s="10"/>
      <c r="R41" s="10"/>
      <c r="S41" s="10"/>
      <c r="T41" s="10"/>
      <c r="U41" s="10"/>
    </row>
    <row r="42" spans="1:50">
      <c r="A42" s="1" t="s">
        <v>72</v>
      </c>
      <c r="B42" s="71"/>
      <c r="C42" s="71"/>
      <c r="D42" s="72"/>
      <c r="E42" s="72"/>
      <c r="F42" s="76"/>
      <c r="G42" s="76"/>
      <c r="H42" s="76"/>
      <c r="I42" s="76"/>
      <c r="J42" s="76"/>
      <c r="K42" s="76"/>
      <c r="L42" s="76"/>
      <c r="M42" s="65"/>
      <c r="N42" s="76"/>
      <c r="O42" s="76"/>
      <c r="P42" s="76"/>
      <c r="Q42" s="76"/>
      <c r="R42" s="76"/>
      <c r="S42" s="76"/>
      <c r="T42" s="76"/>
      <c r="U42" s="76"/>
    </row>
    <row r="43" spans="1:50">
      <c r="A43" s="1" t="s">
        <v>73</v>
      </c>
      <c r="B43" s="71"/>
      <c r="C43" s="71"/>
      <c r="D43" s="72"/>
      <c r="E43" s="72"/>
      <c r="F43" s="76"/>
      <c r="G43" s="76"/>
      <c r="H43" s="76"/>
      <c r="I43" s="76"/>
      <c r="J43" s="76"/>
      <c r="K43" s="76"/>
      <c r="L43" s="76"/>
      <c r="M43" s="65"/>
      <c r="N43" s="31">
        <f>Inputs!N82</f>
        <v>1397.3442162393651</v>
      </c>
      <c r="O43" s="31">
        <f t="shared" ref="O43:AX43" si="16">N48</f>
        <v>1566.1187086831505</v>
      </c>
      <c r="P43" s="31">
        <f t="shared" si="16"/>
        <v>1607.9528702543957</v>
      </c>
      <c r="Q43" s="31">
        <f t="shared" si="16"/>
        <v>1520.5451699974396</v>
      </c>
      <c r="R43" s="31">
        <f t="shared" si="16"/>
        <v>1430.9455997665784</v>
      </c>
      <c r="S43" s="31">
        <f t="shared" si="16"/>
        <v>1405.0099462970559</v>
      </c>
      <c r="T43" s="31">
        <f t="shared" si="16"/>
        <v>1436.5459162609468</v>
      </c>
      <c r="U43" s="31">
        <f t="shared" si="16"/>
        <v>1362.3357855898682</v>
      </c>
      <c r="V43" s="31">
        <f t="shared" si="16"/>
        <v>1336.8057603535283</v>
      </c>
      <c r="W43" s="31">
        <f t="shared" si="16"/>
        <v>1170.1644509752114</v>
      </c>
      <c r="X43" s="31">
        <f t="shared" si="16"/>
        <v>1019.7197970828789</v>
      </c>
      <c r="Y43" s="31">
        <f t="shared" si="16"/>
        <v>893.6175746388318</v>
      </c>
      <c r="Z43" s="31">
        <f t="shared" si="16"/>
        <v>787.44482368406454</v>
      </c>
      <c r="AA43" s="31">
        <f t="shared" si="16"/>
        <v>700.51363844130469</v>
      </c>
      <c r="AB43" s="31">
        <f t="shared" si="16"/>
        <v>629.85883943549049</v>
      </c>
      <c r="AC43" s="31">
        <f t="shared" si="16"/>
        <v>573.08055125931753</v>
      </c>
      <c r="AD43" s="31">
        <f t="shared" si="16"/>
        <v>531.88190969309301</v>
      </c>
      <c r="AE43" s="31">
        <f t="shared" si="16"/>
        <v>502.94883479929581</v>
      </c>
      <c r="AF43" s="31">
        <f t="shared" si="16"/>
        <v>482.23819033592406</v>
      </c>
      <c r="AG43" s="31">
        <f t="shared" si="16"/>
        <v>489.74808238933133</v>
      </c>
      <c r="AH43" s="31">
        <f t="shared" si="16"/>
        <v>471.82929330890767</v>
      </c>
      <c r="AI43" s="31">
        <f t="shared" si="16"/>
        <v>462.23347667474121</v>
      </c>
      <c r="AJ43" s="31">
        <f t="shared" si="16"/>
        <v>450.85699357025561</v>
      </c>
      <c r="AK43" s="31">
        <f t="shared" si="16"/>
        <v>441.45200581865009</v>
      </c>
      <c r="AL43" s="31">
        <f t="shared" si="16"/>
        <v>432.86870083662222</v>
      </c>
      <c r="AM43" s="31">
        <f t="shared" si="16"/>
        <v>425.63483920736257</v>
      </c>
      <c r="AN43" s="31">
        <f t="shared" si="16"/>
        <v>423.6141341250086</v>
      </c>
      <c r="AO43" s="31">
        <f t="shared" si="16"/>
        <v>420.59646617982173</v>
      </c>
      <c r="AP43" s="31">
        <f t="shared" si="16"/>
        <v>420.53016602411827</v>
      </c>
      <c r="AQ43" s="31">
        <f t="shared" si="16"/>
        <v>418.76770308159587</v>
      </c>
      <c r="AR43" s="31">
        <f t="shared" si="16"/>
        <v>415.59703666889112</v>
      </c>
      <c r="AS43" s="31">
        <f t="shared" si="16"/>
        <v>416.63430769502293</v>
      </c>
      <c r="AT43" s="31">
        <f t="shared" si="16"/>
        <v>418.89769815187822</v>
      </c>
      <c r="AU43" s="31">
        <f t="shared" si="16"/>
        <v>419.27083515320135</v>
      </c>
      <c r="AV43" s="31">
        <f t="shared" si="16"/>
        <v>420.26926673811829</v>
      </c>
      <c r="AW43" s="31">
        <f t="shared" si="16"/>
        <v>424.02895805029175</v>
      </c>
      <c r="AX43" s="31">
        <f t="shared" si="16"/>
        <v>430.22844407497638</v>
      </c>
    </row>
    <row r="44" spans="1:50">
      <c r="A44" s="1" t="s">
        <v>155</v>
      </c>
      <c r="B44" s="71"/>
      <c r="C44" s="71"/>
      <c r="D44" s="72"/>
      <c r="E44" s="72"/>
      <c r="F44" s="76"/>
      <c r="G44" s="76"/>
      <c r="H44" s="76"/>
      <c r="I44" s="76"/>
      <c r="J44" s="76"/>
      <c r="K44" s="76"/>
      <c r="L44" s="76"/>
      <c r="M44" s="65"/>
      <c r="N44" s="31">
        <f>N40</f>
        <v>512.55664800837963</v>
      </c>
      <c r="O44" s="31">
        <f>O40</f>
        <v>394.79942577342933</v>
      </c>
      <c r="P44" s="31">
        <f t="shared" ref="P44:AX44" si="17">P28*P31</f>
        <v>246.3705077912623</v>
      </c>
      <c r="Q44" s="31">
        <f t="shared" si="17"/>
        <v>224.51043947399739</v>
      </c>
      <c r="R44" s="31">
        <f t="shared" si="17"/>
        <v>282.48116401031888</v>
      </c>
      <c r="S44" s="31">
        <f t="shared" si="17"/>
        <v>346.87531743580598</v>
      </c>
      <c r="T44" s="31">
        <f t="shared" si="17"/>
        <v>224.83918811694144</v>
      </c>
      <c r="U44" s="31">
        <f t="shared" si="17"/>
        <v>267.91514167053225</v>
      </c>
      <c r="V44" s="31">
        <f t="shared" si="17"/>
        <v>90.224057908924522</v>
      </c>
      <c r="W44" s="31">
        <f t="shared" si="17"/>
        <v>73.396277174641043</v>
      </c>
      <c r="X44" s="31">
        <f t="shared" si="17"/>
        <v>70.057732964476926</v>
      </c>
      <c r="Y44" s="31">
        <f t="shared" si="17"/>
        <v>66.680990829539653</v>
      </c>
      <c r="Z44" s="31">
        <f t="shared" si="17"/>
        <v>66.840101244355807</v>
      </c>
      <c r="AA44" s="31">
        <f t="shared" si="17"/>
        <v>67.606897455634936</v>
      </c>
      <c r="AB44" s="31">
        <f t="shared" si="17"/>
        <v>69.019881612457709</v>
      </c>
      <c r="AC44" s="31">
        <f t="shared" si="17"/>
        <v>75.555923976161694</v>
      </c>
      <c r="AD44" s="31">
        <f t="shared" si="17"/>
        <v>81.470327867023812</v>
      </c>
      <c r="AE44" s="31">
        <f t="shared" si="17"/>
        <v>85.146519268904228</v>
      </c>
      <c r="AF44" s="31">
        <f t="shared" si="17"/>
        <v>115.01556867545555</v>
      </c>
      <c r="AG44" s="31">
        <f t="shared" si="17"/>
        <v>85.653494816653648</v>
      </c>
      <c r="AH44" s="31">
        <f t="shared" si="17"/>
        <v>91.870068489557184</v>
      </c>
      <c r="AI44" s="31">
        <f t="shared" si="17"/>
        <v>87.592125240204709</v>
      </c>
      <c r="AJ44" s="31">
        <f t="shared" si="17"/>
        <v>87.499111086634727</v>
      </c>
      <c r="AK44" s="31">
        <f t="shared" si="17"/>
        <v>86.436653738206331</v>
      </c>
      <c r="AL44" s="31">
        <f t="shared" si="17"/>
        <v>86.198176245527335</v>
      </c>
      <c r="AM44" s="31">
        <f t="shared" si="17"/>
        <v>90.967763384111265</v>
      </c>
      <c r="AN44" s="31">
        <f t="shared" si="17"/>
        <v>89.308385606481409</v>
      </c>
      <c r="AO44" s="31">
        <f t="shared" si="17"/>
        <v>92.245199703249341</v>
      </c>
      <c r="AP44" s="31">
        <f t="shared" si="17"/>
        <v>90.162154807096229</v>
      </c>
      <c r="AQ44" s="31">
        <f t="shared" si="17"/>
        <v>88.057951392661622</v>
      </c>
      <c r="AR44" s="31">
        <f t="shared" si="17"/>
        <v>92.493582471380776</v>
      </c>
      <c r="AS44" s="31">
        <f t="shared" si="17"/>
        <v>94.216543709706585</v>
      </c>
      <c r="AT44" s="31">
        <f t="shared" si="17"/>
        <v>92.408198376416053</v>
      </c>
      <c r="AU44" s="31">
        <f t="shared" si="17"/>
        <v>93.252660868894125</v>
      </c>
      <c r="AV44" s="31">
        <f t="shared" si="17"/>
        <v>96.839218689066797</v>
      </c>
      <c r="AW44" s="31">
        <f t="shared" si="17"/>
        <v>100.63987618748436</v>
      </c>
      <c r="AX44" s="31">
        <f t="shared" si="17"/>
        <v>106.64325928831452</v>
      </c>
    </row>
    <row r="45" spans="1:50">
      <c r="A45" s="1" t="s">
        <v>154</v>
      </c>
      <c r="B45" s="71"/>
      <c r="C45" s="71"/>
      <c r="D45" s="72"/>
      <c r="E45" s="72"/>
      <c r="F45" s="76"/>
      <c r="G45" s="76"/>
      <c r="H45" s="76"/>
      <c r="I45" s="76"/>
      <c r="J45" s="76"/>
      <c r="K45" s="76"/>
      <c r="L45" s="76"/>
      <c r="M45" s="65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</row>
    <row r="46" spans="1:50">
      <c r="A46" s="1" t="s">
        <v>74</v>
      </c>
      <c r="B46" s="71"/>
      <c r="C46" s="71"/>
      <c r="D46" s="72"/>
      <c r="E46" s="72"/>
      <c r="F46" s="76"/>
      <c r="G46" s="76"/>
      <c r="H46" s="76"/>
      <c r="I46" s="76"/>
      <c r="J46" s="76"/>
      <c r="K46" s="76"/>
      <c r="L46" s="76"/>
      <c r="M46" s="65"/>
      <c r="N46" s="31">
        <f t="shared" ref="N46:U46" si="18">SUM(N43:N45)</f>
        <v>1909.9008642477447</v>
      </c>
      <c r="O46" s="31">
        <f t="shared" si="18"/>
        <v>1960.91813445658</v>
      </c>
      <c r="P46" s="31">
        <f t="shared" si="18"/>
        <v>1854.323378045658</v>
      </c>
      <c r="Q46" s="31">
        <f t="shared" si="18"/>
        <v>1745.055609471437</v>
      </c>
      <c r="R46" s="31">
        <f t="shared" si="18"/>
        <v>1713.4267637768974</v>
      </c>
      <c r="S46" s="31">
        <f t="shared" si="18"/>
        <v>1751.8852637328619</v>
      </c>
      <c r="T46" s="31">
        <f t="shared" si="18"/>
        <v>1661.3851043778882</v>
      </c>
      <c r="U46" s="31">
        <f t="shared" si="18"/>
        <v>1630.2509272604004</v>
      </c>
      <c r="V46" s="31">
        <f t="shared" ref="V46:AX46" si="19">SUM(V43:V45)</f>
        <v>1427.0298182624529</v>
      </c>
      <c r="W46" s="31">
        <f t="shared" si="19"/>
        <v>1243.5607281498524</v>
      </c>
      <c r="X46" s="31">
        <f t="shared" si="19"/>
        <v>1089.7775300473559</v>
      </c>
      <c r="Y46" s="31">
        <f t="shared" si="19"/>
        <v>960.29856546837141</v>
      </c>
      <c r="Z46" s="31">
        <f t="shared" si="19"/>
        <v>854.28492492842031</v>
      </c>
      <c r="AA46" s="31">
        <f t="shared" si="19"/>
        <v>768.1205358969396</v>
      </c>
      <c r="AB46" s="31">
        <f t="shared" si="19"/>
        <v>698.87872104794815</v>
      </c>
      <c r="AC46" s="31">
        <f t="shared" si="19"/>
        <v>648.63647523547922</v>
      </c>
      <c r="AD46" s="31">
        <f t="shared" si="19"/>
        <v>613.35223756011681</v>
      </c>
      <c r="AE46" s="31">
        <f t="shared" si="19"/>
        <v>588.09535406820009</v>
      </c>
      <c r="AF46" s="31">
        <f t="shared" si="19"/>
        <v>597.25375901137966</v>
      </c>
      <c r="AG46" s="31">
        <f t="shared" si="19"/>
        <v>575.40157720598495</v>
      </c>
      <c r="AH46" s="31">
        <f t="shared" si="19"/>
        <v>563.69936179846491</v>
      </c>
      <c r="AI46" s="31">
        <f t="shared" si="19"/>
        <v>549.82560191494588</v>
      </c>
      <c r="AJ46" s="31">
        <f t="shared" si="19"/>
        <v>538.35610465689035</v>
      </c>
      <c r="AK46" s="31">
        <f t="shared" si="19"/>
        <v>527.8886595568564</v>
      </c>
      <c r="AL46" s="31">
        <f t="shared" si="19"/>
        <v>519.06687708214952</v>
      </c>
      <c r="AM46" s="31">
        <f t="shared" si="19"/>
        <v>516.6026025914739</v>
      </c>
      <c r="AN46" s="31">
        <f t="shared" si="19"/>
        <v>512.92251973148996</v>
      </c>
      <c r="AO46" s="31">
        <f t="shared" si="19"/>
        <v>512.84166588307107</v>
      </c>
      <c r="AP46" s="31">
        <f t="shared" si="19"/>
        <v>510.69232083121449</v>
      </c>
      <c r="AQ46" s="31">
        <f t="shared" si="19"/>
        <v>506.82565447425748</v>
      </c>
      <c r="AR46" s="31">
        <f t="shared" si="19"/>
        <v>508.09061914027188</v>
      </c>
      <c r="AS46" s="31">
        <f t="shared" si="19"/>
        <v>510.8508514047295</v>
      </c>
      <c r="AT46" s="31">
        <f t="shared" si="19"/>
        <v>511.30589652829428</v>
      </c>
      <c r="AU46" s="31">
        <f t="shared" si="19"/>
        <v>512.52349602209551</v>
      </c>
      <c r="AV46" s="31">
        <f t="shared" si="19"/>
        <v>517.10848542718509</v>
      </c>
      <c r="AW46" s="31">
        <f t="shared" si="19"/>
        <v>524.66883423777608</v>
      </c>
      <c r="AX46" s="31">
        <f t="shared" si="19"/>
        <v>536.87170336329086</v>
      </c>
    </row>
    <row r="47" spans="1:50">
      <c r="A47" s="1" t="s">
        <v>75</v>
      </c>
      <c r="B47" s="71"/>
      <c r="C47" s="71"/>
      <c r="D47" s="72"/>
      <c r="E47" s="72"/>
      <c r="F47" s="76"/>
      <c r="G47" s="76"/>
      <c r="H47" s="76"/>
      <c r="I47" s="76"/>
      <c r="J47" s="76"/>
      <c r="K47" s="76"/>
      <c r="L47" s="76"/>
      <c r="M47" s="65"/>
      <c r="N47" s="31">
        <f>+N46*Inputs!$N$87</f>
        <v>343.78215556459406</v>
      </c>
      <c r="O47" s="31">
        <f>+O46*Inputs!$N$87</f>
        <v>352.96526420218436</v>
      </c>
      <c r="P47" s="31">
        <f>+P46*Inputs!$N$87</f>
        <v>333.77820804821846</v>
      </c>
      <c r="Q47" s="31">
        <f>+Q46*Inputs!$N$87</f>
        <v>314.11000970485867</v>
      </c>
      <c r="R47" s="31">
        <f>+R46*Inputs!$N$87</f>
        <v>308.41681747984154</v>
      </c>
      <c r="S47" s="31">
        <f>+S46*Inputs!$N$87</f>
        <v>315.33934747191512</v>
      </c>
      <c r="T47" s="31">
        <f>+T46*Inputs!$N$87</f>
        <v>299.04931878801989</v>
      </c>
      <c r="U47" s="31">
        <f>+U46*Inputs!$N$87</f>
        <v>293.44516690687209</v>
      </c>
      <c r="V47" s="31">
        <f>+V46*Inputs!$N$87</f>
        <v>256.8653672872415</v>
      </c>
      <c r="W47" s="31">
        <f>+W46*Inputs!$N$87</f>
        <v>223.84093106697341</v>
      </c>
      <c r="X47" s="31">
        <f>+X46*Inputs!$N$87</f>
        <v>196.15995540852404</v>
      </c>
      <c r="Y47" s="31">
        <f>+Y46*Inputs!$N$87</f>
        <v>172.85374178430683</v>
      </c>
      <c r="Z47" s="31">
        <f>+Z46*Inputs!$N$87</f>
        <v>153.77128648711565</v>
      </c>
      <c r="AA47" s="31">
        <f>+AA46*Inputs!$N$87</f>
        <v>138.26169646144913</v>
      </c>
      <c r="AB47" s="31">
        <f>+AB46*Inputs!$N$87</f>
        <v>125.79816978863066</v>
      </c>
      <c r="AC47" s="31">
        <f>+AC46*Inputs!$N$87</f>
        <v>116.75456554238626</v>
      </c>
      <c r="AD47" s="31">
        <f>+AD46*Inputs!$N$87</f>
        <v>110.40340276082102</v>
      </c>
      <c r="AE47" s="31">
        <f>+AE46*Inputs!$N$87</f>
        <v>105.85716373227601</v>
      </c>
      <c r="AF47" s="31">
        <f>+AF46*Inputs!$N$87</f>
        <v>107.50567662204834</v>
      </c>
      <c r="AG47" s="31">
        <f>+AG46*Inputs!$N$87</f>
        <v>103.57228389707728</v>
      </c>
      <c r="AH47" s="31">
        <f>+AH46*Inputs!$N$87</f>
        <v>101.46588512372368</v>
      </c>
      <c r="AI47" s="31">
        <f>+AI46*Inputs!$N$87</f>
        <v>98.968608344690253</v>
      </c>
      <c r="AJ47" s="31">
        <f>+AJ46*Inputs!$N$87</f>
        <v>96.904098838240259</v>
      </c>
      <c r="AK47" s="31">
        <f>+AK46*Inputs!$N$87</f>
        <v>95.019958720234143</v>
      </c>
      <c r="AL47" s="31">
        <f>+AL46*Inputs!$N$87</f>
        <v>93.432037874786914</v>
      </c>
      <c r="AM47" s="31">
        <f>+AM46*Inputs!$N$87</f>
        <v>92.988468466465292</v>
      </c>
      <c r="AN47" s="31">
        <f>+AN46*Inputs!$N$87</f>
        <v>92.326053551668195</v>
      </c>
      <c r="AO47" s="31">
        <f>+AO46*Inputs!$N$87</f>
        <v>92.311499858952786</v>
      </c>
      <c r="AP47" s="31">
        <f>+AP46*Inputs!$N$87</f>
        <v>91.924617749618605</v>
      </c>
      <c r="AQ47" s="31">
        <f>+AQ46*Inputs!$N$87</f>
        <v>91.228617805366341</v>
      </c>
      <c r="AR47" s="31">
        <f>+AR46*Inputs!$N$87</f>
        <v>91.456311445248929</v>
      </c>
      <c r="AS47" s="31">
        <f>+AS46*Inputs!$N$87</f>
        <v>91.953153252851308</v>
      </c>
      <c r="AT47" s="31">
        <f>+AT46*Inputs!$N$87</f>
        <v>92.035061375092965</v>
      </c>
      <c r="AU47" s="31">
        <f>+AU46*Inputs!$N$87</f>
        <v>92.254229283977196</v>
      </c>
      <c r="AV47" s="31">
        <f>+AV46*Inputs!$N$87</f>
        <v>93.07952737689331</v>
      </c>
      <c r="AW47" s="31">
        <f>+AW46*Inputs!$N$87</f>
        <v>94.440390162799687</v>
      </c>
      <c r="AX47" s="31">
        <f>+AX46*Inputs!$N$87</f>
        <v>96.636906605392355</v>
      </c>
    </row>
    <row r="48" spans="1:50">
      <c r="A48" s="1" t="s">
        <v>76</v>
      </c>
      <c r="B48" s="71"/>
      <c r="C48" s="71"/>
      <c r="D48" s="72"/>
      <c r="E48" s="72"/>
      <c r="F48" s="76"/>
      <c r="G48" s="76"/>
      <c r="H48" s="76"/>
      <c r="I48" s="76"/>
      <c r="J48" s="76"/>
      <c r="K48" s="76"/>
      <c r="L48" s="76"/>
      <c r="M48" s="65"/>
      <c r="N48" s="116">
        <f t="shared" ref="N48:U48" si="20">N46-N47</f>
        <v>1566.1187086831505</v>
      </c>
      <c r="O48" s="116">
        <f t="shared" si="20"/>
        <v>1607.9528702543957</v>
      </c>
      <c r="P48" s="116">
        <f t="shared" si="20"/>
        <v>1520.5451699974396</v>
      </c>
      <c r="Q48" s="116">
        <f t="shared" si="20"/>
        <v>1430.9455997665784</v>
      </c>
      <c r="R48" s="116">
        <f t="shared" si="20"/>
        <v>1405.0099462970559</v>
      </c>
      <c r="S48" s="116">
        <f t="shared" si="20"/>
        <v>1436.5459162609468</v>
      </c>
      <c r="T48" s="116">
        <f t="shared" si="20"/>
        <v>1362.3357855898682</v>
      </c>
      <c r="U48" s="116">
        <f t="shared" si="20"/>
        <v>1336.8057603535283</v>
      </c>
      <c r="V48" s="116">
        <f t="shared" ref="V48:AX48" si="21">V46-V47</f>
        <v>1170.1644509752114</v>
      </c>
      <c r="W48" s="116">
        <f t="shared" si="21"/>
        <v>1019.7197970828789</v>
      </c>
      <c r="X48" s="116">
        <f t="shared" si="21"/>
        <v>893.6175746388318</v>
      </c>
      <c r="Y48" s="116">
        <f t="shared" si="21"/>
        <v>787.44482368406454</v>
      </c>
      <c r="Z48" s="116">
        <f t="shared" si="21"/>
        <v>700.51363844130469</v>
      </c>
      <c r="AA48" s="116">
        <f t="shared" si="21"/>
        <v>629.85883943549049</v>
      </c>
      <c r="AB48" s="116">
        <f t="shared" si="21"/>
        <v>573.08055125931753</v>
      </c>
      <c r="AC48" s="116">
        <f t="shared" si="21"/>
        <v>531.88190969309301</v>
      </c>
      <c r="AD48" s="116">
        <f t="shared" si="21"/>
        <v>502.94883479929581</v>
      </c>
      <c r="AE48" s="116">
        <f t="shared" si="21"/>
        <v>482.23819033592406</v>
      </c>
      <c r="AF48" s="116">
        <f t="shared" si="21"/>
        <v>489.74808238933133</v>
      </c>
      <c r="AG48" s="116">
        <f t="shared" si="21"/>
        <v>471.82929330890767</v>
      </c>
      <c r="AH48" s="116">
        <f t="shared" si="21"/>
        <v>462.23347667474121</v>
      </c>
      <c r="AI48" s="116">
        <f t="shared" si="21"/>
        <v>450.85699357025561</v>
      </c>
      <c r="AJ48" s="116">
        <f t="shared" si="21"/>
        <v>441.45200581865009</v>
      </c>
      <c r="AK48" s="116">
        <f t="shared" si="21"/>
        <v>432.86870083662222</v>
      </c>
      <c r="AL48" s="116">
        <f t="shared" si="21"/>
        <v>425.63483920736257</v>
      </c>
      <c r="AM48" s="116">
        <f t="shared" si="21"/>
        <v>423.6141341250086</v>
      </c>
      <c r="AN48" s="116">
        <f t="shared" si="21"/>
        <v>420.59646617982173</v>
      </c>
      <c r="AO48" s="116">
        <f t="shared" si="21"/>
        <v>420.53016602411827</v>
      </c>
      <c r="AP48" s="116">
        <f t="shared" si="21"/>
        <v>418.76770308159587</v>
      </c>
      <c r="AQ48" s="116">
        <f t="shared" si="21"/>
        <v>415.59703666889112</v>
      </c>
      <c r="AR48" s="116">
        <f t="shared" si="21"/>
        <v>416.63430769502293</v>
      </c>
      <c r="AS48" s="116">
        <f t="shared" si="21"/>
        <v>418.89769815187822</v>
      </c>
      <c r="AT48" s="116">
        <f t="shared" si="21"/>
        <v>419.27083515320135</v>
      </c>
      <c r="AU48" s="116">
        <f t="shared" si="21"/>
        <v>420.26926673811829</v>
      </c>
      <c r="AV48" s="116">
        <f t="shared" si="21"/>
        <v>424.02895805029175</v>
      </c>
      <c r="AW48" s="116">
        <f t="shared" si="21"/>
        <v>430.22844407497638</v>
      </c>
      <c r="AX48" s="116">
        <f t="shared" si="21"/>
        <v>440.23479675789849</v>
      </c>
    </row>
    <row r="49" spans="1:50">
      <c r="A49" s="1"/>
      <c r="B49" s="71"/>
      <c r="C49" s="71"/>
      <c r="D49" s="72"/>
      <c r="E49" s="72"/>
      <c r="F49" s="76"/>
      <c r="G49" s="76"/>
      <c r="H49" s="76"/>
      <c r="I49" s="76"/>
      <c r="J49" s="76"/>
      <c r="K49" s="76"/>
      <c r="L49" s="76"/>
      <c r="M49" s="65"/>
      <c r="N49" s="31"/>
      <c r="O49" s="31"/>
      <c r="P49" s="31"/>
      <c r="Q49" s="31"/>
      <c r="R49" s="31"/>
      <c r="S49" s="31"/>
      <c r="T49" s="31"/>
      <c r="U49" s="31"/>
    </row>
    <row r="50" spans="1:50">
      <c r="A50" s="1" t="s">
        <v>77</v>
      </c>
      <c r="B50" s="71"/>
      <c r="C50" s="71"/>
      <c r="D50" s="72"/>
      <c r="E50" s="72"/>
      <c r="F50" s="76"/>
      <c r="G50" s="76"/>
      <c r="H50" s="76"/>
      <c r="I50" s="76"/>
      <c r="J50" s="76"/>
      <c r="K50" s="76"/>
      <c r="L50" s="76"/>
      <c r="M50" s="65"/>
      <c r="N50" s="31"/>
      <c r="O50" s="31"/>
      <c r="P50" s="31"/>
      <c r="Q50" s="31"/>
      <c r="R50" s="31"/>
      <c r="S50" s="31"/>
      <c r="T50" s="31"/>
      <c r="U50" s="31"/>
    </row>
    <row r="51" spans="1:50">
      <c r="A51" s="1" t="s">
        <v>187</v>
      </c>
      <c r="B51" s="71"/>
      <c r="C51" s="71"/>
      <c r="D51" s="72"/>
      <c r="E51" s="72"/>
      <c r="F51" s="76"/>
      <c r="G51" s="76"/>
      <c r="H51" s="76"/>
      <c r="I51" s="76"/>
      <c r="J51" s="76"/>
      <c r="K51" s="76"/>
      <c r="L51" s="76"/>
      <c r="M51" s="65"/>
      <c r="N51" s="31">
        <f>N39</f>
        <v>0</v>
      </c>
      <c r="O51" s="31">
        <f>O39</f>
        <v>0</v>
      </c>
      <c r="P51" s="31"/>
      <c r="Q51" s="31"/>
      <c r="R51" s="31"/>
      <c r="S51" s="31"/>
      <c r="T51" s="31"/>
      <c r="U51" s="31"/>
    </row>
    <row r="52" spans="1:50">
      <c r="A52" s="1" t="s">
        <v>79</v>
      </c>
      <c r="B52" s="71"/>
      <c r="C52" s="71"/>
      <c r="D52" s="72"/>
      <c r="E52" s="72"/>
      <c r="F52" s="76"/>
      <c r="G52" s="76"/>
      <c r="H52" s="76"/>
      <c r="I52" s="76"/>
      <c r="J52" s="76"/>
      <c r="K52" s="76"/>
      <c r="L52" s="76"/>
      <c r="M52" s="65"/>
      <c r="N52" s="31">
        <f>N51*Inputs!$N$88</f>
        <v>0</v>
      </c>
      <c r="O52" s="31">
        <f>O51*Inputs!$N$88</f>
        <v>0</v>
      </c>
      <c r="P52" s="31"/>
      <c r="Q52" s="31"/>
      <c r="R52" s="31"/>
      <c r="S52" s="31"/>
      <c r="T52" s="31"/>
      <c r="U52" s="31"/>
    </row>
    <row r="53" spans="1:50">
      <c r="A53" s="1"/>
      <c r="B53" s="71"/>
      <c r="C53" s="71"/>
      <c r="D53" s="72"/>
      <c r="E53" s="72"/>
      <c r="F53" s="76"/>
      <c r="G53" s="76"/>
      <c r="H53" s="76"/>
      <c r="I53" s="76"/>
      <c r="J53" s="76"/>
      <c r="K53" s="76"/>
      <c r="L53" s="76"/>
      <c r="M53" s="65"/>
      <c r="N53" s="31"/>
      <c r="O53" s="31"/>
      <c r="P53" s="31"/>
      <c r="Q53" s="31"/>
      <c r="R53" s="31"/>
      <c r="S53" s="31"/>
      <c r="T53" s="31"/>
      <c r="U53" s="31"/>
    </row>
    <row r="54" spans="1:50">
      <c r="A54" s="1" t="s">
        <v>175</v>
      </c>
      <c r="B54" s="71"/>
      <c r="C54" s="71"/>
      <c r="D54" s="72"/>
      <c r="E54" s="72"/>
      <c r="F54" s="76"/>
      <c r="G54" s="76"/>
      <c r="H54" s="76"/>
      <c r="I54" s="76"/>
      <c r="J54" s="76"/>
      <c r="K54" s="76"/>
      <c r="L54" s="76"/>
      <c r="M54" s="65"/>
      <c r="N54" s="10"/>
      <c r="O54" s="10"/>
      <c r="P54" s="31"/>
      <c r="Q54" s="31"/>
      <c r="R54" s="31"/>
      <c r="S54" s="31"/>
      <c r="T54" s="31"/>
      <c r="U54" s="31"/>
    </row>
    <row r="55" spans="1:50">
      <c r="A55" s="1" t="s">
        <v>188</v>
      </c>
      <c r="B55" s="71"/>
      <c r="C55" s="71"/>
      <c r="D55" s="72"/>
      <c r="E55" s="72"/>
      <c r="F55" s="76"/>
      <c r="G55" s="76"/>
      <c r="H55" s="76"/>
      <c r="I55" s="76"/>
      <c r="J55" s="76"/>
      <c r="K55" s="76"/>
      <c r="L55" s="76"/>
      <c r="M55" s="65"/>
      <c r="N55" s="31">
        <f>N28*N32</f>
        <v>9738.5763121592117</v>
      </c>
      <c r="O55" s="31">
        <f>O28*O32</f>
        <v>7501.1890896951563</v>
      </c>
      <c r="P55" s="31"/>
      <c r="Q55" s="31"/>
      <c r="R55" s="31"/>
      <c r="S55" s="31"/>
      <c r="T55" s="31"/>
      <c r="U55" s="31"/>
    </row>
    <row r="56" spans="1:50">
      <c r="A56" s="1" t="s">
        <v>176</v>
      </c>
      <c r="B56" s="71"/>
      <c r="C56" s="71"/>
      <c r="D56" s="72"/>
      <c r="E56" s="72"/>
      <c r="F56" s="76"/>
      <c r="G56" s="76"/>
      <c r="H56" s="76"/>
      <c r="I56" s="76"/>
      <c r="J56" s="76"/>
      <c r="K56" s="76"/>
      <c r="L56" s="76"/>
      <c r="M56" s="65"/>
      <c r="N56" s="31">
        <f>N55*Inputs!$N$90</f>
        <v>0</v>
      </c>
      <c r="O56" s="31">
        <f>O55*Inputs!$N$90</f>
        <v>0</v>
      </c>
      <c r="P56" s="31"/>
      <c r="Q56" s="31"/>
      <c r="R56" s="31"/>
      <c r="S56" s="31"/>
      <c r="T56" s="31"/>
      <c r="U56" s="31"/>
    </row>
    <row r="57" spans="1:50">
      <c r="A57" s="28" t="s">
        <v>177</v>
      </c>
      <c r="B57" s="71"/>
      <c r="C57" s="71"/>
      <c r="D57" s="72"/>
      <c r="E57" s="72"/>
      <c r="F57" s="76"/>
      <c r="G57" s="76"/>
      <c r="H57" s="76"/>
      <c r="I57" s="76"/>
      <c r="J57" s="76"/>
      <c r="K57" s="76"/>
      <c r="L57" s="76"/>
      <c r="M57" s="65"/>
      <c r="N57" s="31">
        <f>N55-N56</f>
        <v>9738.5763121592117</v>
      </c>
      <c r="O57" s="31">
        <f>O55-O56</f>
        <v>7501.1890896951563</v>
      </c>
      <c r="P57" s="31"/>
      <c r="Q57" s="31"/>
      <c r="R57" s="31"/>
      <c r="S57" s="31"/>
      <c r="T57" s="31"/>
      <c r="U57" s="31"/>
    </row>
    <row r="58" spans="1:50">
      <c r="B58" s="71"/>
      <c r="C58" s="71"/>
      <c r="D58" s="72"/>
      <c r="E58" s="72"/>
      <c r="F58" s="76"/>
      <c r="G58" s="76"/>
      <c r="H58" s="76"/>
      <c r="I58" s="76"/>
      <c r="J58" s="76"/>
      <c r="K58" s="76"/>
      <c r="L58" s="76"/>
      <c r="M58" s="65"/>
      <c r="N58" s="31"/>
      <c r="O58" s="31"/>
      <c r="P58" s="31"/>
      <c r="Q58" s="31"/>
      <c r="R58" s="31"/>
      <c r="S58" s="31"/>
      <c r="T58" s="31"/>
      <c r="U58" s="31"/>
    </row>
    <row r="59" spans="1:50">
      <c r="A59" s="1" t="s">
        <v>80</v>
      </c>
      <c r="B59" s="71"/>
      <c r="C59" s="71"/>
      <c r="D59" s="72"/>
      <c r="E59" s="72"/>
      <c r="F59" s="76"/>
      <c r="G59" s="76"/>
      <c r="H59" s="76"/>
      <c r="I59" s="76"/>
      <c r="J59" s="76"/>
      <c r="K59" s="76"/>
      <c r="L59" s="76"/>
      <c r="M59" s="65"/>
      <c r="N59" s="31"/>
      <c r="O59" s="31"/>
      <c r="P59" s="31"/>
      <c r="Q59" s="31"/>
      <c r="R59" s="31"/>
      <c r="S59" s="31"/>
      <c r="T59" s="31"/>
      <c r="U59" s="31"/>
    </row>
    <row r="60" spans="1:50">
      <c r="A60" s="1" t="s">
        <v>81</v>
      </c>
      <c r="B60" s="71"/>
      <c r="C60" s="71"/>
      <c r="D60" s="72"/>
      <c r="E60" s="72"/>
      <c r="F60" s="76"/>
      <c r="G60" s="76"/>
      <c r="H60" s="76"/>
      <c r="I60" s="76"/>
      <c r="J60" s="76"/>
      <c r="K60" s="76"/>
      <c r="L60" s="76"/>
      <c r="M60" s="65"/>
      <c r="N60" s="31">
        <f>Inputs!N91</f>
        <v>26549.540108547932</v>
      </c>
      <c r="O60" s="31">
        <f>N68</f>
        <v>33170.829435464715</v>
      </c>
      <c r="P60" s="31">
        <f t="shared" ref="P60:AX60" si="22">+O68</f>
        <v>37291.697413650283</v>
      </c>
      <c r="Q60" s="31">
        <f t="shared" si="22"/>
        <v>39266.37283798321</v>
      </c>
      <c r="R60" s="31">
        <f t="shared" si="22"/>
        <v>40732.146916709811</v>
      </c>
      <c r="S60" s="31">
        <f t="shared" si="22"/>
        <v>43145.331690931518</v>
      </c>
      <c r="T60" s="31">
        <f t="shared" si="22"/>
        <v>46563.804958879118</v>
      </c>
      <c r="U60" s="31">
        <f t="shared" si="22"/>
        <v>47597.604561114946</v>
      </c>
      <c r="V60" s="31">
        <f t="shared" si="22"/>
        <v>49338.712717683753</v>
      </c>
      <c r="W60" s="31">
        <f t="shared" si="22"/>
        <v>47801.791628876119</v>
      </c>
      <c r="X60" s="31">
        <f t="shared" si="22"/>
        <v>46056.541641482647</v>
      </c>
      <c r="Y60" s="31">
        <f t="shared" si="22"/>
        <v>44356.38025373924</v>
      </c>
      <c r="Z60" s="31">
        <f t="shared" si="22"/>
        <v>42697.91993473046</v>
      </c>
      <c r="AA60" s="31">
        <f t="shared" si="22"/>
        <v>41141.808946870828</v>
      </c>
      <c r="AB60" s="31">
        <f t="shared" si="22"/>
        <v>39692.759598616212</v>
      </c>
      <c r="AC60" s="31">
        <f t="shared" si="22"/>
        <v>38355.889108297735</v>
      </c>
      <c r="AD60" s="31">
        <f t="shared" si="22"/>
        <v>37215.964564014117</v>
      </c>
      <c r="AE60" s="31">
        <f t="shared" si="22"/>
        <v>36250.066745878314</v>
      </c>
      <c r="AF60" s="31">
        <f t="shared" si="22"/>
        <v>35407.779575268243</v>
      </c>
      <c r="AG60" s="31">
        <f t="shared" si="22"/>
        <v>35149.490857295787</v>
      </c>
      <c r="AH60" s="31">
        <f t="shared" si="22"/>
        <v>34382.292823283475</v>
      </c>
      <c r="AI60" s="31">
        <f t="shared" si="22"/>
        <v>33772.154677109953</v>
      </c>
      <c r="AJ60" s="31">
        <f t="shared" si="22"/>
        <v>33122.220753273417</v>
      </c>
      <c r="AK60" s="31">
        <f t="shared" si="22"/>
        <v>32509.621632084312</v>
      </c>
      <c r="AL60" s="31">
        <f t="shared" si="22"/>
        <v>31914.802969923618</v>
      </c>
      <c r="AM60" s="31">
        <f t="shared" si="22"/>
        <v>31351.414219473318</v>
      </c>
      <c r="AN60" s="31">
        <f t="shared" si="22"/>
        <v>30907.013620345144</v>
      </c>
      <c r="AO60" s="31">
        <f t="shared" si="22"/>
        <v>30459.640570056192</v>
      </c>
      <c r="AP60" s="31">
        <f t="shared" si="22"/>
        <v>30091.561402552856</v>
      </c>
      <c r="AQ60" s="31">
        <f t="shared" si="22"/>
        <v>29708.363803254422</v>
      </c>
      <c r="AR60" s="31">
        <f t="shared" si="22"/>
        <v>29310.576986932094</v>
      </c>
      <c r="AS60" s="31">
        <f t="shared" si="22"/>
        <v>29015.877750655029</v>
      </c>
      <c r="AT60" s="31">
        <f t="shared" si="22"/>
        <v>28769.632556271088</v>
      </c>
      <c r="AU60" s="31">
        <f t="shared" si="22"/>
        <v>28505.865025897612</v>
      </c>
      <c r="AV60" s="31">
        <f t="shared" si="22"/>
        <v>28273.005647462203</v>
      </c>
      <c r="AW60" s="31">
        <f t="shared" si="22"/>
        <v>28118.173754401203</v>
      </c>
      <c r="AX60" s="31">
        <f t="shared" si="22"/>
        <v>28040.5115178456</v>
      </c>
    </row>
    <row r="61" spans="1:50">
      <c r="A61" s="1" t="s">
        <v>155</v>
      </c>
      <c r="B61" s="71"/>
      <c r="C61" s="71"/>
      <c r="D61" s="72"/>
      <c r="E61" s="72"/>
      <c r="F61" s="76"/>
      <c r="G61" s="76"/>
      <c r="H61" s="76"/>
      <c r="I61" s="76"/>
      <c r="J61" s="76"/>
      <c r="K61" s="76"/>
      <c r="L61" s="76"/>
      <c r="M61" s="65"/>
      <c r="N61" s="31">
        <f>N57</f>
        <v>9738.5763121592117</v>
      </c>
      <c r="O61" s="31">
        <f>O57</f>
        <v>7501.1890896951563</v>
      </c>
      <c r="P61" s="31">
        <f t="shared" ref="P61:AX61" si="23">P28*P32</f>
        <v>4681.0396480339832</v>
      </c>
      <c r="Q61" s="31">
        <f t="shared" si="23"/>
        <v>4265.6983500059505</v>
      </c>
      <c r="R61" s="31">
        <f t="shared" si="23"/>
        <v>5367.1421161960589</v>
      </c>
      <c r="S61" s="31">
        <f t="shared" si="23"/>
        <v>6590.6310312803134</v>
      </c>
      <c r="T61" s="31">
        <f t="shared" si="23"/>
        <v>4271.9445742218868</v>
      </c>
      <c r="U61" s="31">
        <f t="shared" si="23"/>
        <v>5090.3876917401121</v>
      </c>
      <c r="V61" s="31">
        <f t="shared" si="23"/>
        <v>1714.2571002695656</v>
      </c>
      <c r="W61" s="31">
        <f t="shared" si="23"/>
        <v>1394.5292663181799</v>
      </c>
      <c r="X61" s="31">
        <f t="shared" si="23"/>
        <v>1331.0969263250615</v>
      </c>
      <c r="Y61" s="31">
        <f t="shared" si="23"/>
        <v>1266.9388257612534</v>
      </c>
      <c r="Z61" s="31">
        <f t="shared" si="23"/>
        <v>1269.9619236427604</v>
      </c>
      <c r="AA61" s="31">
        <f t="shared" si="23"/>
        <v>1284.5310516570637</v>
      </c>
      <c r="AB61" s="31">
        <f t="shared" si="23"/>
        <v>1311.3777506366964</v>
      </c>
      <c r="AC61" s="31">
        <f t="shared" si="23"/>
        <v>1435.5625555470722</v>
      </c>
      <c r="AD61" s="31">
        <f t="shared" si="23"/>
        <v>1547.9362294734524</v>
      </c>
      <c r="AE61" s="31">
        <f t="shared" si="23"/>
        <v>1617.7838661091801</v>
      </c>
      <c r="AF61" s="31">
        <f t="shared" si="23"/>
        <v>2185.2958048336554</v>
      </c>
      <c r="AG61" s="31">
        <f t="shared" si="23"/>
        <v>1627.4164015164192</v>
      </c>
      <c r="AH61" s="31">
        <f t="shared" si="23"/>
        <v>1745.5313013015864</v>
      </c>
      <c r="AI61" s="31">
        <f t="shared" si="23"/>
        <v>1664.2503795638893</v>
      </c>
      <c r="AJ61" s="31">
        <f t="shared" si="23"/>
        <v>1662.4831106460597</v>
      </c>
      <c r="AK61" s="31">
        <f t="shared" si="23"/>
        <v>1642.2964210259202</v>
      </c>
      <c r="AL61" s="31">
        <f t="shared" si="23"/>
        <v>1637.7653486650192</v>
      </c>
      <c r="AM61" s="31">
        <f t="shared" si="23"/>
        <v>1728.3875042981138</v>
      </c>
      <c r="AN61" s="31">
        <f t="shared" si="23"/>
        <v>1696.8593265231464</v>
      </c>
      <c r="AO61" s="31">
        <f t="shared" si="23"/>
        <v>1752.6587943617374</v>
      </c>
      <c r="AP61" s="31">
        <f t="shared" si="23"/>
        <v>1713.0809413348281</v>
      </c>
      <c r="AQ61" s="31">
        <f t="shared" si="23"/>
        <v>1673.1010764605708</v>
      </c>
      <c r="AR61" s="31">
        <f t="shared" si="23"/>
        <v>1757.3780669562345</v>
      </c>
      <c r="AS61" s="31">
        <f t="shared" si="23"/>
        <v>1790.114330484425</v>
      </c>
      <c r="AT61" s="31">
        <f t="shared" si="23"/>
        <v>1755.7557691519048</v>
      </c>
      <c r="AU61" s="31">
        <f t="shared" si="23"/>
        <v>1771.8005565089882</v>
      </c>
      <c r="AV61" s="31">
        <f t="shared" si="23"/>
        <v>1839.9451550922688</v>
      </c>
      <c r="AW61" s="31">
        <f t="shared" si="23"/>
        <v>1912.1576475622028</v>
      </c>
      <c r="AX61" s="31">
        <f t="shared" si="23"/>
        <v>2026.2219264779758</v>
      </c>
    </row>
    <row r="62" spans="1:50">
      <c r="A62" s="1" t="s">
        <v>112</v>
      </c>
      <c r="B62" s="71"/>
      <c r="C62" s="71"/>
      <c r="D62" s="72"/>
      <c r="E62" s="72"/>
      <c r="F62" s="76"/>
      <c r="G62" s="76"/>
      <c r="H62" s="76"/>
      <c r="I62" s="76"/>
      <c r="J62" s="76"/>
      <c r="K62" s="76"/>
      <c r="L62" s="76"/>
      <c r="M62" s="65"/>
      <c r="N62" s="31">
        <f>Inputs!N92</f>
        <v>-1000</v>
      </c>
      <c r="O62" s="31">
        <f>Inputs!O92</f>
        <v>-1000</v>
      </c>
      <c r="P62" s="31">
        <f>Inputs!P92</f>
        <v>-200</v>
      </c>
      <c r="Q62" s="31">
        <f>Inputs!Q92</f>
        <v>-200</v>
      </c>
      <c r="R62" s="31">
        <f>Inputs!R92</f>
        <v>-200</v>
      </c>
      <c r="S62" s="31">
        <f>Inputs!S92</f>
        <v>-200</v>
      </c>
      <c r="T62" s="31">
        <f>Inputs!T92</f>
        <v>-200</v>
      </c>
      <c r="U62" s="31">
        <f>T62</f>
        <v>-200</v>
      </c>
      <c r="V62" s="31">
        <f t="shared" ref="V62:AX62" si="24">U62</f>
        <v>-200</v>
      </c>
      <c r="W62" s="31">
        <f t="shared" si="24"/>
        <v>-200</v>
      </c>
      <c r="X62" s="31">
        <f t="shared" si="24"/>
        <v>-200</v>
      </c>
      <c r="Y62" s="31">
        <f t="shared" si="24"/>
        <v>-200</v>
      </c>
      <c r="Z62" s="31">
        <f t="shared" si="24"/>
        <v>-200</v>
      </c>
      <c r="AA62" s="31">
        <f t="shared" si="24"/>
        <v>-200</v>
      </c>
      <c r="AB62" s="31">
        <f t="shared" si="24"/>
        <v>-200</v>
      </c>
      <c r="AC62" s="31">
        <f t="shared" si="24"/>
        <v>-200</v>
      </c>
      <c r="AD62" s="31">
        <f t="shared" si="24"/>
        <v>-200</v>
      </c>
      <c r="AE62" s="31">
        <f t="shared" si="24"/>
        <v>-200</v>
      </c>
      <c r="AF62" s="31">
        <f t="shared" si="24"/>
        <v>-200</v>
      </c>
      <c r="AG62" s="31">
        <f t="shared" si="24"/>
        <v>-200</v>
      </c>
      <c r="AH62" s="31">
        <f t="shared" si="24"/>
        <v>-200</v>
      </c>
      <c r="AI62" s="31">
        <f t="shared" si="24"/>
        <v>-200</v>
      </c>
      <c r="AJ62" s="31">
        <f t="shared" si="24"/>
        <v>-200</v>
      </c>
      <c r="AK62" s="31">
        <f t="shared" si="24"/>
        <v>-200</v>
      </c>
      <c r="AL62" s="31">
        <f t="shared" si="24"/>
        <v>-200</v>
      </c>
      <c r="AM62" s="31">
        <f t="shared" si="24"/>
        <v>-200</v>
      </c>
      <c r="AN62" s="31">
        <f t="shared" si="24"/>
        <v>-200</v>
      </c>
      <c r="AO62" s="31">
        <f t="shared" si="24"/>
        <v>-200</v>
      </c>
      <c r="AP62" s="31">
        <f t="shared" si="24"/>
        <v>-200</v>
      </c>
      <c r="AQ62" s="31">
        <f t="shared" si="24"/>
        <v>-200</v>
      </c>
      <c r="AR62" s="31">
        <f t="shared" si="24"/>
        <v>-200</v>
      </c>
      <c r="AS62" s="31">
        <f t="shared" si="24"/>
        <v>-200</v>
      </c>
      <c r="AT62" s="31">
        <f t="shared" si="24"/>
        <v>-200</v>
      </c>
      <c r="AU62" s="31">
        <f t="shared" si="24"/>
        <v>-200</v>
      </c>
      <c r="AV62" s="31">
        <f t="shared" si="24"/>
        <v>-200</v>
      </c>
      <c r="AW62" s="31">
        <f t="shared" si="24"/>
        <v>-200</v>
      </c>
      <c r="AX62" s="31">
        <f t="shared" si="24"/>
        <v>-200</v>
      </c>
    </row>
    <row r="63" spans="1:50">
      <c r="A63" s="1" t="s">
        <v>116</v>
      </c>
      <c r="B63" s="71"/>
      <c r="C63" s="71"/>
      <c r="D63" s="72"/>
      <c r="E63" s="72"/>
      <c r="F63" s="76"/>
      <c r="G63" s="76"/>
      <c r="H63" s="76"/>
      <c r="I63" s="76"/>
      <c r="J63" s="76"/>
      <c r="K63" s="76"/>
      <c r="L63" s="76"/>
      <c r="M63" s="65"/>
      <c r="N63" s="31">
        <f>SUM(N61:N62)</f>
        <v>8738.5763121592117</v>
      </c>
      <c r="O63" s="31">
        <f>SUM(O61:O62)</f>
        <v>6501.1890896951563</v>
      </c>
      <c r="P63" s="31">
        <f t="shared" ref="P63:U63" si="25">SUM(P61:P62)</f>
        <v>4481.0396480339832</v>
      </c>
      <c r="Q63" s="31">
        <f t="shared" si="25"/>
        <v>4065.6983500059505</v>
      </c>
      <c r="R63" s="31">
        <f t="shared" si="25"/>
        <v>5167.1421161960589</v>
      </c>
      <c r="S63" s="31">
        <f t="shared" si="25"/>
        <v>6390.6310312803134</v>
      </c>
      <c r="T63" s="31">
        <f t="shared" si="25"/>
        <v>4071.9445742218868</v>
      </c>
      <c r="U63" s="31">
        <f t="shared" si="25"/>
        <v>4890.3876917401121</v>
      </c>
      <c r="V63" s="31">
        <f t="shared" ref="V63:AX63" si="26">SUM(V61:V62)</f>
        <v>1514.2571002695656</v>
      </c>
      <c r="W63" s="31">
        <f t="shared" si="26"/>
        <v>1194.5292663181799</v>
      </c>
      <c r="X63" s="31">
        <f t="shared" si="26"/>
        <v>1131.0969263250615</v>
      </c>
      <c r="Y63" s="31">
        <f t="shared" si="26"/>
        <v>1066.9388257612534</v>
      </c>
      <c r="Z63" s="31">
        <f t="shared" si="26"/>
        <v>1069.9619236427604</v>
      </c>
      <c r="AA63" s="31">
        <f t="shared" si="26"/>
        <v>1084.5310516570637</v>
      </c>
      <c r="AB63" s="31">
        <f t="shared" si="26"/>
        <v>1111.3777506366964</v>
      </c>
      <c r="AC63" s="31">
        <f t="shared" si="26"/>
        <v>1235.5625555470722</v>
      </c>
      <c r="AD63" s="31">
        <f t="shared" si="26"/>
        <v>1347.9362294734524</v>
      </c>
      <c r="AE63" s="31">
        <f t="shared" si="26"/>
        <v>1417.7838661091801</v>
      </c>
      <c r="AF63" s="31">
        <f t="shared" si="26"/>
        <v>1985.2958048336554</v>
      </c>
      <c r="AG63" s="31">
        <f t="shared" si="26"/>
        <v>1427.4164015164192</v>
      </c>
      <c r="AH63" s="31">
        <f t="shared" si="26"/>
        <v>1545.5313013015864</v>
      </c>
      <c r="AI63" s="31">
        <f t="shared" si="26"/>
        <v>1464.2503795638893</v>
      </c>
      <c r="AJ63" s="31">
        <f t="shared" si="26"/>
        <v>1462.4831106460597</v>
      </c>
      <c r="AK63" s="31">
        <f t="shared" si="26"/>
        <v>1442.2964210259202</v>
      </c>
      <c r="AL63" s="31">
        <f t="shared" si="26"/>
        <v>1437.7653486650192</v>
      </c>
      <c r="AM63" s="31">
        <f t="shared" si="26"/>
        <v>1528.3875042981138</v>
      </c>
      <c r="AN63" s="31">
        <f t="shared" si="26"/>
        <v>1496.8593265231464</v>
      </c>
      <c r="AO63" s="31">
        <f t="shared" si="26"/>
        <v>1552.6587943617374</v>
      </c>
      <c r="AP63" s="31">
        <f t="shared" si="26"/>
        <v>1513.0809413348281</v>
      </c>
      <c r="AQ63" s="31">
        <f t="shared" si="26"/>
        <v>1473.1010764605708</v>
      </c>
      <c r="AR63" s="31">
        <f t="shared" si="26"/>
        <v>1557.3780669562345</v>
      </c>
      <c r="AS63" s="31">
        <f t="shared" si="26"/>
        <v>1590.114330484425</v>
      </c>
      <c r="AT63" s="31">
        <f t="shared" si="26"/>
        <v>1555.7557691519048</v>
      </c>
      <c r="AU63" s="31">
        <f t="shared" si="26"/>
        <v>1571.8005565089882</v>
      </c>
      <c r="AV63" s="31">
        <f t="shared" si="26"/>
        <v>1639.9451550922688</v>
      </c>
      <c r="AW63" s="31">
        <f t="shared" si="26"/>
        <v>1712.1576475622028</v>
      </c>
      <c r="AX63" s="31">
        <f t="shared" si="26"/>
        <v>1826.2219264779758</v>
      </c>
    </row>
    <row r="64" spans="1:50">
      <c r="A64" s="1" t="s">
        <v>115</v>
      </c>
      <c r="B64" s="71"/>
      <c r="C64" s="71"/>
      <c r="D64" s="72"/>
      <c r="E64" s="72"/>
      <c r="F64" s="76"/>
      <c r="G64" s="76"/>
      <c r="H64" s="76"/>
      <c r="I64" s="76"/>
      <c r="J64" s="76"/>
      <c r="K64" s="76"/>
      <c r="L64" s="76"/>
      <c r="M64" s="65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</row>
    <row r="65" spans="1:50">
      <c r="A65" s="1" t="s">
        <v>74</v>
      </c>
      <c r="B65" s="71"/>
      <c r="C65" s="71"/>
      <c r="D65" s="72"/>
      <c r="E65" s="72"/>
      <c r="F65" s="76"/>
      <c r="G65" s="76"/>
      <c r="H65" s="76"/>
      <c r="I65" s="76"/>
      <c r="J65" s="76"/>
      <c r="K65" s="76"/>
      <c r="L65" s="76"/>
      <c r="M65" s="65"/>
      <c r="N65" s="31">
        <f t="shared" ref="N65:U65" si="27">N60+N63</f>
        <v>35288.116420707142</v>
      </c>
      <c r="O65" s="31">
        <f t="shared" si="27"/>
        <v>39672.018525159874</v>
      </c>
      <c r="P65" s="31">
        <f t="shared" si="27"/>
        <v>41772.737061684267</v>
      </c>
      <c r="Q65" s="31">
        <f t="shared" si="27"/>
        <v>43332.071187989161</v>
      </c>
      <c r="R65" s="31">
        <f t="shared" si="27"/>
        <v>45899.289032905872</v>
      </c>
      <c r="S65" s="31">
        <f t="shared" si="27"/>
        <v>49535.962722211829</v>
      </c>
      <c r="T65" s="31">
        <f t="shared" si="27"/>
        <v>50635.749533101007</v>
      </c>
      <c r="U65" s="31">
        <f t="shared" si="27"/>
        <v>52487.99225285506</v>
      </c>
      <c r="V65" s="31">
        <f t="shared" ref="V65:AX65" si="28">V60+V63</f>
        <v>50852.969817953315</v>
      </c>
      <c r="W65" s="31">
        <f t="shared" si="28"/>
        <v>48996.320895194302</v>
      </c>
      <c r="X65" s="31">
        <f t="shared" si="28"/>
        <v>47187.638567807706</v>
      </c>
      <c r="Y65" s="31">
        <f t="shared" si="28"/>
        <v>45423.319079500492</v>
      </c>
      <c r="Z65" s="31">
        <f t="shared" si="28"/>
        <v>43767.881858373221</v>
      </c>
      <c r="AA65" s="31">
        <f t="shared" si="28"/>
        <v>42226.339998527888</v>
      </c>
      <c r="AB65" s="31">
        <f t="shared" si="28"/>
        <v>40804.137349252909</v>
      </c>
      <c r="AC65" s="31">
        <f t="shared" si="28"/>
        <v>39591.451663844804</v>
      </c>
      <c r="AD65" s="31">
        <f t="shared" si="28"/>
        <v>38563.90079348757</v>
      </c>
      <c r="AE65" s="31">
        <f t="shared" si="28"/>
        <v>37667.850611987495</v>
      </c>
      <c r="AF65" s="31">
        <f t="shared" si="28"/>
        <v>37393.075380101902</v>
      </c>
      <c r="AG65" s="31">
        <f t="shared" si="28"/>
        <v>36576.907258812207</v>
      </c>
      <c r="AH65" s="31">
        <f t="shared" si="28"/>
        <v>35927.824124585059</v>
      </c>
      <c r="AI65" s="31">
        <f t="shared" si="28"/>
        <v>35236.405056673844</v>
      </c>
      <c r="AJ65" s="31">
        <f t="shared" si="28"/>
        <v>34584.70386391948</v>
      </c>
      <c r="AK65" s="31">
        <f t="shared" si="28"/>
        <v>33951.918053110232</v>
      </c>
      <c r="AL65" s="31">
        <f t="shared" si="28"/>
        <v>33352.568318588637</v>
      </c>
      <c r="AM65" s="31">
        <f t="shared" si="28"/>
        <v>32879.80172377143</v>
      </c>
      <c r="AN65" s="31">
        <f t="shared" si="28"/>
        <v>32403.87294686829</v>
      </c>
      <c r="AO65" s="31">
        <f t="shared" si="28"/>
        <v>32012.29936441793</v>
      </c>
      <c r="AP65" s="31">
        <f t="shared" si="28"/>
        <v>31604.642343887685</v>
      </c>
      <c r="AQ65" s="31">
        <f t="shared" si="28"/>
        <v>31181.464879714993</v>
      </c>
      <c r="AR65" s="31">
        <f t="shared" si="28"/>
        <v>30867.955053888327</v>
      </c>
      <c r="AS65" s="31">
        <f t="shared" si="28"/>
        <v>30605.992081139455</v>
      </c>
      <c r="AT65" s="31">
        <f t="shared" si="28"/>
        <v>30325.388325422991</v>
      </c>
      <c r="AU65" s="31">
        <f t="shared" si="28"/>
        <v>30077.6655824066</v>
      </c>
      <c r="AV65" s="31">
        <f t="shared" si="28"/>
        <v>29912.950802554471</v>
      </c>
      <c r="AW65" s="31">
        <f t="shared" si="28"/>
        <v>29830.331401963405</v>
      </c>
      <c r="AX65" s="31">
        <f t="shared" si="28"/>
        <v>29866.733444323574</v>
      </c>
    </row>
    <row r="66" spans="1:50">
      <c r="A66" s="1" t="s">
        <v>82</v>
      </c>
      <c r="B66" s="71"/>
      <c r="C66" s="71"/>
      <c r="D66" s="72"/>
      <c r="E66" s="72"/>
      <c r="F66" s="76"/>
      <c r="G66" s="76"/>
      <c r="H66" s="76"/>
      <c r="I66" s="76"/>
      <c r="J66" s="76"/>
      <c r="K66" s="76"/>
      <c r="L66" s="76"/>
      <c r="M66" s="65"/>
      <c r="N66" s="31">
        <f>N65*Inputs!$N$93</f>
        <v>2117.2869852424283</v>
      </c>
      <c r="O66" s="31">
        <f>O65*Inputs!$N$93</f>
        <v>2380.3211115095924</v>
      </c>
      <c r="P66" s="31">
        <f>P65*Inputs!$N$93</f>
        <v>2506.3642237010558</v>
      </c>
      <c r="Q66" s="31">
        <f>Q65*Inputs!$N$93</f>
        <v>2599.9242712793493</v>
      </c>
      <c r="R66" s="31">
        <f>R65*Inputs!$N$93</f>
        <v>2753.9573419743524</v>
      </c>
      <c r="S66" s="31">
        <f>S65*Inputs!$N$93</f>
        <v>2972.1577633327097</v>
      </c>
      <c r="T66" s="31">
        <f>T65*Inputs!$N$93</f>
        <v>3038.1449719860602</v>
      </c>
      <c r="U66" s="31">
        <f>U65*Inputs!$N$93</f>
        <v>3149.2795351713035</v>
      </c>
      <c r="V66" s="31">
        <f>V65*Inputs!$N$93</f>
        <v>3051.178189077199</v>
      </c>
      <c r="W66" s="31">
        <f>W65*Inputs!$N$93</f>
        <v>2939.7792537116579</v>
      </c>
      <c r="X66" s="31">
        <f>X65*Inputs!$N$93</f>
        <v>2831.2583140684624</v>
      </c>
      <c r="Y66" s="31">
        <f>Y65*Inputs!$N$93</f>
        <v>2725.3991447700296</v>
      </c>
      <c r="Z66" s="31">
        <f>Z65*Inputs!$N$93</f>
        <v>2626.0729115023933</v>
      </c>
      <c r="AA66" s="31">
        <f>AA65*Inputs!$N$93</f>
        <v>2533.5803999116733</v>
      </c>
      <c r="AB66" s="31">
        <f>AB65*Inputs!$N$93</f>
        <v>2448.2482409551744</v>
      </c>
      <c r="AC66" s="31">
        <f>AC65*Inputs!$N$93</f>
        <v>2375.4870998306883</v>
      </c>
      <c r="AD66" s="31">
        <f>AD65*Inputs!$N$93</f>
        <v>2313.834047609254</v>
      </c>
      <c r="AE66" s="31">
        <f>AE65*Inputs!$N$93</f>
        <v>2260.0710367192496</v>
      </c>
      <c r="AF66" s="31">
        <f>AF65*Inputs!$N$93</f>
        <v>2243.5845228061139</v>
      </c>
      <c r="AG66" s="31">
        <f>AG65*Inputs!$N$93</f>
        <v>2194.6144355287324</v>
      </c>
      <c r="AH66" s="31">
        <f>AH65*Inputs!$N$93</f>
        <v>2155.6694474751034</v>
      </c>
      <c r="AI66" s="31">
        <f>AI65*Inputs!$N$93</f>
        <v>2114.1843034004305</v>
      </c>
      <c r="AJ66" s="31">
        <f>AJ65*Inputs!$N$93</f>
        <v>2075.0822318351688</v>
      </c>
      <c r="AK66" s="31">
        <f>AK65*Inputs!$N$93</f>
        <v>2037.1150831866139</v>
      </c>
      <c r="AL66" s="31">
        <f>AL65*Inputs!$N$93</f>
        <v>2001.1540991153181</v>
      </c>
      <c r="AM66" s="31">
        <f>AM65*Inputs!$N$93</f>
        <v>1972.7881034262857</v>
      </c>
      <c r="AN66" s="31">
        <f>AN65*Inputs!$N$93</f>
        <v>1944.2323768120973</v>
      </c>
      <c r="AO66" s="31">
        <f>AO65*Inputs!$N$93</f>
        <v>1920.7379618650757</v>
      </c>
      <c r="AP66" s="31">
        <f>AP65*Inputs!$N$93</f>
        <v>1896.2785406332609</v>
      </c>
      <c r="AQ66" s="31">
        <f>AQ65*Inputs!$N$93</f>
        <v>1870.8878927828996</v>
      </c>
      <c r="AR66" s="31">
        <f>AR65*Inputs!$N$93</f>
        <v>1852.0773032332995</v>
      </c>
      <c r="AS66" s="31">
        <f>AS65*Inputs!$N$93</f>
        <v>1836.3595248683673</v>
      </c>
      <c r="AT66" s="31">
        <f>AT65*Inputs!$N$93</f>
        <v>1819.5232995253793</v>
      </c>
      <c r="AU66" s="31">
        <f>AU65*Inputs!$N$93</f>
        <v>1804.6599349443959</v>
      </c>
      <c r="AV66" s="31">
        <f>AV65*Inputs!$N$93</f>
        <v>1794.7770481532682</v>
      </c>
      <c r="AW66" s="31">
        <f>AW65*Inputs!$N$93</f>
        <v>1789.8198841178043</v>
      </c>
      <c r="AX66" s="31">
        <f>AX65*Inputs!$N$93</f>
        <v>1792.0040066594145</v>
      </c>
    </row>
    <row r="67" spans="1:50">
      <c r="A67" s="1" t="s">
        <v>118</v>
      </c>
      <c r="B67" s="71"/>
      <c r="C67" s="71"/>
      <c r="D67" s="72"/>
      <c r="E67" s="72"/>
      <c r="F67" s="76"/>
      <c r="G67" s="76"/>
      <c r="H67" s="76"/>
      <c r="I67" s="76"/>
      <c r="J67" s="76"/>
      <c r="K67" s="76"/>
      <c r="L67" s="76"/>
      <c r="M67" s="65"/>
      <c r="N67" s="31">
        <f>N72</f>
        <v>0</v>
      </c>
      <c r="O67" s="31">
        <f>O72</f>
        <v>0</v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</row>
    <row r="68" spans="1:50">
      <c r="A68" s="1" t="s">
        <v>83</v>
      </c>
      <c r="B68" s="71"/>
      <c r="C68" s="71"/>
      <c r="D68" s="72"/>
      <c r="E68" s="72"/>
      <c r="F68" s="76"/>
      <c r="G68" s="76"/>
      <c r="H68" s="76"/>
      <c r="I68" s="76"/>
      <c r="J68" s="76"/>
      <c r="K68" s="76"/>
      <c r="L68" s="76"/>
      <c r="M68" s="65"/>
      <c r="N68" s="116">
        <f>(N65-N66)+N67</f>
        <v>33170.829435464715</v>
      </c>
      <c r="O68" s="116">
        <f>(O65-O66)+O67</f>
        <v>37291.697413650283</v>
      </c>
      <c r="P68" s="116">
        <f t="shared" ref="P68:U68" si="29">P65-P66</f>
        <v>39266.37283798321</v>
      </c>
      <c r="Q68" s="116">
        <f t="shared" si="29"/>
        <v>40732.146916709811</v>
      </c>
      <c r="R68" s="116">
        <f t="shared" si="29"/>
        <v>43145.331690931518</v>
      </c>
      <c r="S68" s="116">
        <f t="shared" si="29"/>
        <v>46563.804958879118</v>
      </c>
      <c r="T68" s="116">
        <f t="shared" si="29"/>
        <v>47597.604561114946</v>
      </c>
      <c r="U68" s="116">
        <f t="shared" si="29"/>
        <v>49338.712717683753</v>
      </c>
      <c r="V68" s="116">
        <f t="shared" ref="V68:AX68" si="30">V65-V66</f>
        <v>47801.791628876119</v>
      </c>
      <c r="W68" s="116">
        <f t="shared" si="30"/>
        <v>46056.541641482647</v>
      </c>
      <c r="X68" s="116">
        <f t="shared" si="30"/>
        <v>44356.38025373924</v>
      </c>
      <c r="Y68" s="116">
        <f t="shared" si="30"/>
        <v>42697.91993473046</v>
      </c>
      <c r="Z68" s="116">
        <f t="shared" si="30"/>
        <v>41141.808946870828</v>
      </c>
      <c r="AA68" s="116">
        <f t="shared" si="30"/>
        <v>39692.759598616212</v>
      </c>
      <c r="AB68" s="116">
        <f t="shared" si="30"/>
        <v>38355.889108297735</v>
      </c>
      <c r="AC68" s="116">
        <f t="shared" si="30"/>
        <v>37215.964564014117</v>
      </c>
      <c r="AD68" s="116">
        <f t="shared" si="30"/>
        <v>36250.066745878314</v>
      </c>
      <c r="AE68" s="116">
        <f t="shared" si="30"/>
        <v>35407.779575268243</v>
      </c>
      <c r="AF68" s="116">
        <f t="shared" si="30"/>
        <v>35149.490857295787</v>
      </c>
      <c r="AG68" s="116">
        <f t="shared" si="30"/>
        <v>34382.292823283475</v>
      </c>
      <c r="AH68" s="116">
        <f t="shared" si="30"/>
        <v>33772.154677109953</v>
      </c>
      <c r="AI68" s="116">
        <f t="shared" si="30"/>
        <v>33122.220753273417</v>
      </c>
      <c r="AJ68" s="116">
        <f t="shared" si="30"/>
        <v>32509.621632084312</v>
      </c>
      <c r="AK68" s="116">
        <f t="shared" si="30"/>
        <v>31914.802969923618</v>
      </c>
      <c r="AL68" s="116">
        <f t="shared" si="30"/>
        <v>31351.414219473318</v>
      </c>
      <c r="AM68" s="116">
        <f t="shared" si="30"/>
        <v>30907.013620345144</v>
      </c>
      <c r="AN68" s="116">
        <f t="shared" si="30"/>
        <v>30459.640570056192</v>
      </c>
      <c r="AO68" s="116">
        <f t="shared" si="30"/>
        <v>30091.561402552856</v>
      </c>
      <c r="AP68" s="116">
        <f t="shared" si="30"/>
        <v>29708.363803254422</v>
      </c>
      <c r="AQ68" s="116">
        <f t="shared" si="30"/>
        <v>29310.576986932094</v>
      </c>
      <c r="AR68" s="116">
        <f t="shared" si="30"/>
        <v>29015.877750655029</v>
      </c>
      <c r="AS68" s="116">
        <f t="shared" si="30"/>
        <v>28769.632556271088</v>
      </c>
      <c r="AT68" s="116">
        <f t="shared" si="30"/>
        <v>28505.865025897612</v>
      </c>
      <c r="AU68" s="116">
        <f t="shared" si="30"/>
        <v>28273.005647462203</v>
      </c>
      <c r="AV68" s="116">
        <f t="shared" si="30"/>
        <v>28118.173754401203</v>
      </c>
      <c r="AW68" s="116">
        <f t="shared" si="30"/>
        <v>28040.5115178456</v>
      </c>
      <c r="AX68" s="116">
        <f t="shared" si="30"/>
        <v>28074.729437664158</v>
      </c>
    </row>
    <row r="69" spans="1:50">
      <c r="A69" s="1"/>
      <c r="B69" s="71"/>
      <c r="C69" s="71"/>
      <c r="D69" s="72"/>
      <c r="E69" s="72"/>
      <c r="F69" s="76"/>
      <c r="G69" s="76"/>
      <c r="H69" s="76"/>
      <c r="I69" s="76"/>
      <c r="J69" s="76"/>
      <c r="K69" s="76"/>
      <c r="L69" s="76"/>
      <c r="M69" s="65"/>
      <c r="N69" s="31"/>
      <c r="O69" s="31"/>
      <c r="P69" s="31"/>
      <c r="Q69" s="31"/>
      <c r="R69" s="31"/>
      <c r="S69" s="31"/>
      <c r="T69" s="31"/>
      <c r="U69" s="31"/>
    </row>
    <row r="70" spans="1:50">
      <c r="A70" s="1" t="s">
        <v>114</v>
      </c>
      <c r="B70" s="71"/>
      <c r="C70" s="71"/>
      <c r="D70" s="72"/>
      <c r="E70" s="72"/>
      <c r="F70" s="76"/>
      <c r="G70" s="76"/>
      <c r="H70" s="76"/>
      <c r="I70" s="76"/>
      <c r="J70" s="76"/>
      <c r="K70" s="76"/>
      <c r="L70" s="76"/>
      <c r="M70" s="65"/>
      <c r="N70" s="31"/>
      <c r="O70" s="31"/>
      <c r="P70" s="31"/>
      <c r="Q70" s="31"/>
      <c r="R70" s="31"/>
      <c r="S70" s="31"/>
      <c r="T70" s="31"/>
      <c r="U70" s="31"/>
    </row>
    <row r="71" spans="1:50">
      <c r="A71" s="1" t="s">
        <v>78</v>
      </c>
      <c r="B71" s="71"/>
      <c r="C71" s="71"/>
      <c r="D71" s="72"/>
      <c r="E71" s="72"/>
      <c r="F71" s="76"/>
      <c r="G71" s="76"/>
      <c r="H71" s="76"/>
      <c r="I71" s="76"/>
      <c r="J71" s="76"/>
      <c r="K71" s="76"/>
      <c r="L71" s="76"/>
      <c r="M71" s="65"/>
      <c r="N71" s="31">
        <f>N56</f>
        <v>0</v>
      </c>
      <c r="O71" s="31">
        <f>O56</f>
        <v>0</v>
      </c>
      <c r="P71" s="31"/>
      <c r="Q71" s="31"/>
      <c r="R71" s="31"/>
      <c r="S71" s="31"/>
      <c r="T71" s="31"/>
      <c r="U71" s="31"/>
    </row>
    <row r="72" spans="1:50">
      <c r="A72" s="1" t="s">
        <v>117</v>
      </c>
      <c r="B72" s="71"/>
      <c r="C72" s="71"/>
      <c r="D72" s="72"/>
      <c r="E72" s="72"/>
      <c r="F72" s="76"/>
      <c r="G72" s="76"/>
      <c r="H72" s="76"/>
      <c r="I72" s="76"/>
      <c r="J72" s="76"/>
      <c r="K72" s="76"/>
      <c r="L72" s="76"/>
      <c r="M72" s="65"/>
      <c r="N72" s="31">
        <f>N71*Inputs!N94</f>
        <v>0</v>
      </c>
      <c r="O72" s="31">
        <f>O71*Inputs!N94</f>
        <v>0</v>
      </c>
      <c r="P72" s="31"/>
      <c r="Q72" s="31"/>
      <c r="R72" s="31"/>
      <c r="S72" s="31"/>
      <c r="T72" s="31"/>
      <c r="U72" s="31"/>
    </row>
    <row r="73" spans="1:50">
      <c r="A73" s="1"/>
      <c r="B73" s="71"/>
      <c r="C73" s="71"/>
      <c r="D73" s="72"/>
      <c r="E73" s="72"/>
      <c r="F73" s="76"/>
      <c r="G73" s="76"/>
      <c r="H73" s="76"/>
      <c r="I73" s="76"/>
      <c r="J73" s="76"/>
      <c r="K73" s="76"/>
      <c r="L73" s="76"/>
      <c r="M73" s="31"/>
      <c r="N73" s="31"/>
      <c r="O73" s="31"/>
      <c r="P73" s="31"/>
      <c r="Q73" s="31"/>
      <c r="R73" s="31"/>
      <c r="S73" s="31"/>
      <c r="T73" s="31"/>
      <c r="U73" s="31"/>
    </row>
    <row r="74" spans="1:50">
      <c r="A74" s="1" t="s">
        <v>121</v>
      </c>
      <c r="B74" s="71"/>
      <c r="C74" s="71"/>
      <c r="D74" s="72"/>
      <c r="E74" s="72"/>
      <c r="F74" s="76"/>
      <c r="G74" s="76"/>
      <c r="H74" s="76"/>
      <c r="I74" s="76"/>
      <c r="J74" s="76"/>
      <c r="K74" s="76"/>
      <c r="L74" s="76"/>
      <c r="M74" s="31"/>
      <c r="N74" s="31"/>
      <c r="O74" s="31"/>
      <c r="P74" s="31"/>
      <c r="Q74" s="31"/>
      <c r="R74" s="31"/>
      <c r="S74" s="31"/>
      <c r="T74" s="31"/>
      <c r="U74" s="31"/>
    </row>
    <row r="75" spans="1:50">
      <c r="A75" s="1" t="s">
        <v>101</v>
      </c>
      <c r="B75" s="71"/>
      <c r="C75" s="71"/>
      <c r="D75" s="72"/>
      <c r="E75" s="72"/>
      <c r="F75" s="76"/>
      <c r="G75" s="76"/>
      <c r="H75" s="76"/>
      <c r="I75" s="76"/>
      <c r="J75" s="76"/>
      <c r="K75" s="76"/>
      <c r="L75" s="76"/>
      <c r="M75" s="31"/>
      <c r="N75" s="31">
        <f>N47</f>
        <v>343.78215556459406</v>
      </c>
      <c r="O75" s="31">
        <f t="shared" ref="O75:U75" si="31">O47</f>
        <v>352.96526420218436</v>
      </c>
      <c r="P75" s="31">
        <f t="shared" si="31"/>
        <v>333.77820804821846</v>
      </c>
      <c r="Q75" s="31">
        <f t="shared" si="31"/>
        <v>314.11000970485867</v>
      </c>
      <c r="R75" s="31">
        <f t="shared" si="31"/>
        <v>308.41681747984154</v>
      </c>
      <c r="S75" s="31">
        <f t="shared" si="31"/>
        <v>315.33934747191512</v>
      </c>
      <c r="T75" s="31">
        <f t="shared" si="31"/>
        <v>299.04931878801989</v>
      </c>
      <c r="U75" s="31">
        <f t="shared" si="31"/>
        <v>293.44516690687209</v>
      </c>
      <c r="V75" s="31">
        <f t="shared" ref="V75:AX75" si="32">V47</f>
        <v>256.8653672872415</v>
      </c>
      <c r="W75" s="31">
        <f t="shared" si="32"/>
        <v>223.84093106697341</v>
      </c>
      <c r="X75" s="31">
        <f t="shared" si="32"/>
        <v>196.15995540852404</v>
      </c>
      <c r="Y75" s="31">
        <f t="shared" si="32"/>
        <v>172.85374178430683</v>
      </c>
      <c r="Z75" s="31">
        <f t="shared" si="32"/>
        <v>153.77128648711565</v>
      </c>
      <c r="AA75" s="31">
        <f t="shared" si="32"/>
        <v>138.26169646144913</v>
      </c>
      <c r="AB75" s="31">
        <f t="shared" si="32"/>
        <v>125.79816978863066</v>
      </c>
      <c r="AC75" s="31">
        <f t="shared" si="32"/>
        <v>116.75456554238626</v>
      </c>
      <c r="AD75" s="31">
        <f t="shared" si="32"/>
        <v>110.40340276082102</v>
      </c>
      <c r="AE75" s="31">
        <f t="shared" si="32"/>
        <v>105.85716373227601</v>
      </c>
      <c r="AF75" s="31">
        <f t="shared" si="32"/>
        <v>107.50567662204834</v>
      </c>
      <c r="AG75" s="31">
        <f t="shared" si="32"/>
        <v>103.57228389707728</v>
      </c>
      <c r="AH75" s="31">
        <f t="shared" si="32"/>
        <v>101.46588512372368</v>
      </c>
      <c r="AI75" s="31">
        <f t="shared" si="32"/>
        <v>98.968608344690253</v>
      </c>
      <c r="AJ75" s="31">
        <f t="shared" si="32"/>
        <v>96.904098838240259</v>
      </c>
      <c r="AK75" s="31">
        <f t="shared" si="32"/>
        <v>95.019958720234143</v>
      </c>
      <c r="AL75" s="31">
        <f t="shared" si="32"/>
        <v>93.432037874786914</v>
      </c>
      <c r="AM75" s="31">
        <f t="shared" si="32"/>
        <v>92.988468466465292</v>
      </c>
      <c r="AN75" s="31">
        <f t="shared" si="32"/>
        <v>92.326053551668195</v>
      </c>
      <c r="AO75" s="31">
        <f t="shared" si="32"/>
        <v>92.311499858952786</v>
      </c>
      <c r="AP75" s="31">
        <f t="shared" si="32"/>
        <v>91.924617749618605</v>
      </c>
      <c r="AQ75" s="31">
        <f t="shared" si="32"/>
        <v>91.228617805366341</v>
      </c>
      <c r="AR75" s="31">
        <f t="shared" si="32"/>
        <v>91.456311445248929</v>
      </c>
      <c r="AS75" s="31">
        <f t="shared" si="32"/>
        <v>91.953153252851308</v>
      </c>
      <c r="AT75" s="31">
        <f t="shared" si="32"/>
        <v>92.035061375092965</v>
      </c>
      <c r="AU75" s="31">
        <f t="shared" si="32"/>
        <v>92.254229283977196</v>
      </c>
      <c r="AV75" s="31">
        <f t="shared" si="32"/>
        <v>93.07952737689331</v>
      </c>
      <c r="AW75" s="31">
        <f t="shared" si="32"/>
        <v>94.440390162799687</v>
      </c>
      <c r="AX75" s="31">
        <f t="shared" si="32"/>
        <v>96.636906605392355</v>
      </c>
    </row>
    <row r="76" spans="1:50">
      <c r="A76" s="1" t="s">
        <v>119</v>
      </c>
      <c r="B76" s="71"/>
      <c r="C76" s="71"/>
      <c r="D76" s="72"/>
      <c r="E76" s="72"/>
      <c r="F76" s="76"/>
      <c r="G76" s="76"/>
      <c r="H76" s="76"/>
      <c r="I76" s="76"/>
      <c r="J76" s="76"/>
      <c r="K76" s="76"/>
      <c r="L76" s="76"/>
      <c r="M76" s="31"/>
      <c r="N76" s="31">
        <f>N52</f>
        <v>0</v>
      </c>
      <c r="O76" s="31">
        <f t="shared" ref="O76:U76" si="33">O52</f>
        <v>0</v>
      </c>
      <c r="P76" s="31">
        <f t="shared" si="33"/>
        <v>0</v>
      </c>
      <c r="Q76" s="31">
        <f t="shared" si="33"/>
        <v>0</v>
      </c>
      <c r="R76" s="31">
        <f t="shared" si="33"/>
        <v>0</v>
      </c>
      <c r="S76" s="31">
        <f t="shared" si="33"/>
        <v>0</v>
      </c>
      <c r="T76" s="31">
        <f t="shared" si="33"/>
        <v>0</v>
      </c>
      <c r="U76" s="31">
        <f t="shared" si="33"/>
        <v>0</v>
      </c>
      <c r="V76" s="31">
        <f t="shared" ref="V76:AX76" si="34">V52</f>
        <v>0</v>
      </c>
      <c r="W76" s="31">
        <f t="shared" si="34"/>
        <v>0</v>
      </c>
      <c r="X76" s="31">
        <f t="shared" si="34"/>
        <v>0</v>
      </c>
      <c r="Y76" s="31">
        <f t="shared" si="34"/>
        <v>0</v>
      </c>
      <c r="Z76" s="31">
        <f t="shared" si="34"/>
        <v>0</v>
      </c>
      <c r="AA76" s="31">
        <f t="shared" si="34"/>
        <v>0</v>
      </c>
      <c r="AB76" s="31">
        <f t="shared" si="34"/>
        <v>0</v>
      </c>
      <c r="AC76" s="31">
        <f t="shared" si="34"/>
        <v>0</v>
      </c>
      <c r="AD76" s="31">
        <f t="shared" si="34"/>
        <v>0</v>
      </c>
      <c r="AE76" s="31">
        <f t="shared" si="34"/>
        <v>0</v>
      </c>
      <c r="AF76" s="31">
        <f t="shared" si="34"/>
        <v>0</v>
      </c>
      <c r="AG76" s="31">
        <f t="shared" si="34"/>
        <v>0</v>
      </c>
      <c r="AH76" s="31">
        <f t="shared" si="34"/>
        <v>0</v>
      </c>
      <c r="AI76" s="31">
        <f t="shared" si="34"/>
        <v>0</v>
      </c>
      <c r="AJ76" s="31">
        <f t="shared" si="34"/>
        <v>0</v>
      </c>
      <c r="AK76" s="31">
        <f t="shared" si="34"/>
        <v>0</v>
      </c>
      <c r="AL76" s="31">
        <f t="shared" si="34"/>
        <v>0</v>
      </c>
      <c r="AM76" s="31">
        <f t="shared" si="34"/>
        <v>0</v>
      </c>
      <c r="AN76" s="31">
        <f t="shared" si="34"/>
        <v>0</v>
      </c>
      <c r="AO76" s="31">
        <f t="shared" si="34"/>
        <v>0</v>
      </c>
      <c r="AP76" s="31">
        <f t="shared" si="34"/>
        <v>0</v>
      </c>
      <c r="AQ76" s="31">
        <f t="shared" si="34"/>
        <v>0</v>
      </c>
      <c r="AR76" s="31">
        <f t="shared" si="34"/>
        <v>0</v>
      </c>
      <c r="AS76" s="31">
        <f t="shared" si="34"/>
        <v>0</v>
      </c>
      <c r="AT76" s="31">
        <f t="shared" si="34"/>
        <v>0</v>
      </c>
      <c r="AU76" s="31">
        <f t="shared" si="34"/>
        <v>0</v>
      </c>
      <c r="AV76" s="31">
        <f t="shared" si="34"/>
        <v>0</v>
      </c>
      <c r="AW76" s="31">
        <f t="shared" si="34"/>
        <v>0</v>
      </c>
      <c r="AX76" s="31">
        <f t="shared" si="34"/>
        <v>0</v>
      </c>
    </row>
    <row r="77" spans="1:50">
      <c r="A77" s="1" t="s">
        <v>102</v>
      </c>
      <c r="B77" s="71"/>
      <c r="C77" s="71"/>
      <c r="D77" s="72"/>
      <c r="E77" s="72"/>
      <c r="F77" s="76"/>
      <c r="G77" s="76"/>
      <c r="H77" s="76"/>
      <c r="I77" s="76"/>
      <c r="J77" s="76"/>
      <c r="K77" s="76"/>
      <c r="L77" s="76"/>
      <c r="M77" s="31"/>
      <c r="N77" s="31">
        <f>N66</f>
        <v>2117.2869852424283</v>
      </c>
      <c r="O77" s="31">
        <f t="shared" ref="O77:U77" si="35">O66</f>
        <v>2380.3211115095924</v>
      </c>
      <c r="P77" s="31">
        <f t="shared" si="35"/>
        <v>2506.3642237010558</v>
      </c>
      <c r="Q77" s="31">
        <f t="shared" si="35"/>
        <v>2599.9242712793493</v>
      </c>
      <c r="R77" s="31">
        <f t="shared" si="35"/>
        <v>2753.9573419743524</v>
      </c>
      <c r="S77" s="31">
        <f t="shared" si="35"/>
        <v>2972.1577633327097</v>
      </c>
      <c r="T77" s="31">
        <f t="shared" si="35"/>
        <v>3038.1449719860602</v>
      </c>
      <c r="U77" s="31">
        <f t="shared" si="35"/>
        <v>3149.2795351713035</v>
      </c>
      <c r="V77" s="31">
        <f t="shared" ref="V77:AX77" si="36">V66</f>
        <v>3051.178189077199</v>
      </c>
      <c r="W77" s="31">
        <f t="shared" si="36"/>
        <v>2939.7792537116579</v>
      </c>
      <c r="X77" s="31">
        <f t="shared" si="36"/>
        <v>2831.2583140684624</v>
      </c>
      <c r="Y77" s="31">
        <f t="shared" si="36"/>
        <v>2725.3991447700296</v>
      </c>
      <c r="Z77" s="31">
        <f t="shared" si="36"/>
        <v>2626.0729115023933</v>
      </c>
      <c r="AA77" s="31">
        <f t="shared" si="36"/>
        <v>2533.5803999116733</v>
      </c>
      <c r="AB77" s="31">
        <f t="shared" si="36"/>
        <v>2448.2482409551744</v>
      </c>
      <c r="AC77" s="31">
        <f t="shared" si="36"/>
        <v>2375.4870998306883</v>
      </c>
      <c r="AD77" s="31">
        <f t="shared" si="36"/>
        <v>2313.834047609254</v>
      </c>
      <c r="AE77" s="31">
        <f t="shared" si="36"/>
        <v>2260.0710367192496</v>
      </c>
      <c r="AF77" s="31">
        <f t="shared" si="36"/>
        <v>2243.5845228061139</v>
      </c>
      <c r="AG77" s="31">
        <f t="shared" si="36"/>
        <v>2194.6144355287324</v>
      </c>
      <c r="AH77" s="31">
        <f t="shared" si="36"/>
        <v>2155.6694474751034</v>
      </c>
      <c r="AI77" s="31">
        <f t="shared" si="36"/>
        <v>2114.1843034004305</v>
      </c>
      <c r="AJ77" s="31">
        <f t="shared" si="36"/>
        <v>2075.0822318351688</v>
      </c>
      <c r="AK77" s="31">
        <f t="shared" si="36"/>
        <v>2037.1150831866139</v>
      </c>
      <c r="AL77" s="31">
        <f t="shared" si="36"/>
        <v>2001.1540991153181</v>
      </c>
      <c r="AM77" s="31">
        <f t="shared" si="36"/>
        <v>1972.7881034262857</v>
      </c>
      <c r="AN77" s="31">
        <f t="shared" si="36"/>
        <v>1944.2323768120973</v>
      </c>
      <c r="AO77" s="31">
        <f t="shared" si="36"/>
        <v>1920.7379618650757</v>
      </c>
      <c r="AP77" s="31">
        <f t="shared" si="36"/>
        <v>1896.2785406332609</v>
      </c>
      <c r="AQ77" s="31">
        <f t="shared" si="36"/>
        <v>1870.8878927828996</v>
      </c>
      <c r="AR77" s="31">
        <f t="shared" si="36"/>
        <v>1852.0773032332995</v>
      </c>
      <c r="AS77" s="31">
        <f t="shared" si="36"/>
        <v>1836.3595248683673</v>
      </c>
      <c r="AT77" s="31">
        <f t="shared" si="36"/>
        <v>1819.5232995253793</v>
      </c>
      <c r="AU77" s="31">
        <f t="shared" si="36"/>
        <v>1804.6599349443959</v>
      </c>
      <c r="AV77" s="31">
        <f t="shared" si="36"/>
        <v>1794.7770481532682</v>
      </c>
      <c r="AW77" s="31">
        <f t="shared" si="36"/>
        <v>1789.8198841178043</v>
      </c>
      <c r="AX77" s="31">
        <f t="shared" si="36"/>
        <v>1792.0040066594145</v>
      </c>
    </row>
    <row r="78" spans="1:50">
      <c r="A78" s="1" t="s">
        <v>120</v>
      </c>
      <c r="B78" s="71"/>
      <c r="C78" s="71"/>
      <c r="D78" s="72"/>
      <c r="E78" s="72"/>
      <c r="F78" s="76"/>
      <c r="G78" s="76"/>
      <c r="H78" s="76"/>
      <c r="I78" s="76"/>
      <c r="J78" s="76"/>
      <c r="K78" s="76"/>
      <c r="L78" s="76"/>
      <c r="M78" s="31"/>
      <c r="N78" s="31">
        <f>N72</f>
        <v>0</v>
      </c>
      <c r="O78" s="31">
        <f t="shared" ref="O78:U78" si="37">O72</f>
        <v>0</v>
      </c>
      <c r="P78" s="31">
        <f t="shared" si="37"/>
        <v>0</v>
      </c>
      <c r="Q78" s="31">
        <f t="shared" si="37"/>
        <v>0</v>
      </c>
      <c r="R78" s="31">
        <f t="shared" si="37"/>
        <v>0</v>
      </c>
      <c r="S78" s="31">
        <f t="shared" si="37"/>
        <v>0</v>
      </c>
      <c r="T78" s="31">
        <f t="shared" si="37"/>
        <v>0</v>
      </c>
      <c r="U78" s="31">
        <f t="shared" si="37"/>
        <v>0</v>
      </c>
      <c r="V78" s="31">
        <f t="shared" ref="V78:AX78" si="38">V72</f>
        <v>0</v>
      </c>
      <c r="W78" s="31">
        <f t="shared" si="38"/>
        <v>0</v>
      </c>
      <c r="X78" s="31">
        <f t="shared" si="38"/>
        <v>0</v>
      </c>
      <c r="Y78" s="31">
        <f t="shared" si="38"/>
        <v>0</v>
      </c>
      <c r="Z78" s="31">
        <f t="shared" si="38"/>
        <v>0</v>
      </c>
      <c r="AA78" s="31">
        <f t="shared" si="38"/>
        <v>0</v>
      </c>
      <c r="AB78" s="31">
        <f t="shared" si="38"/>
        <v>0</v>
      </c>
      <c r="AC78" s="31">
        <f t="shared" si="38"/>
        <v>0</v>
      </c>
      <c r="AD78" s="31">
        <f t="shared" si="38"/>
        <v>0</v>
      </c>
      <c r="AE78" s="31">
        <f t="shared" si="38"/>
        <v>0</v>
      </c>
      <c r="AF78" s="31">
        <f t="shared" si="38"/>
        <v>0</v>
      </c>
      <c r="AG78" s="31">
        <f t="shared" si="38"/>
        <v>0</v>
      </c>
      <c r="AH78" s="31">
        <f t="shared" si="38"/>
        <v>0</v>
      </c>
      <c r="AI78" s="31">
        <f t="shared" si="38"/>
        <v>0</v>
      </c>
      <c r="AJ78" s="31">
        <f t="shared" si="38"/>
        <v>0</v>
      </c>
      <c r="AK78" s="31">
        <f t="shared" si="38"/>
        <v>0</v>
      </c>
      <c r="AL78" s="31">
        <f t="shared" si="38"/>
        <v>0</v>
      </c>
      <c r="AM78" s="31">
        <f t="shared" si="38"/>
        <v>0</v>
      </c>
      <c r="AN78" s="31">
        <f t="shared" si="38"/>
        <v>0</v>
      </c>
      <c r="AO78" s="31">
        <f t="shared" si="38"/>
        <v>0</v>
      </c>
      <c r="AP78" s="31">
        <f t="shared" si="38"/>
        <v>0</v>
      </c>
      <c r="AQ78" s="31">
        <f t="shared" si="38"/>
        <v>0</v>
      </c>
      <c r="AR78" s="31">
        <f t="shared" si="38"/>
        <v>0</v>
      </c>
      <c r="AS78" s="31">
        <f t="shared" si="38"/>
        <v>0</v>
      </c>
      <c r="AT78" s="31">
        <f t="shared" si="38"/>
        <v>0</v>
      </c>
      <c r="AU78" s="31">
        <f t="shared" si="38"/>
        <v>0</v>
      </c>
      <c r="AV78" s="31">
        <f t="shared" si="38"/>
        <v>0</v>
      </c>
      <c r="AW78" s="31">
        <f t="shared" si="38"/>
        <v>0</v>
      </c>
      <c r="AX78" s="31">
        <f t="shared" si="38"/>
        <v>0</v>
      </c>
    </row>
    <row r="79" spans="1:50">
      <c r="A79" s="1" t="s">
        <v>113</v>
      </c>
      <c r="B79" s="71"/>
      <c r="C79" s="71"/>
      <c r="D79" s="72"/>
      <c r="E79" s="72"/>
      <c r="F79" s="76"/>
      <c r="G79" s="76"/>
      <c r="H79" s="76"/>
      <c r="I79" s="76"/>
      <c r="J79" s="76"/>
      <c r="K79" s="76"/>
      <c r="L79" s="76"/>
      <c r="M79" s="31"/>
      <c r="N79" s="31">
        <f>-N62</f>
        <v>1000</v>
      </c>
      <c r="O79" s="31">
        <f t="shared" ref="O79:U79" si="39">-O62</f>
        <v>1000</v>
      </c>
      <c r="P79" s="31">
        <f t="shared" si="39"/>
        <v>200</v>
      </c>
      <c r="Q79" s="31">
        <f t="shared" si="39"/>
        <v>200</v>
      </c>
      <c r="R79" s="31">
        <f t="shared" si="39"/>
        <v>200</v>
      </c>
      <c r="S79" s="31">
        <f t="shared" si="39"/>
        <v>200</v>
      </c>
      <c r="T79" s="31">
        <f t="shared" si="39"/>
        <v>200</v>
      </c>
      <c r="U79" s="31">
        <f t="shared" si="39"/>
        <v>200</v>
      </c>
      <c r="V79" s="31">
        <f t="shared" ref="V79:AX79" si="40">-V62</f>
        <v>200</v>
      </c>
      <c r="W79" s="31">
        <f t="shared" si="40"/>
        <v>200</v>
      </c>
      <c r="X79" s="31">
        <f t="shared" si="40"/>
        <v>200</v>
      </c>
      <c r="Y79" s="31">
        <f t="shared" si="40"/>
        <v>200</v>
      </c>
      <c r="Z79" s="31">
        <f t="shared" si="40"/>
        <v>200</v>
      </c>
      <c r="AA79" s="31">
        <f t="shared" si="40"/>
        <v>200</v>
      </c>
      <c r="AB79" s="31">
        <f t="shared" si="40"/>
        <v>200</v>
      </c>
      <c r="AC79" s="31">
        <f t="shared" si="40"/>
        <v>200</v>
      </c>
      <c r="AD79" s="31">
        <f t="shared" si="40"/>
        <v>200</v>
      </c>
      <c r="AE79" s="31">
        <f t="shared" si="40"/>
        <v>200</v>
      </c>
      <c r="AF79" s="31">
        <f t="shared" si="40"/>
        <v>200</v>
      </c>
      <c r="AG79" s="31">
        <f t="shared" si="40"/>
        <v>200</v>
      </c>
      <c r="AH79" s="31">
        <f t="shared" si="40"/>
        <v>200</v>
      </c>
      <c r="AI79" s="31">
        <f t="shared" si="40"/>
        <v>200</v>
      </c>
      <c r="AJ79" s="31">
        <f t="shared" si="40"/>
        <v>200</v>
      </c>
      <c r="AK79" s="31">
        <f t="shared" si="40"/>
        <v>200</v>
      </c>
      <c r="AL79" s="31">
        <f t="shared" si="40"/>
        <v>200</v>
      </c>
      <c r="AM79" s="31">
        <f t="shared" si="40"/>
        <v>200</v>
      </c>
      <c r="AN79" s="31">
        <f t="shared" si="40"/>
        <v>200</v>
      </c>
      <c r="AO79" s="31">
        <f t="shared" si="40"/>
        <v>200</v>
      </c>
      <c r="AP79" s="31">
        <f t="shared" si="40"/>
        <v>200</v>
      </c>
      <c r="AQ79" s="31">
        <f t="shared" si="40"/>
        <v>200</v>
      </c>
      <c r="AR79" s="31">
        <f t="shared" si="40"/>
        <v>200</v>
      </c>
      <c r="AS79" s="31">
        <f t="shared" si="40"/>
        <v>200</v>
      </c>
      <c r="AT79" s="31">
        <f t="shared" si="40"/>
        <v>200</v>
      </c>
      <c r="AU79" s="31">
        <f t="shared" si="40"/>
        <v>200</v>
      </c>
      <c r="AV79" s="31">
        <f t="shared" si="40"/>
        <v>200</v>
      </c>
      <c r="AW79" s="31">
        <f t="shared" si="40"/>
        <v>200</v>
      </c>
      <c r="AX79" s="31">
        <f t="shared" si="40"/>
        <v>200</v>
      </c>
    </row>
    <row r="80" spans="1:50">
      <c r="A80" s="1" t="s">
        <v>84</v>
      </c>
      <c r="B80" s="71"/>
      <c r="C80" s="71"/>
      <c r="D80" s="72"/>
      <c r="E80" s="72"/>
      <c r="F80" s="76"/>
      <c r="G80" s="76"/>
      <c r="H80" s="76"/>
      <c r="I80" s="76"/>
      <c r="J80" s="76"/>
      <c r="K80" s="76"/>
      <c r="L80" s="76"/>
      <c r="M80" s="31"/>
      <c r="N80" s="116">
        <f>SUM(N75:N79)</f>
        <v>3461.0691408070224</v>
      </c>
      <c r="O80" s="116">
        <f t="shared" ref="O80:U80" si="41">SUM(O75:O79)</f>
        <v>3733.2863757117766</v>
      </c>
      <c r="P80" s="116">
        <f t="shared" si="41"/>
        <v>3040.1424317492742</v>
      </c>
      <c r="Q80" s="116">
        <f t="shared" si="41"/>
        <v>3114.0342809842082</v>
      </c>
      <c r="R80" s="116">
        <f t="shared" si="41"/>
        <v>3262.3741594541939</v>
      </c>
      <c r="S80" s="116">
        <f t="shared" si="41"/>
        <v>3487.4971108046248</v>
      </c>
      <c r="T80" s="116">
        <f t="shared" si="41"/>
        <v>3537.1942907740799</v>
      </c>
      <c r="U80" s="116">
        <f t="shared" si="41"/>
        <v>3642.7247020781756</v>
      </c>
      <c r="V80" s="116">
        <f t="shared" ref="V80:AX80" si="42">SUM(V75:V79)</f>
        <v>3508.0435563644405</v>
      </c>
      <c r="W80" s="116">
        <f t="shared" si="42"/>
        <v>3363.6201847786315</v>
      </c>
      <c r="X80" s="116">
        <f t="shared" si="42"/>
        <v>3227.4182694769866</v>
      </c>
      <c r="Y80" s="116">
        <f t="shared" si="42"/>
        <v>3098.2528865543363</v>
      </c>
      <c r="Z80" s="116">
        <f t="shared" si="42"/>
        <v>2979.8441979895088</v>
      </c>
      <c r="AA80" s="116">
        <f t="shared" si="42"/>
        <v>2871.8420963731223</v>
      </c>
      <c r="AB80" s="116">
        <f t="shared" si="42"/>
        <v>2774.0464107438052</v>
      </c>
      <c r="AC80" s="116">
        <f t="shared" si="42"/>
        <v>2692.2416653730747</v>
      </c>
      <c r="AD80" s="116">
        <f t="shared" si="42"/>
        <v>2624.2374503700748</v>
      </c>
      <c r="AE80" s="116">
        <f t="shared" si="42"/>
        <v>2565.9282004515258</v>
      </c>
      <c r="AF80" s="116">
        <f t="shared" si="42"/>
        <v>2551.0901994281621</v>
      </c>
      <c r="AG80" s="116">
        <f t="shared" si="42"/>
        <v>2498.1867194258098</v>
      </c>
      <c r="AH80" s="116">
        <f t="shared" si="42"/>
        <v>2457.1353325988271</v>
      </c>
      <c r="AI80" s="116">
        <f t="shared" si="42"/>
        <v>2413.1529117451209</v>
      </c>
      <c r="AJ80" s="116">
        <f t="shared" si="42"/>
        <v>2371.9863306734092</v>
      </c>
      <c r="AK80" s="116">
        <f t="shared" si="42"/>
        <v>2332.1350419068481</v>
      </c>
      <c r="AL80" s="116">
        <f t="shared" si="42"/>
        <v>2294.5861369901049</v>
      </c>
      <c r="AM80" s="116">
        <f t="shared" si="42"/>
        <v>2265.7765718927512</v>
      </c>
      <c r="AN80" s="116">
        <f t="shared" si="42"/>
        <v>2236.5584303637652</v>
      </c>
      <c r="AO80" s="116">
        <f t="shared" si="42"/>
        <v>2213.0494617240283</v>
      </c>
      <c r="AP80" s="116">
        <f t="shared" si="42"/>
        <v>2188.2031583828793</v>
      </c>
      <c r="AQ80" s="116">
        <f t="shared" si="42"/>
        <v>2162.116510588266</v>
      </c>
      <c r="AR80" s="116">
        <f t="shared" si="42"/>
        <v>2143.5336146785485</v>
      </c>
      <c r="AS80" s="116">
        <f t="shared" si="42"/>
        <v>2128.3126781212186</v>
      </c>
      <c r="AT80" s="116">
        <f t="shared" si="42"/>
        <v>2111.5583609004725</v>
      </c>
      <c r="AU80" s="116">
        <f t="shared" si="42"/>
        <v>2096.914164228373</v>
      </c>
      <c r="AV80" s="116">
        <f t="shared" si="42"/>
        <v>2087.8565755301615</v>
      </c>
      <c r="AW80" s="116">
        <f t="shared" si="42"/>
        <v>2084.2602742806039</v>
      </c>
      <c r="AX80" s="116">
        <f t="shared" si="42"/>
        <v>2088.6409132648068</v>
      </c>
    </row>
    <row r="81" spans="1:21">
      <c r="A81" s="1"/>
      <c r="B81" s="3"/>
      <c r="C81" s="2"/>
      <c r="D81" s="1"/>
      <c r="E81" s="1"/>
      <c r="F81" s="4"/>
      <c r="G81" s="4"/>
      <c r="H81" s="4"/>
      <c r="I81" s="4"/>
      <c r="J81" s="4"/>
      <c r="K81" s="4"/>
      <c r="L81" s="4"/>
      <c r="N81" s="4"/>
      <c r="O81" s="4"/>
      <c r="P81" s="4"/>
      <c r="Q81" s="4"/>
      <c r="R81" s="4"/>
      <c r="S81" s="4"/>
      <c r="T81" s="4"/>
      <c r="U81" s="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73"/>
  <sheetViews>
    <sheetView zoomScaleNormal="100" workbookViewId="0">
      <pane xSplit="14" ySplit="1" topLeftCell="O50" activePane="bottomRight" state="frozen"/>
      <selection pane="topRight" activeCell="O1" sqref="O1"/>
      <selection pane="bottomLeft" activeCell="A2" sqref="A2"/>
      <selection pane="bottomRight" activeCell="A17" sqref="A17:XFD17"/>
    </sheetView>
  </sheetViews>
  <sheetFormatPr defaultColWidth="9.36328125" defaultRowHeight="13"/>
  <cols>
    <col min="1" max="1" width="23.6328125" style="23" bestFit="1" customWidth="1"/>
    <col min="2" max="4" width="3.36328125" style="69" hidden="1" customWidth="1"/>
    <col min="5" max="5" width="3.36328125" style="93" hidden="1" customWidth="1"/>
    <col min="6" max="6" width="3.36328125" style="69" hidden="1" customWidth="1"/>
    <col min="7" max="14" width="3.36328125" style="52" hidden="1" customWidth="1"/>
    <col min="15" max="20" width="5.6328125" style="52" bestFit="1" customWidth="1"/>
    <col min="21" max="21" width="6.36328125" style="52" customWidth="1"/>
    <col min="22" max="23" width="5.6328125" style="52" bestFit="1" customWidth="1"/>
    <col min="24" max="39" width="5.81640625" style="52" bestFit="1" customWidth="1"/>
    <col min="40" max="49" width="5.6328125" style="52" bestFit="1" customWidth="1"/>
    <col min="50" max="50" width="5.81640625" style="52" bestFit="1" customWidth="1"/>
    <col min="51" max="16384" width="9.36328125" style="23"/>
  </cols>
  <sheetData>
    <row r="1" spans="1:50" s="95" customFormat="1">
      <c r="A1" s="95" t="s">
        <v>53</v>
      </c>
      <c r="B1" s="68"/>
      <c r="C1" s="68"/>
      <c r="D1" s="68"/>
      <c r="E1" s="68"/>
      <c r="F1" s="68"/>
      <c r="G1" s="96"/>
      <c r="H1" s="96"/>
      <c r="I1" s="96"/>
      <c r="J1" s="96"/>
      <c r="K1" s="96"/>
      <c r="L1" s="96"/>
      <c r="M1" s="96"/>
      <c r="N1" s="96"/>
      <c r="O1" s="96">
        <f>+Inputs!O1</f>
        <v>2022</v>
      </c>
      <c r="P1" s="96">
        <f>+Inputs!P1</f>
        <v>2023</v>
      </c>
      <c r="Q1" s="96">
        <f>+Inputs!Q1</f>
        <v>2024</v>
      </c>
      <c r="R1" s="96">
        <f>+Inputs!R1</f>
        <v>2025</v>
      </c>
      <c r="S1" s="96">
        <f>+Inputs!S1</f>
        <v>2026</v>
      </c>
      <c r="T1" s="96">
        <f>+Inputs!T1</f>
        <v>2027</v>
      </c>
      <c r="U1" s="96">
        <f>+Inputs!U1</f>
        <v>2028</v>
      </c>
      <c r="V1" s="96">
        <f>+Inputs!V1</f>
        <v>2029</v>
      </c>
      <c r="W1" s="96">
        <f>+Inputs!W1</f>
        <v>2030</v>
      </c>
      <c r="X1" s="96">
        <f>+Inputs!X1</f>
        <v>2031</v>
      </c>
      <c r="Y1" s="96">
        <f>+Inputs!Y1</f>
        <v>2032</v>
      </c>
      <c r="Z1" s="96">
        <f>+Inputs!Z1</f>
        <v>2033</v>
      </c>
      <c r="AA1" s="96">
        <f>+Inputs!AA1</f>
        <v>2034</v>
      </c>
      <c r="AB1" s="96">
        <f>+Inputs!AB1</f>
        <v>2035</v>
      </c>
      <c r="AC1" s="96">
        <f>+Inputs!AC1</f>
        <v>2036</v>
      </c>
      <c r="AD1" s="96">
        <f>+Inputs!AD1</f>
        <v>2037</v>
      </c>
      <c r="AE1" s="96">
        <f>+Inputs!AE1</f>
        <v>2038</v>
      </c>
      <c r="AF1" s="96">
        <f>+Inputs!AF1</f>
        <v>2039</v>
      </c>
      <c r="AG1" s="96">
        <f>+Inputs!AG1</f>
        <v>2040</v>
      </c>
      <c r="AH1" s="96">
        <f>+Inputs!AH1</f>
        <v>2041</v>
      </c>
      <c r="AI1" s="96">
        <f>+Inputs!AI1</f>
        <v>2042</v>
      </c>
      <c r="AJ1" s="96">
        <f>+Inputs!AJ1</f>
        <v>2043</v>
      </c>
      <c r="AK1" s="96">
        <f>+Inputs!AK1</f>
        <v>2044</v>
      </c>
      <c r="AL1" s="96">
        <f>+Inputs!AL1</f>
        <v>2045</v>
      </c>
      <c r="AM1" s="96">
        <f>+Inputs!AM1</f>
        <v>2046</v>
      </c>
      <c r="AN1" s="96">
        <f>+Inputs!AN1</f>
        <v>2047</v>
      </c>
      <c r="AO1" s="96">
        <f>+Inputs!AO1</f>
        <v>2048</v>
      </c>
      <c r="AP1" s="96">
        <f>+Inputs!AP1</f>
        <v>2049</v>
      </c>
      <c r="AQ1" s="96">
        <f>+Inputs!AQ1</f>
        <v>2050</v>
      </c>
      <c r="AR1" s="96">
        <f>+Inputs!AR1</f>
        <v>2051</v>
      </c>
      <c r="AS1" s="96">
        <f>+Inputs!AS1</f>
        <v>2052</v>
      </c>
      <c r="AT1" s="96">
        <f>+Inputs!AT1</f>
        <v>2053</v>
      </c>
      <c r="AU1" s="96">
        <f>+Inputs!AU1</f>
        <v>2054</v>
      </c>
      <c r="AV1" s="96">
        <f>+Inputs!AV1</f>
        <v>2055</v>
      </c>
      <c r="AW1" s="96">
        <f>+Inputs!AW1</f>
        <v>2056</v>
      </c>
      <c r="AX1" s="96">
        <f>+Inputs!AX1</f>
        <v>2057</v>
      </c>
    </row>
    <row r="2" spans="1:50" s="95" customFormat="1">
      <c r="B2" s="68"/>
      <c r="C2" s="68"/>
      <c r="D2" s="68"/>
      <c r="E2" s="68"/>
      <c r="F2" s="68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</row>
    <row r="3" spans="1:50" s="95" customFormat="1">
      <c r="A3" s="114" t="s">
        <v>225</v>
      </c>
      <c r="B3" s="68"/>
      <c r="C3" s="68"/>
      <c r="D3" s="68"/>
      <c r="E3" s="68"/>
      <c r="F3" s="68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</row>
    <row r="4" spans="1:50" s="95" customFormat="1">
      <c r="A4" s="111" t="s">
        <v>0</v>
      </c>
      <c r="B4" s="68"/>
      <c r="C4" s="68"/>
      <c r="D4" s="68"/>
      <c r="E4" s="68"/>
      <c r="F4" s="68"/>
      <c r="G4" s="96"/>
      <c r="H4" s="96"/>
      <c r="I4" s="96"/>
      <c r="J4" s="96"/>
      <c r="K4" s="96"/>
      <c r="L4" s="96"/>
      <c r="M4" s="96"/>
      <c r="N4" s="96"/>
      <c r="O4" s="52">
        <f>+'Pi''s Calc'!O55</f>
        <v>32234.966445652888</v>
      </c>
      <c r="P4" s="52">
        <f>+'Pi''s Calc'!P55</f>
        <v>33846.231578391358</v>
      </c>
      <c r="Q4" s="52">
        <f>+'Pi''s Calc'!Q55</f>
        <v>35735.076121028251</v>
      </c>
      <c r="R4" s="52">
        <f>+'Pi''s Calc'!R55</f>
        <v>38685.251986677213</v>
      </c>
      <c r="S4" s="52">
        <f>+'Pi''s Calc'!S55</f>
        <v>42394.886539641862</v>
      </c>
      <c r="T4" s="52">
        <f>+'Pi''s Calc'!T55</f>
        <v>44047.849585892487</v>
      </c>
      <c r="U4" s="52">
        <f>+'Pi''s Calc'!U55</f>
        <v>46334.220846650962</v>
      </c>
      <c r="V4" s="52">
        <f>+'Pi''s Calc'!V55</f>
        <v>45682.105393749211</v>
      </c>
      <c r="W4" s="52">
        <f>+'Pi''s Calc'!W55</f>
        <v>44633.91117196103</v>
      </c>
      <c r="X4" s="52">
        <f>+'Pi''s Calc'!X55</f>
        <v>43448.874719259082</v>
      </c>
      <c r="Y4" s="52">
        <f>+'Pi''s Calc'!Y55</f>
        <v>42161.10324311359</v>
      </c>
      <c r="Z4" s="52">
        <f>+'Pi''s Calc'!Z55</f>
        <v>40867.19348049198</v>
      </c>
      <c r="AA4" s="52">
        <f>+'Pi''s Calc'!AA55</f>
        <v>39571.441957653937</v>
      </c>
      <c r="AB4" s="52">
        <f>+'Pi''s Calc'!AB55</f>
        <v>38440.75439299034</v>
      </c>
      <c r="AC4" s="52">
        <f>+'Pi''s Calc'!AC55</f>
        <v>37420.756478865769</v>
      </c>
      <c r="AD4" s="52">
        <f>+'Pi''s Calc'!AD55</f>
        <v>36496.421230423563</v>
      </c>
      <c r="AE4" s="52">
        <f>+'Pi''s Calc'!AE55</f>
        <v>35614.630926499347</v>
      </c>
      <c r="AF4" s="52">
        <f>+'Pi''s Calc'!AF55</f>
        <v>35072.512663583329</v>
      </c>
      <c r="AG4" s="52">
        <f>+'Pi''s Calc'!AG55</f>
        <v>34134.79560425839</v>
      </c>
      <c r="AH4" s="52">
        <f>+'Pi''s Calc'!AH55</f>
        <v>33248.085768694829</v>
      </c>
      <c r="AI4" s="52">
        <f>+'Pi''s Calc'!AI55</f>
        <v>32293.33027164868</v>
      </c>
      <c r="AJ4" s="52">
        <f>+'Pi''s Calc'!AJ55</f>
        <v>31339.346712731458</v>
      </c>
      <c r="AK4" s="52">
        <f>+'Pi''s Calc'!AK55</f>
        <v>30365.29194863743</v>
      </c>
      <c r="AL4" s="52">
        <f>+'Pi''s Calc'!AL55</f>
        <v>29391.835787373282</v>
      </c>
      <c r="AM4" s="52">
        <f>+'Pi''s Calc'!AM55</f>
        <v>28467.952438109052</v>
      </c>
      <c r="AN4" s="52">
        <f>+'Pi''s Calc'!AN55</f>
        <v>27538.306166964307</v>
      </c>
      <c r="AO4" s="52">
        <f>+'Pi''s Calc'!AO55</f>
        <v>26638.819378848806</v>
      </c>
      <c r="AP4" s="52">
        <f>+'Pi''s Calc'!AP55</f>
        <v>25748.069603665368</v>
      </c>
      <c r="AQ4" s="52">
        <f>+'Pi''s Calc'!AQ55</f>
        <v>24863.150744832354</v>
      </c>
      <c r="AR4" s="52">
        <f>+'Pi''s Calc'!AR55</f>
        <v>24051.425348918492</v>
      </c>
      <c r="AS4" s="52">
        <f>+'Pi''s Calc'!AS55</f>
        <v>23279.333053103459</v>
      </c>
      <c r="AT4" s="52">
        <f>+'Pi''s Calc'!AT55</f>
        <v>22529.193645823514</v>
      </c>
      <c r="AU4" s="52">
        <f>+'Pi''s Calc'!AU55</f>
        <v>21823.213054256281</v>
      </c>
      <c r="AV4" s="52">
        <f>+'Pi''s Calc'!AV55</f>
        <v>21189.644598242696</v>
      </c>
      <c r="AW4" s="52">
        <f>+'Pi''s Calc'!AW55</f>
        <v>20625.351662914938</v>
      </c>
      <c r="AX4" s="52">
        <f>+'Pi''s Calc'!AX55</f>
        <v>20168.279522711673</v>
      </c>
    </row>
    <row r="5" spans="1:50" s="95" customFormat="1">
      <c r="A5" s="111" t="s">
        <v>89</v>
      </c>
      <c r="B5" s="68"/>
      <c r="C5" s="68"/>
      <c r="D5" s="68"/>
      <c r="E5" s="68"/>
      <c r="F5" s="68"/>
      <c r="G5" s="96"/>
      <c r="H5" s="96"/>
      <c r="I5" s="96"/>
      <c r="J5" s="96"/>
      <c r="K5" s="96"/>
      <c r="L5" s="96"/>
      <c r="M5" s="96"/>
      <c r="N5" s="96"/>
      <c r="O5" s="52"/>
      <c r="P5" s="52">
        <f>+'Pi''s Calc'!P28</f>
        <v>6154.3306649754231</v>
      </c>
      <c r="Q5" s="52">
        <f>+'Pi''s Calc'!Q28</f>
        <v>6389.635369841697</v>
      </c>
      <c r="R5" s="52">
        <f>+'Pi''s Calc'!R28</f>
        <v>6841.7814215647959</v>
      </c>
      <c r="S5" s="52">
        <f>+'Pi''s Calc'!S28</f>
        <v>7303.078325491977</v>
      </c>
      <c r="T5" s="52">
        <f>+'Pi''s Calc'!T28</f>
        <v>7653.6273003847218</v>
      </c>
      <c r="U5" s="52">
        <f>+'Pi''s Calc'!U28</f>
        <v>7958.0824391023016</v>
      </c>
      <c r="V5" s="52">
        <f>+'Pi''s Calc'!V28</f>
        <v>8138.3487158400376</v>
      </c>
      <c r="W5" s="52">
        <f>+'Pi''s Calc'!W28</f>
        <v>8276.0582838522496</v>
      </c>
      <c r="X5" s="52">
        <f>+'Pi''s Calc'!X28</f>
        <v>8372.9224282667074</v>
      </c>
      <c r="Y5" s="52">
        <f>+'Pi''s Calc'!Y28</f>
        <v>8453.7796026951801</v>
      </c>
      <c r="Z5" s="52">
        <f>+'Pi''s Calc'!Z28</f>
        <v>8500.3228210807119</v>
      </c>
      <c r="AA5" s="52">
        <f>+'Pi''s Calc'!AA28</f>
        <v>8550.8880677686211</v>
      </c>
      <c r="AB5" s="52">
        <f>+'Pi''s Calc'!AB28</f>
        <v>8597.7951901465567</v>
      </c>
      <c r="AC5" s="52">
        <f>+'Pi''s Calc'!AC28</f>
        <v>8655.585949953731</v>
      </c>
      <c r="AD5" s="52">
        <f>+'Pi''s Calc'!AD28</f>
        <v>8694.2687649476247</v>
      </c>
      <c r="AE5" s="52">
        <f>+'Pi''s Calc'!AE28</f>
        <v>8737.8918182313719</v>
      </c>
      <c r="AF5" s="52">
        <f>+'Pi''s Calc'!AF28</f>
        <v>8773.3091456116636</v>
      </c>
      <c r="AG5" s="52">
        <f>+'Pi''s Calc'!AG28</f>
        <v>8812.7688708638125</v>
      </c>
      <c r="AH5" s="52">
        <f>+'Pi''s Calc'!AH28</f>
        <v>8827.9821453664426</v>
      </c>
      <c r="AI5" s="52">
        <f>+'Pi''s Calc'!AI28</f>
        <v>8846.5069733115743</v>
      </c>
      <c r="AJ5" s="52">
        <f>+'Pi''s Calc'!AJ28</f>
        <v>8861.5685147167314</v>
      </c>
      <c r="AK5" s="52">
        <f>+'Pi''s Calc'!AK28</f>
        <v>8883.5952943007651</v>
      </c>
      <c r="AL5" s="52">
        <f>+'Pi''s Calc'!AL28</f>
        <v>8881.4832935384129</v>
      </c>
      <c r="AM5" s="52">
        <f>+'Pi''s Calc'!AM28</f>
        <v>8884.5769743795681</v>
      </c>
      <c r="AN5" s="52">
        <f>+'Pi''s Calc'!AN28</f>
        <v>8885.2992799193162</v>
      </c>
      <c r="AO5" s="52">
        <f>+'Pi''s Calc'!AO28</f>
        <v>8892.3716274425515</v>
      </c>
      <c r="AP5" s="52">
        <f>+'Pi''s Calc'!AP28</f>
        <v>8879.1111430974215</v>
      </c>
      <c r="AQ5" s="52">
        <f>+'Pi''s Calc'!AQ28</f>
        <v>8872.9789235731587</v>
      </c>
      <c r="AR5" s="52">
        <f>+'Pi''s Calc'!AR28</f>
        <v>8866.2223657205468</v>
      </c>
      <c r="AS5" s="52">
        <f>+'Pi''s Calc'!AS28</f>
        <v>8867.6355451250656</v>
      </c>
      <c r="AT5" s="52">
        <f>+'Pi''s Calc'!AT28</f>
        <v>8848.8606608480331</v>
      </c>
      <c r="AU5" s="52">
        <f>+'Pi''s Calc'!AU28</f>
        <v>8835.2145732322642</v>
      </c>
      <c r="AV5" s="52">
        <f>+'Pi''s Calc'!AV28</f>
        <v>8819.9255154061448</v>
      </c>
      <c r="AW5" s="52">
        <f>+'Pi''s Calc'!AW28</f>
        <v>8811.7332161539362</v>
      </c>
      <c r="AX5" s="52">
        <f>+'Pi''s Calc'!AX28</f>
        <v>8784.9876252643571</v>
      </c>
    </row>
    <row r="6" spans="1:50" s="95" customFormat="1">
      <c r="A6" s="111" t="s">
        <v>226</v>
      </c>
      <c r="B6" s="68"/>
      <c r="C6" s="68"/>
      <c r="D6" s="68"/>
      <c r="E6" s="68"/>
      <c r="F6" s="68"/>
      <c r="G6" s="96"/>
      <c r="H6" s="96"/>
      <c r="I6" s="96"/>
      <c r="J6" s="96"/>
      <c r="K6" s="96"/>
      <c r="L6" s="96"/>
      <c r="M6" s="96"/>
      <c r="N6" s="96"/>
      <c r="O6" s="52"/>
      <c r="P6" s="52">
        <f>+'Pi''s Calc'!P30</f>
        <v>-3068.7589143826945</v>
      </c>
      <c r="Q6" s="52">
        <f>+'Pi''s Calc'!Q30</f>
        <v>-3367.4568702166835</v>
      </c>
      <c r="R6" s="52">
        <f>+'Pi''s Calc'!R30</f>
        <v>-3576.7605681749073</v>
      </c>
      <c r="S6" s="52">
        <f>+'Pi''s Calc'!S30</f>
        <v>-3855.3560758678741</v>
      </c>
      <c r="T6" s="52">
        <f>+'Pi''s Calc'!T30</f>
        <v>-4022.9638464735658</v>
      </c>
      <c r="U6" s="52">
        <f>+'Pi''s Calc'!U30</f>
        <v>-4203.1916331894672</v>
      </c>
      <c r="V6" s="52">
        <f>+'Pi''s Calc'!V30</f>
        <v>-4205.0809917086299</v>
      </c>
      <c r="W6" s="52">
        <f>+'Pi''s Calc'!W30</f>
        <v>-4261.3442862327356</v>
      </c>
      <c r="X6" s="52">
        <f>+'Pi''s Calc'!X30</f>
        <v>-4338.8843436145789</v>
      </c>
      <c r="Y6" s="52">
        <f>+'Pi''s Calc'!Y30</f>
        <v>-4437.5754439206112</v>
      </c>
      <c r="Z6" s="52">
        <f>+'Pi''s Calc'!Z30</f>
        <v>-4548.7759253482463</v>
      </c>
      <c r="AA6" s="52">
        <f>+'Pi''s Calc'!AA30</f>
        <v>-4659.7982854257334</v>
      </c>
      <c r="AB6" s="52">
        <f>+'Pi''s Calc'!AB30</f>
        <v>-4775.2466170745547</v>
      </c>
      <c r="AC6" s="52">
        <f>+'Pi''s Calc'!AC30</f>
        <v>-4895.5432138829328</v>
      </c>
      <c r="AD6" s="52">
        <f>+'Pi''s Calc'!AD30</f>
        <v>-5007.5968120495063</v>
      </c>
      <c r="AE6" s="52">
        <f>+'Pi''s Calc'!AE30</f>
        <v>-5096.2859556802459</v>
      </c>
      <c r="AF6" s="52">
        <f>+'Pi''s Calc'!AF30</f>
        <v>-5142.9343794044589</v>
      </c>
      <c r="AG6" s="52">
        <f>+'Pi''s Calc'!AG30</f>
        <v>-5187.9158997382592</v>
      </c>
      <c r="AH6" s="52">
        <f>+'Pi''s Calc'!AH30</f>
        <v>-5228.6746301999146</v>
      </c>
      <c r="AI6" s="52">
        <f>+'Pi''s Calc'!AI30</f>
        <v>-5280.2530357965288</v>
      </c>
      <c r="AJ6" s="52">
        <f>+'Pi''s Calc'!AJ30</f>
        <v>-5353.5539881922959</v>
      </c>
      <c r="AK6" s="52">
        <f>+'Pi''s Calc'!AK30</f>
        <v>-5421.8482406865096</v>
      </c>
      <c r="AL6" s="52">
        <f>+'Pi''s Calc'!AL30</f>
        <v>-5480.3441191368083</v>
      </c>
      <c r="AM6" s="52">
        <f>+'Pi''s Calc'!AM30</f>
        <v>-5537.8809300652574</v>
      </c>
      <c r="AN6" s="52">
        <f>+'Pi''s Calc'!AN30</f>
        <v>-5609.4487599280983</v>
      </c>
      <c r="AO6" s="52">
        <f>+'Pi''s Calc'!AO30</f>
        <v>-5672.3574525035783</v>
      </c>
      <c r="AP6" s="52">
        <f>+'Pi''s Calc'!AP30</f>
        <v>-5751.198703887595</v>
      </c>
      <c r="AQ6" s="52">
        <f>+'Pi''s Calc'!AQ30</f>
        <v>-5832.0504720092586</v>
      </c>
      <c r="AR6" s="52">
        <f>+'Pi''s Calc'!AR30</f>
        <v>-5915.1709622771277</v>
      </c>
      <c r="AS6" s="52">
        <f>+'Pi''s Calc'!AS30</f>
        <v>-5996.5249594701527</v>
      </c>
      <c r="AT6" s="52">
        <f>+'Pi''s Calc'!AT30</f>
        <v>-6075.3111779838391</v>
      </c>
      <c r="AU6" s="52">
        <f>+'Pi''s Calc'!AU30</f>
        <v>-6154.4942613035064</v>
      </c>
      <c r="AV6" s="52">
        <f>+'Pi''s Calc'!AV30</f>
        <v>-6234.873607169885</v>
      </c>
      <c r="AW6" s="52">
        <f>+'Pi''s Calc'!AW30</f>
        <v>-6314.8879101639686</v>
      </c>
      <c r="AX6" s="52">
        <f>+'Pi''s Calc'!AX30</f>
        <v>-6398.1774866229462</v>
      </c>
    </row>
    <row r="7" spans="1:50" s="95" customFormat="1">
      <c r="A7" s="111" t="s">
        <v>227</v>
      </c>
      <c r="B7" s="68"/>
      <c r="C7" s="68"/>
      <c r="D7" s="68"/>
      <c r="E7" s="68"/>
      <c r="F7" s="68"/>
      <c r="G7" s="96"/>
      <c r="H7" s="96"/>
      <c r="I7" s="96"/>
      <c r="J7" s="96"/>
      <c r="K7" s="96"/>
      <c r="L7" s="96"/>
      <c r="M7" s="96"/>
      <c r="N7" s="96"/>
      <c r="O7" s="52"/>
      <c r="P7" s="52">
        <f>+'DAV Pi'!P59</f>
        <v>1615.5694518493642</v>
      </c>
      <c r="Q7" s="52">
        <f>+'DAV Pi'!Q59</f>
        <v>1638.7577105098619</v>
      </c>
      <c r="R7" s="52">
        <f>+'DAV Pi'!R59</f>
        <v>1686.8096176460731</v>
      </c>
      <c r="S7" s="52">
        <f>+'DAV Pi'!S59</f>
        <v>1764.0886645687453</v>
      </c>
      <c r="T7" s="52">
        <f>+'DAV Pi'!T59</f>
        <v>1789.0485264579588</v>
      </c>
      <c r="U7" s="52">
        <f>+'DAV Pi'!U59</f>
        <v>1908.0212011872475</v>
      </c>
      <c r="V7" s="52">
        <f>+'DAV Pi'!V59</f>
        <v>1949.0280889320313</v>
      </c>
      <c r="W7" s="52">
        <f>+'DAV Pi'!W59</f>
        <v>1980.1853371826087</v>
      </c>
      <c r="X7" s="52">
        <f>+'DAV Pi'!X59</f>
        <v>2007.982582173049</v>
      </c>
      <c r="Y7" s="52">
        <f>+'DAV Pi'!Y59</f>
        <v>2032.7957877653935</v>
      </c>
      <c r="Z7" s="52">
        <f>+'DAV Pi'!Z59</f>
        <v>2043.6954078856429</v>
      </c>
      <c r="AA7" s="52">
        <f>+'DAV Pi'!AA59</f>
        <v>2028.628812035392</v>
      </c>
      <c r="AB7" s="52">
        <f>+'DAV Pi'!AB59</f>
        <v>2022.7723197938431</v>
      </c>
      <c r="AC7" s="52">
        <f>+'DAV Pi'!AC59</f>
        <v>1992.7173514300639</v>
      </c>
      <c r="AD7" s="52">
        <f>+'DAV Pi'!AD59</f>
        <v>1990.9473990715442</v>
      </c>
      <c r="AE7" s="52">
        <f>+'DAV Pi'!AE59</f>
        <v>2007.6812784587723</v>
      </c>
      <c r="AF7" s="52">
        <f>+'DAV Pi'!AF59</f>
        <v>2032.558809131438</v>
      </c>
      <c r="AG7" s="52">
        <f>+'DAV Pi'!AG59</f>
        <v>2049.5938108355758</v>
      </c>
      <c r="AH7" s="52">
        <f>+'DAV Pi'!AH59</f>
        <v>2063.460247719745</v>
      </c>
      <c r="AI7" s="52">
        <f>+'DAV Pi'!AI59</f>
        <v>2076.8230044556781</v>
      </c>
      <c r="AJ7" s="52">
        <f>+'DAV Pi'!AJ59</f>
        <v>2089.1378845441941</v>
      </c>
      <c r="AK7" s="52">
        <f>+'DAV Pi'!AK59</f>
        <v>2105.296837045827</v>
      </c>
      <c r="AL7" s="52">
        <f>+'DAV Pi'!AL59</f>
        <v>2126.0105806571714</v>
      </c>
      <c r="AM7" s="52">
        <f>+'DAV Pi'!AM59</f>
        <v>2151.4514890702212</v>
      </c>
      <c r="AN7" s="52">
        <f>+'DAV Pi'!AN59</f>
        <v>2176.5885585942174</v>
      </c>
      <c r="AO7" s="52">
        <f>+'DAV Pi'!AO59</f>
        <v>2203.2983655217095</v>
      </c>
      <c r="AP7" s="52">
        <f>+'DAV Pi'!AP59</f>
        <v>2227.5564206839504</v>
      </c>
      <c r="AQ7" s="52">
        <f>+'DAV Pi'!AQ59</f>
        <v>2249.1888942101473</v>
      </c>
      <c r="AR7" s="52">
        <f>+'DAV Pi'!AR59</f>
        <v>2270.6826163337178</v>
      </c>
      <c r="AS7" s="52">
        <f>+'DAV Pi'!AS59</f>
        <v>2291.4665521640941</v>
      </c>
      <c r="AT7" s="52">
        <f>+'DAV Pi'!AT59</f>
        <v>2306.9471636809158</v>
      </c>
      <c r="AU7" s="52">
        <f>+'DAV Pi'!AU59</f>
        <v>2322.8737308439777</v>
      </c>
      <c r="AV7" s="52">
        <f>+'DAV Pi'!AV59</f>
        <v>2333.2730243169681</v>
      </c>
      <c r="AW7" s="52">
        <f>+'DAV Pi'!AW59</f>
        <v>2339.1296487490054</v>
      </c>
      <c r="AX7" s="52">
        <f>+'DAV Pi'!AX59</f>
        <v>2347.736639183197</v>
      </c>
    </row>
    <row r="8" spans="1:50" s="95" customFormat="1">
      <c r="A8" s="111" t="s">
        <v>228</v>
      </c>
      <c r="B8" s="68"/>
      <c r="C8" s="68"/>
      <c r="D8" s="68"/>
      <c r="E8" s="68"/>
      <c r="F8" s="68"/>
      <c r="G8" s="96"/>
      <c r="H8" s="96"/>
      <c r="I8" s="96"/>
      <c r="J8" s="96"/>
      <c r="K8" s="96"/>
      <c r="L8" s="96"/>
      <c r="M8" s="96"/>
      <c r="N8" s="96"/>
      <c r="O8" s="52">
        <f>+'Pi''s Calc'!O53</f>
        <v>-5489.97459567442</v>
      </c>
      <c r="P8" s="52">
        <f>+'Pi''s Calc'!P53</f>
        <v>-6481.0800954745428</v>
      </c>
      <c r="Q8" s="52">
        <f>+'Pi''s Calc'!Q53</f>
        <v>-6711.4841813048261</v>
      </c>
      <c r="R8" s="52">
        <f>+'Pi''s Calc'!R53</f>
        <v>-6751.8745150090836</v>
      </c>
      <c r="S8" s="52">
        <f>+'Pi''s Calc'!S53</f>
        <v>-6904.1932444042613</v>
      </c>
      <c r="T8" s="52">
        <f>+'Pi''s Calc'!T53</f>
        <v>-7034.2386073252201</v>
      </c>
      <c r="U8" s="52">
        <f>+'Pi''s Calc'!U53</f>
        <v>-7009.1199736447961</v>
      </c>
      <c r="V8" s="52">
        <f>+'Pi''s Calc'!V53</f>
        <v>-7087.5227582497755</v>
      </c>
      <c r="W8" s="52">
        <f>+'Pi''s Calc'!W53</f>
        <v>-7251.4312841670035</v>
      </c>
      <c r="X8" s="52">
        <f>+'Pi''s Calc'!X53</f>
        <v>-7453.1211972622405</v>
      </c>
      <c r="Y8" s="52">
        <f>+'Pi''s Calc'!Y53</f>
        <v>-7663.3806343202959</v>
      </c>
      <c r="Z8" s="52">
        <f>+'Pi''s Calc'!Z53</f>
        <v>-7851.5548213746224</v>
      </c>
      <c r="AA8" s="52">
        <f>+'Pi''s Calc'!AA53</f>
        <v>-8047.9754063158325</v>
      </c>
      <c r="AB8" s="52">
        <f>+'Pi''s Calc'!AB53</f>
        <v>-8085.1885253241417</v>
      </c>
      <c r="AC8" s="52">
        <f>+'Pi''s Calc'!AC53</f>
        <v>-8108.9432697293596</v>
      </c>
      <c r="AD8" s="52">
        <f>+'Pi''s Calc'!AD53</f>
        <v>-8094.8109695215389</v>
      </c>
      <c r="AE8" s="52">
        <f>+'Pi''s Calc'!AE53</f>
        <v>-8046.3722171516856</v>
      </c>
      <c r="AF8" s="52">
        <f>+'Pi''s Calc'!AF53</f>
        <v>-7981.554198532649</v>
      </c>
      <c r="AG8" s="52">
        <f>+'Pi''s Calc'!AG53</f>
        <v>-7909.6210845677924</v>
      </c>
      <c r="AH8" s="52">
        <f>+'Pi''s Calc'!AH53</f>
        <v>-7825.4564700498377</v>
      </c>
      <c r="AI8" s="52">
        <f>+'Pi''s Calc'!AI53</f>
        <v>-7723.7723295702963</v>
      </c>
      <c r="AJ8" s="52">
        <f>+'Pi''s Calc'!AJ53</f>
        <v>-7587.0505839706457</v>
      </c>
      <c r="AK8" s="52">
        <f>+'Pi''s Calc'!AK53</f>
        <v>-7421.9257794696459</v>
      </c>
      <c r="AL8" s="52">
        <f>+'Pi''s Calc'!AL53</f>
        <v>-7213.0992126682322</v>
      </c>
      <c r="AM8" s="52">
        <f>+'Pi''s Calc'!AM53</f>
        <v>-6961.0888793957201</v>
      </c>
      <c r="AN8" s="52">
        <f>+'Pi''s Calc'!AN53</f>
        <v>-6652.3014389638629</v>
      </c>
      <c r="AO8" s="52">
        <f>+'Pi''s Calc'!AO53</f>
        <v>-6297.6573618130133</v>
      </c>
      <c r="AP8" s="52">
        <f>+'Pi''s Calc'!AP53</f>
        <v>-5869.5917999495905</v>
      </c>
      <c r="AQ8" s="52">
        <f>+'Pi''s Calc'!AQ53</f>
        <v>-5374.6849674787845</v>
      </c>
      <c r="AR8" s="52">
        <f>+'Pi''s Calc'!AR53</f>
        <v>-4810.1880553535739</v>
      </c>
      <c r="AS8" s="52">
        <f>+'Pi''s Calc'!AS53</f>
        <v>-4183.2834099307474</v>
      </c>
      <c r="AT8" s="52">
        <f>+'Pi''s Calc'!AT53</f>
        <v>-3483.8955717260033</v>
      </c>
      <c r="AU8" s="52">
        <f>+'Pi''s Calc'!AU53</f>
        <v>-2714.5441690785883</v>
      </c>
      <c r="AV8" s="52">
        <f>+'Pi''s Calc'!AV53</f>
        <v>-1876.9600254308352</v>
      </c>
      <c r="AW8" s="52">
        <f>+'Pi''s Calc'!AW53</f>
        <v>-979.73732147096598</v>
      </c>
      <c r="AX8" s="52">
        <f>+'Pi''s Calc'!AX53</f>
        <v>0</v>
      </c>
    </row>
    <row r="9" spans="1:50" s="95" customFormat="1">
      <c r="B9" s="68"/>
      <c r="C9" s="68"/>
      <c r="D9" s="68"/>
      <c r="E9" s="68"/>
      <c r="F9" s="68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</row>
    <row r="10" spans="1:50">
      <c r="A10" s="23" t="s">
        <v>211</v>
      </c>
      <c r="O10" s="124">
        <f>+Inputs!O38</f>
        <v>1.1067768595041321</v>
      </c>
      <c r="P10" s="124">
        <f>+Inputs!P38</f>
        <v>1.1682029752066114</v>
      </c>
      <c r="Q10" s="124">
        <f>+Inputs!Q38</f>
        <v>1.1948380030413221</v>
      </c>
      <c r="R10" s="124">
        <f>+Inputs!R38</f>
        <v>1.2078617372744727</v>
      </c>
      <c r="S10" s="124">
        <f>+Inputs!S38</f>
        <v>1.2331060475835092</v>
      </c>
      <c r="T10" s="124">
        <f>+Inputs!T38</f>
        <v>1.2588779639780046</v>
      </c>
      <c r="U10" s="124">
        <f>+Inputs!U38</f>
        <v>1.2851885134251448</v>
      </c>
      <c r="V10" s="124">
        <f>+Inputs!V38</f>
        <v>1.3120489533557305</v>
      </c>
      <c r="W10" s="124">
        <f>+Inputs!W38</f>
        <v>1.3394707764808653</v>
      </c>
      <c r="X10" s="124">
        <f>+Inputs!X38</f>
        <v>1.3674657157093153</v>
      </c>
      <c r="Y10" s="124">
        <f>+Inputs!Y38</f>
        <v>1.3960457491676399</v>
      </c>
      <c r="Z10" s="124">
        <f>+Inputs!Z38</f>
        <v>1.4252231053252435</v>
      </c>
      <c r="AA10" s="124">
        <f>+Inputs!AA38</f>
        <v>1.4550102682265411</v>
      </c>
      <c r="AB10" s="124">
        <f>+Inputs!AB38</f>
        <v>1.4854199828324759</v>
      </c>
      <c r="AC10" s="124">
        <f>+Inputs!AC38</f>
        <v>1.5164652604736746</v>
      </c>
      <c r="AD10" s="124">
        <f>+Inputs!AD38</f>
        <v>1.5481593844175743</v>
      </c>
      <c r="AE10" s="124">
        <f>+Inputs!AE38</f>
        <v>1.5805159155519015</v>
      </c>
      <c r="AF10" s="124">
        <f>+Inputs!AF38</f>
        <v>1.6135486981869362</v>
      </c>
      <c r="AG10" s="124">
        <f>+Inputs!AG38</f>
        <v>1.6472718659790433</v>
      </c>
      <c r="AH10" s="124">
        <f>+Inputs!AH38</f>
        <v>1.6816998479780052</v>
      </c>
      <c r="AI10" s="124">
        <f>+Inputs!AI38</f>
        <v>1.7168473748007456</v>
      </c>
      <c r="AJ10" s="124">
        <f>+Inputs!AJ38</f>
        <v>1.7527294849340811</v>
      </c>
      <c r="AK10" s="124">
        <f>+Inputs!AK38</f>
        <v>1.7893615311692035</v>
      </c>
      <c r="AL10" s="124">
        <f>+Inputs!AL38</f>
        <v>1.8267591871706399</v>
      </c>
      <c r="AM10" s="124">
        <f>+Inputs!AM38</f>
        <v>1.8649384541825063</v>
      </c>
      <c r="AN10" s="124">
        <f>+Inputs!AN38</f>
        <v>1.9039156678749207</v>
      </c>
      <c r="AO10" s="124">
        <f>+Inputs!AO38</f>
        <v>1.9437075053335067</v>
      </c>
      <c r="AP10" s="124">
        <f>+Inputs!AP38</f>
        <v>1.984330992194977</v>
      </c>
      <c r="AQ10" s="124">
        <f>+Inputs!AQ38</f>
        <v>2.0258035099318521</v>
      </c>
      <c r="AR10" s="124">
        <f>+Inputs!AR38</f>
        <v>2.0681428032894278</v>
      </c>
      <c r="AS10" s="124">
        <f>+Inputs!AS38</f>
        <v>2.1113669878781769</v>
      </c>
      <c r="AT10" s="124">
        <f>+Inputs!AT38</f>
        <v>2.1554945579248308</v>
      </c>
      <c r="AU10" s="124">
        <f>+Inputs!AU38</f>
        <v>2.2005443941854597</v>
      </c>
      <c r="AV10" s="124">
        <f>+Inputs!AV38</f>
        <v>2.2465357720239356</v>
      </c>
      <c r="AW10" s="124">
        <f>+Inputs!AW38</f>
        <v>2.2934883696592361</v>
      </c>
      <c r="AX10" s="124">
        <f>+Inputs!AX38</f>
        <v>2.341422276585114</v>
      </c>
    </row>
    <row r="11" spans="1:50"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</row>
    <row r="12" spans="1:50">
      <c r="A12" s="114" t="s">
        <v>229</v>
      </c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</row>
    <row r="13" spans="1:50">
      <c r="A13" s="111" t="s">
        <v>0</v>
      </c>
      <c r="O13" s="52">
        <f t="shared" ref="O13:U13" si="0">+O4*O$10</f>
        <v>35676.91492894078</v>
      </c>
      <c r="P13" s="52">
        <f t="shared" si="0"/>
        <v>39539.268429408752</v>
      </c>
      <c r="Q13" s="52">
        <f t="shared" si="0"/>
        <v>42697.626990979028</v>
      </c>
      <c r="R13" s="52">
        <f t="shared" si="0"/>
        <v>46726.435671528685</v>
      </c>
      <c r="S13" s="52">
        <f t="shared" si="0"/>
        <v>52277.390978649091</v>
      </c>
      <c r="T13" s="52">
        <f t="shared" si="0"/>
        <v>55450.867204297727</v>
      </c>
      <c r="U13" s="52">
        <f t="shared" si="0"/>
        <v>59548.208410619707</v>
      </c>
      <c r="V13" s="52">
        <f t="shared" ref="V13:AU13" si="1">+V4*V$10</f>
        <v>59937.158568954823</v>
      </c>
      <c r="W13" s="52">
        <f t="shared" si="1"/>
        <v>59785.81965488461</v>
      </c>
      <c r="X13" s="52">
        <f t="shared" si="1"/>
        <v>59414.846564735999</v>
      </c>
      <c r="Y13" s="52">
        <f t="shared" si="1"/>
        <v>58858.828962766725</v>
      </c>
      <c r="Z13" s="52">
        <f t="shared" si="1"/>
        <v>58244.868398194325</v>
      </c>
      <c r="AA13" s="52">
        <f t="shared" si="1"/>
        <v>57576.854376917057</v>
      </c>
      <c r="AB13" s="52">
        <f t="shared" si="1"/>
        <v>57100.664730503137</v>
      </c>
      <c r="AC13" s="52">
        <f t="shared" si="1"/>
        <v>56747.277220845128</v>
      </c>
      <c r="AD13" s="52">
        <f t="shared" si="1"/>
        <v>56502.277025537034</v>
      </c>
      <c r="AE13" s="52">
        <f t="shared" si="1"/>
        <v>56289.491005839183</v>
      </c>
      <c r="AF13" s="52">
        <f t="shared" si="1"/>
        <v>56591.207150469716</v>
      </c>
      <c r="AG13" s="52">
        <f t="shared" si="1"/>
        <v>56229.288449839965</v>
      </c>
      <c r="AH13" s="52">
        <f t="shared" si="1"/>
        <v>55913.300782773775</v>
      </c>
      <c r="AI13" s="52">
        <f t="shared" si="1"/>
        <v>55442.719300453486</v>
      </c>
      <c r="AJ13" s="52">
        <f t="shared" si="1"/>
        <v>54929.397021976394</v>
      </c>
      <c r="AK13" s="52">
        <f t="shared" si="1"/>
        <v>54334.485295613762</v>
      </c>
      <c r="AL13" s="52">
        <f t="shared" si="1"/>
        <v>53691.806052394939</v>
      </c>
      <c r="AM13" s="52">
        <f t="shared" si="1"/>
        <v>53090.979213668208</v>
      </c>
      <c r="AN13" s="52">
        <f t="shared" si="1"/>
        <v>52430.612578019893</v>
      </c>
      <c r="AO13" s="52">
        <f t="shared" si="1"/>
        <v>51778.07315989209</v>
      </c>
      <c r="AP13" s="52">
        <f t="shared" si="1"/>
        <v>51092.692503746628</v>
      </c>
      <c r="AQ13" s="52">
        <f t="shared" si="1"/>
        <v>50367.858046846122</v>
      </c>
      <c r="AR13" s="52">
        <f t="shared" si="1"/>
        <v>49741.782244218695</v>
      </c>
      <c r="AS13" s="52">
        <f t="shared" si="1"/>
        <v>49151.215308143932</v>
      </c>
      <c r="AT13" s="52">
        <f t="shared" si="1"/>
        <v>48561.554298007264</v>
      </c>
      <c r="AU13" s="52">
        <f t="shared" si="1"/>
        <v>48022.949149658605</v>
      </c>
      <c r="AV13" s="52">
        <f t="shared" ref="AV13:AX13" si="2">+AV4*AV$10</f>
        <v>47603.294586425975</v>
      </c>
      <c r="AW13" s="52">
        <f t="shared" si="2"/>
        <v>47304.004159027194</v>
      </c>
      <c r="AX13" s="52">
        <f t="shared" si="2"/>
        <v>47222.458954872505</v>
      </c>
    </row>
    <row r="14" spans="1:50">
      <c r="A14" s="111" t="s">
        <v>89</v>
      </c>
      <c r="P14" s="52">
        <f t="shared" ref="P14:U16" si="3">+P5*P$10</f>
        <v>7189.5073932295727</v>
      </c>
      <c r="Q14" s="52">
        <f t="shared" si="3"/>
        <v>7634.5791654638533</v>
      </c>
      <c r="R14" s="52">
        <f t="shared" si="3"/>
        <v>8263.9259939034655</v>
      </c>
      <c r="S14" s="52">
        <f t="shared" si="3"/>
        <v>9005.4700491402036</v>
      </c>
      <c r="T14" s="52">
        <f t="shared" si="3"/>
        <v>9634.9827529547892</v>
      </c>
      <c r="U14" s="52">
        <f t="shared" si="3"/>
        <v>10227.636139624638</v>
      </c>
      <c r="V14" s="52">
        <f t="shared" ref="V14:AU14" si="4">+V5*V$10</f>
        <v>10677.911914661874</v>
      </c>
      <c r="W14" s="52">
        <f t="shared" si="4"/>
        <v>11085.53821567247</v>
      </c>
      <c r="X14" s="52">
        <f t="shared" si="4"/>
        <v>11449.684360948311</v>
      </c>
      <c r="Y14" s="52">
        <f t="shared" si="4"/>
        <v>11801.863078742706</v>
      </c>
      <c r="Z14" s="52">
        <f t="shared" si="4"/>
        <v>12114.856487327686</v>
      </c>
      <c r="AA14" s="52">
        <f t="shared" si="4"/>
        <v>12441.629941059151</v>
      </c>
      <c r="AB14" s="52">
        <f t="shared" si="4"/>
        <v>12771.336783744642</v>
      </c>
      <c r="AC14" s="52">
        <f t="shared" si="4"/>
        <v>13125.895402148863</v>
      </c>
      <c r="AD14" s="52">
        <f t="shared" si="4"/>
        <v>13460.113779102259</v>
      </c>
      <c r="AE14" s="52">
        <f t="shared" si="4"/>
        <v>13810.377087085426</v>
      </c>
      <c r="AF14" s="52">
        <f t="shared" si="4"/>
        <v>14156.161550693241</v>
      </c>
      <c r="AG14" s="52">
        <f t="shared" si="4"/>
        <v>14517.026222349859</v>
      </c>
      <c r="AH14" s="52">
        <f t="shared" si="4"/>
        <v>14846.016231815291</v>
      </c>
      <c r="AI14" s="52">
        <f t="shared" si="4"/>
        <v>15188.102273286466</v>
      </c>
      <c r="AJ14" s="52">
        <f t="shared" si="4"/>
        <v>15531.932418507527</v>
      </c>
      <c r="AK14" s="52">
        <f t="shared" si="4"/>
        <v>15895.963678097547</v>
      </c>
      <c r="AL14" s="52">
        <f t="shared" si="4"/>
        <v>16224.331202173849</v>
      </c>
      <c r="AM14" s="52">
        <f t="shared" si="4"/>
        <v>16569.189248664919</v>
      </c>
      <c r="AN14" s="52">
        <f t="shared" si="4"/>
        <v>16916.860512796138</v>
      </c>
      <c r="AO14" s="52">
        <f t="shared" si="4"/>
        <v>17284.169472474816</v>
      </c>
      <c r="AP14" s="52">
        <f t="shared" si="4"/>
        <v>17619.095424391984</v>
      </c>
      <c r="AQ14" s="52">
        <f t="shared" si="4"/>
        <v>17974.91184692585</v>
      </c>
      <c r="AR14" s="52">
        <f t="shared" si="4"/>
        <v>18336.613978028712</v>
      </c>
      <c r="AS14" s="52">
        <f t="shared" si="4"/>
        <v>18722.832950512166</v>
      </c>
      <c r="AT14" s="52">
        <f t="shared" si="4"/>
        <v>19073.670998293059</v>
      </c>
      <c r="AU14" s="52">
        <f t="shared" si="4"/>
        <v>19442.281900551938</v>
      </c>
      <c r="AV14" s="52">
        <f t="shared" ref="AV14:AX14" si="5">+AV5*AV$10</f>
        <v>19814.278176946551</v>
      </c>
      <c r="AW14" s="52">
        <f t="shared" si="5"/>
        <v>20209.607647789027</v>
      </c>
      <c r="AX14" s="52">
        <f t="shared" si="5"/>
        <v>20569.365725318527</v>
      </c>
    </row>
    <row r="15" spans="1:50">
      <c r="A15" s="111" t="s">
        <v>226</v>
      </c>
      <c r="P15" s="52">
        <f t="shared" si="3"/>
        <v>-3584.9332939736746</v>
      </c>
      <c r="Q15" s="52">
        <f t="shared" si="3"/>
        <v>-4023.5654421374829</v>
      </c>
      <c r="R15" s="52">
        <f t="shared" si="3"/>
        <v>-4320.2322336905736</v>
      </c>
      <c r="S15" s="52">
        <f t="shared" si="3"/>
        <v>-4754.0628927405023</v>
      </c>
      <c r="T15" s="52">
        <f t="shared" si="3"/>
        <v>-5064.4205362057646</v>
      </c>
      <c r="U15" s="52">
        <f t="shared" si="3"/>
        <v>-5401.8936066997785</v>
      </c>
      <c r="V15" s="52">
        <f t="shared" ref="V15:AU15" si="6">+V6*V$10</f>
        <v>-5517.2721139473852</v>
      </c>
      <c r="W15" s="52">
        <f t="shared" si="6"/>
        <v>-5707.9461399324609</v>
      </c>
      <c r="X15" s="52">
        <f t="shared" si="6"/>
        <v>-5933.2755843208533</v>
      </c>
      <c r="Y15" s="52">
        <f t="shared" si="6"/>
        <v>-6195.0583350960715</v>
      </c>
      <c r="Z15" s="52">
        <f t="shared" si="6"/>
        <v>-6483.0205497535362</v>
      </c>
      <c r="AA15" s="52">
        <f t="shared" si="6"/>
        <v>-6780.0543531588728</v>
      </c>
      <c r="AB15" s="52">
        <f t="shared" si="6"/>
        <v>-7093.2467479557235</v>
      </c>
      <c r="AC15" s="52">
        <f t="shared" si="6"/>
        <v>-7423.9212150011117</v>
      </c>
      <c r="AD15" s="52">
        <f t="shared" si="6"/>
        <v>-7752.5579979539707</v>
      </c>
      <c r="AE15" s="52">
        <f t="shared" si="6"/>
        <v>-8054.7610631562611</v>
      </c>
      <c r="AF15" s="52">
        <f t="shared" si="6"/>
        <v>-8298.3750727489041</v>
      </c>
      <c r="AG15" s="52">
        <f t="shared" si="6"/>
        <v>-8545.9079047041887</v>
      </c>
      <c r="AH15" s="52">
        <f t="shared" si="6"/>
        <v>-8793.0613307336498</v>
      </c>
      <c r="AI15" s="52">
        <f t="shared" si="6"/>
        <v>-9065.3885627909385</v>
      </c>
      <c r="AJ15" s="52">
        <f t="shared" si="6"/>
        <v>-9383.3319242910784</v>
      </c>
      <c r="AK15" s="52">
        <f t="shared" si="6"/>
        <v>-9701.6466697218657</v>
      </c>
      <c r="AL15" s="52">
        <f t="shared" si="6"/>
        <v>-10011.268968489752</v>
      </c>
      <c r="AM15" s="52">
        <f t="shared" si="6"/>
        <v>-10327.807101162682</v>
      </c>
      <c r="AN15" s="52">
        <f t="shared" si="6"/>
        <v>-10679.917382168651</v>
      </c>
      <c r="AO15" s="52">
        <f t="shared" si="6"/>
        <v>-11025.403753365656</v>
      </c>
      <c r="AP15" s="52">
        <f t="shared" si="6"/>
        <v>-11412.281830395737</v>
      </c>
      <c r="AQ15" s="52">
        <f t="shared" si="6"/>
        <v>-11814.588316296071</v>
      </c>
      <c r="AR15" s="52">
        <f t="shared" si="6"/>
        <v>-12233.418255860041</v>
      </c>
      <c r="AS15" s="52">
        <f t="shared" si="6"/>
        <v>-12660.864841412804</v>
      </c>
      <c r="AT15" s="52">
        <f t="shared" si="6"/>
        <v>-13095.300181844059</v>
      </c>
      <c r="AU15" s="52">
        <f t="shared" si="6"/>
        <v>-13543.237845758013</v>
      </c>
      <c r="AV15" s="52">
        <f t="shared" ref="AV15:AX15" si="7">+AV6*AV$10</f>
        <v>-14006.866592555058</v>
      </c>
      <c r="AW15" s="52">
        <f t="shared" si="7"/>
        <v>-14483.12197766278</v>
      </c>
      <c r="AX15" s="52">
        <f t="shared" si="7"/>
        <v>-14980.835296724321</v>
      </c>
    </row>
    <row r="16" spans="1:50">
      <c r="A16" s="111" t="s">
        <v>227</v>
      </c>
      <c r="P16" s="52">
        <f t="shared" si="3"/>
        <v>1887.3130403033417</v>
      </c>
      <c r="Q16" s="52">
        <f t="shared" si="3"/>
        <v>1958.0499902941724</v>
      </c>
      <c r="R16" s="52">
        <f t="shared" si="3"/>
        <v>2037.4327952212748</v>
      </c>
      <c r="S16" s="52">
        <f t="shared" si="3"/>
        <v>2175.3084007532366</v>
      </c>
      <c r="T16" s="52">
        <f t="shared" si="3"/>
        <v>2252.1937664452444</v>
      </c>
      <c r="U16" s="52">
        <f t="shared" si="3"/>
        <v>2452.1669311374976</v>
      </c>
      <c r="V16" s="52">
        <f t="shared" ref="V16:AU16" si="8">+V7*V$10</f>
        <v>2557.2202641441913</v>
      </c>
      <c r="W16" s="52">
        <f t="shared" si="8"/>
        <v>2652.4003911720129</v>
      </c>
      <c r="X16" s="52">
        <f t="shared" si="8"/>
        <v>2745.8473388631073</v>
      </c>
      <c r="Y16" s="52">
        <f t="shared" si="8"/>
        <v>2837.8759184357614</v>
      </c>
      <c r="Z16" s="52">
        <f t="shared" si="8"/>
        <v>2912.7219155657162</v>
      </c>
      <c r="AA16" s="52">
        <f t="shared" si="8"/>
        <v>2951.6757519317052</v>
      </c>
      <c r="AB16" s="52">
        <f t="shared" si="8"/>
        <v>3004.666424542178</v>
      </c>
      <c r="AC16" s="52">
        <f t="shared" si="8"/>
        <v>3021.8866373868027</v>
      </c>
      <c r="AD16" s="52">
        <f t="shared" si="8"/>
        <v>3082.3038997543722</v>
      </c>
      <c r="AE16" s="52">
        <f t="shared" si="8"/>
        <v>3173.1722139596786</v>
      </c>
      <c r="AF16" s="52">
        <f t="shared" si="8"/>
        <v>3279.6326204624211</v>
      </c>
      <c r="AG16" s="52">
        <f t="shared" si="8"/>
        <v>3376.2382212742173</v>
      </c>
      <c r="AH16" s="52">
        <f t="shared" si="8"/>
        <v>3470.120784898952</v>
      </c>
      <c r="AI16" s="52">
        <f t="shared" si="8"/>
        <v>3565.588123125528</v>
      </c>
      <c r="AJ16" s="52">
        <f t="shared" si="8"/>
        <v>3661.6935683334209</v>
      </c>
      <c r="AK16" s="52">
        <f t="shared" si="8"/>
        <v>3767.1371719020021</v>
      </c>
      <c r="AL16" s="52">
        <f t="shared" si="8"/>
        <v>3883.7093602374748</v>
      </c>
      <c r="AM16" s="52">
        <f t="shared" si="8"/>
        <v>4012.3246142752696</v>
      </c>
      <c r="AN16" s="52">
        <f t="shared" si="8"/>
        <v>4144.0410592248199</v>
      </c>
      <c r="AO16" s="52">
        <f t="shared" si="8"/>
        <v>4282.5675695535947</v>
      </c>
      <c r="AP16" s="52">
        <f t="shared" si="8"/>
        <v>4420.2092424260745</v>
      </c>
      <c r="AQ16" s="52">
        <f t="shared" si="8"/>
        <v>4556.4147563906572</v>
      </c>
      <c r="AR16" s="52">
        <f t="shared" si="8"/>
        <v>4696.0959115249871</v>
      </c>
      <c r="AS16" s="52">
        <f t="shared" si="8"/>
        <v>4838.1268320662948</v>
      </c>
      <c r="AT16" s="52">
        <f t="shared" si="8"/>
        <v>4972.6120567343378</v>
      </c>
      <c r="AU16" s="52">
        <f t="shared" si="8"/>
        <v>5111.5867668093797</v>
      </c>
      <c r="AV16" s="52">
        <f t="shared" ref="AV16:AX16" si="9">+AV7*AV$10</f>
        <v>5241.7813150265429</v>
      </c>
      <c r="AW16" s="52">
        <f t="shared" si="9"/>
        <v>5364.7666445309378</v>
      </c>
      <c r="AX16" s="52">
        <f t="shared" si="9"/>
        <v>5497.0428665386053</v>
      </c>
    </row>
    <row r="17" spans="1:50">
      <c r="A17" s="111" t="s">
        <v>288</v>
      </c>
      <c r="P17" s="52">
        <f>(+P8-O8)*P10</f>
        <v>-1157.812393610139</v>
      </c>
      <c r="Q17" s="52">
        <f t="shared" ref="Q17:U17" si="10">(+Q8-P8)*Q10</f>
        <v>-275.29555780601709</v>
      </c>
      <c r="R17" s="52">
        <f t="shared" si="10"/>
        <v>-48.785938637120154</v>
      </c>
      <c r="S17" s="52">
        <f t="shared" si="10"/>
        <v>-187.82514637742977</v>
      </c>
      <c r="T17" s="52">
        <f t="shared" si="10"/>
        <v>-163.7112416987172</v>
      </c>
      <c r="U17" s="52">
        <f t="shared" si="10"/>
        <v>32.282179479014836</v>
      </c>
      <c r="V17" s="52">
        <f t="shared" ref="V17" si="11">(+V8-U8)*V10</f>
        <v>-102.86829148113799</v>
      </c>
      <c r="W17" s="52">
        <f t="shared" ref="W17" si="12">(+W8-V8)*W10</f>
        <v>-219.55068048218337</v>
      </c>
      <c r="X17" s="52">
        <f t="shared" ref="X17" si="13">(+X8-W8)*X10</f>
        <v>-275.80404136212786</v>
      </c>
      <c r="Y17" s="52">
        <f t="shared" ref="Y17" si="14">(+Y8-X8)*Y10</f>
        <v>-293.53179332727927</v>
      </c>
      <c r="Z17" s="52">
        <f t="shared" ref="Z17" si="15">(+Z8-Y8)*Z10</f>
        <v>-268.1901992156204</v>
      </c>
      <c r="AA17" s="52">
        <f t="shared" ref="AA17" si="16">(+AA8-Z8)*AA10</f>
        <v>-285.7939679805242</v>
      </c>
      <c r="AB17" s="52">
        <f t="shared" ref="AB17" si="17">(+AB8-AA8)*AB10</f>
        <v>-55.277110598465462</v>
      </c>
      <c r="AC17" s="52">
        <f t="shared" ref="AC17" si="18">(+AC8-AB8)*AC10</f>
        <v>-36.023244661944382</v>
      </c>
      <c r="AD17" s="52">
        <f t="shared" ref="AD17" si="19">(+AD8-AC8)*AD10</f>
        <v>21.879053190143996</v>
      </c>
      <c r="AE17" s="52">
        <f t="shared" ref="AE17" si="20">(+AE8-AD8)*AE10</f>
        <v>76.558219050030559</v>
      </c>
      <c r="AF17" s="52">
        <f t="shared" ref="AF17" si="21">(+AF8-AE8)*AF10</f>
        <v>104.58702956180309</v>
      </c>
      <c r="AG17" s="52">
        <f t="shared" ref="AG17" si="22">(+AG8-AF8)*AG10</f>
        <v>118.49339486657252</v>
      </c>
      <c r="AH17" s="52">
        <f t="shared" ref="AH17" si="23">(+AH8-AG8)*AH10</f>
        <v>141.53961943997194</v>
      </c>
      <c r="AI17" s="52">
        <f t="shared" ref="AI17" si="24">(+AI8-AH8)*AI10</f>
        <v>174.57614964117084</v>
      </c>
      <c r="AJ17" s="52">
        <f t="shared" ref="AJ17" si="25">(+AJ8-AI8)*AJ10</f>
        <v>239.63623474416406</v>
      </c>
      <c r="AK17" s="52">
        <f t="shared" ref="AK17" si="26">(+AK8-AJ8)*AK10</f>
        <v>295.46797301592426</v>
      </c>
      <c r="AL17" s="52">
        <f t="shared" ref="AL17" si="27">(+AL8-AK8)*AL10</f>
        <v>381.47584942978585</v>
      </c>
      <c r="AM17" s="52">
        <f t="shared" ref="AM17" si="28">(+AM8-AL8)*AM10</f>
        <v>469.98376137125689</v>
      </c>
      <c r="AN17" s="52">
        <f t="shared" ref="AN17" si="29">(+AN8-AM8)*AN10</f>
        <v>587.90524588120684</v>
      </c>
      <c r="AO17" s="52">
        <f t="shared" ref="AO17" si="30">(+AO8-AN8)*AO10</f>
        <v>689.32435448018157</v>
      </c>
      <c r="AP17" s="52">
        <f t="shared" ref="AP17" si="31">(+AP8-AO8)*AP10</f>
        <v>849.42376109694601</v>
      </c>
      <c r="AQ17" s="52">
        <f t="shared" ref="AQ17" si="32">(+AQ8-AP8)*AQ10</f>
        <v>1002.5839983086138</v>
      </c>
      <c r="AR17" s="52">
        <f t="shared" ref="AR17" si="33">(+AR8-AQ8)*AR10</f>
        <v>1167.4602262908591</v>
      </c>
      <c r="AS17" s="52">
        <f t="shared" ref="AS17" si="34">(+AS8-AR8)*AS10</f>
        <v>1323.6257728932296</v>
      </c>
      <c r="AT17" s="52">
        <f t="shared" ref="AT17" si="35">(+AT8-AS8)*AT10</f>
        <v>1507.5266791291381</v>
      </c>
      <c r="AU17" s="52">
        <f t="shared" ref="AU17" si="36">(+AU8-AT8)*AU10</f>
        <v>1692.9919162544893</v>
      </c>
      <c r="AV17" s="52">
        <f t="shared" ref="AV17" si="37">(+AV8-AU8)*AV10</f>
        <v>1881.662740784712</v>
      </c>
      <c r="AW17" s="52">
        <f t="shared" ref="AW17" si="38">(+AW8-AV8)*AW10</f>
        <v>2057.7698365261717</v>
      </c>
      <c r="AX17" s="52">
        <f t="shared" ref="AX17" si="39">(+AX8-AW8)*AX10</f>
        <v>2293.9787896939511</v>
      </c>
    </row>
    <row r="18" spans="1:50"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</row>
    <row r="19" spans="1:50">
      <c r="E19" s="69"/>
    </row>
    <row r="20" spans="1:50">
      <c r="A20" s="23" t="s">
        <v>0</v>
      </c>
      <c r="E20" s="69"/>
      <c r="O20" s="52">
        <f t="shared" ref="O20:T20" si="40">+O13</f>
        <v>35676.91492894078</v>
      </c>
      <c r="P20" s="52">
        <f t="shared" si="40"/>
        <v>39539.268429408752</v>
      </c>
      <c r="Q20" s="52">
        <f t="shared" si="40"/>
        <v>42697.626990979028</v>
      </c>
      <c r="R20" s="52">
        <f t="shared" si="40"/>
        <v>46726.435671528685</v>
      </c>
      <c r="S20" s="52">
        <f t="shared" si="40"/>
        <v>52277.390978649091</v>
      </c>
      <c r="T20" s="52">
        <f t="shared" si="40"/>
        <v>55450.867204297727</v>
      </c>
      <c r="U20" s="52">
        <f>+U13</f>
        <v>59548.208410619707</v>
      </c>
      <c r="V20" s="52">
        <f t="shared" ref="V20:AU20" si="41">+V13</f>
        <v>59937.158568954823</v>
      </c>
      <c r="W20" s="52">
        <f t="shared" si="41"/>
        <v>59785.81965488461</v>
      </c>
      <c r="X20" s="52">
        <f t="shared" si="41"/>
        <v>59414.846564735999</v>
      </c>
      <c r="Y20" s="52">
        <f t="shared" si="41"/>
        <v>58858.828962766725</v>
      </c>
      <c r="Z20" s="52">
        <f t="shared" si="41"/>
        <v>58244.868398194325</v>
      </c>
      <c r="AA20" s="52">
        <f t="shared" si="41"/>
        <v>57576.854376917057</v>
      </c>
      <c r="AB20" s="52">
        <f t="shared" si="41"/>
        <v>57100.664730503137</v>
      </c>
      <c r="AC20" s="52">
        <f t="shared" si="41"/>
        <v>56747.277220845128</v>
      </c>
      <c r="AD20" s="52">
        <f t="shared" si="41"/>
        <v>56502.277025537034</v>
      </c>
      <c r="AE20" s="52">
        <f t="shared" si="41"/>
        <v>56289.491005839183</v>
      </c>
      <c r="AF20" s="52">
        <f t="shared" si="41"/>
        <v>56591.207150469716</v>
      </c>
      <c r="AG20" s="52">
        <f t="shared" si="41"/>
        <v>56229.288449839965</v>
      </c>
      <c r="AH20" s="52">
        <f t="shared" si="41"/>
        <v>55913.300782773775</v>
      </c>
      <c r="AI20" s="52">
        <f t="shared" si="41"/>
        <v>55442.719300453486</v>
      </c>
      <c r="AJ20" s="52">
        <f t="shared" si="41"/>
        <v>54929.397021976394</v>
      </c>
      <c r="AK20" s="52">
        <f t="shared" si="41"/>
        <v>54334.485295613762</v>
      </c>
      <c r="AL20" s="52">
        <f t="shared" si="41"/>
        <v>53691.806052394939</v>
      </c>
      <c r="AM20" s="52">
        <f t="shared" si="41"/>
        <v>53090.979213668208</v>
      </c>
      <c r="AN20" s="52">
        <f t="shared" si="41"/>
        <v>52430.612578019893</v>
      </c>
      <c r="AO20" s="52">
        <f t="shared" si="41"/>
        <v>51778.07315989209</v>
      </c>
      <c r="AP20" s="52">
        <f t="shared" si="41"/>
        <v>51092.692503746628</v>
      </c>
      <c r="AQ20" s="52">
        <f t="shared" si="41"/>
        <v>50367.858046846122</v>
      </c>
      <c r="AR20" s="52">
        <f t="shared" si="41"/>
        <v>49741.782244218695</v>
      </c>
      <c r="AS20" s="52">
        <f t="shared" si="41"/>
        <v>49151.215308143932</v>
      </c>
      <c r="AT20" s="52">
        <f t="shared" si="41"/>
        <v>48561.554298007264</v>
      </c>
      <c r="AU20" s="52">
        <f t="shared" si="41"/>
        <v>48022.949149658605</v>
      </c>
      <c r="AV20" s="52">
        <f t="shared" ref="AV20:AX20" si="42">+AV13</f>
        <v>47603.294586425975</v>
      </c>
      <c r="AW20" s="52">
        <f t="shared" si="42"/>
        <v>47304.004159027194</v>
      </c>
      <c r="AX20" s="52">
        <f t="shared" si="42"/>
        <v>47222.458954872505</v>
      </c>
    </row>
    <row r="21" spans="1:50">
      <c r="A21" s="23" t="s">
        <v>29</v>
      </c>
      <c r="E21" s="69"/>
      <c r="P21" s="52">
        <f>(+O20+P20)/2</f>
        <v>37608.091679174766</v>
      </c>
      <c r="Q21" s="52">
        <f t="shared" ref="Q21:U21" si="43">(+P20+Q20)/2</f>
        <v>41118.44771019389</v>
      </c>
      <c r="R21" s="52">
        <f t="shared" si="43"/>
        <v>44712.031331253856</v>
      </c>
      <c r="S21" s="52">
        <f t="shared" si="43"/>
        <v>49501.913325088884</v>
      </c>
      <c r="T21" s="52">
        <f t="shared" si="43"/>
        <v>53864.129091473413</v>
      </c>
      <c r="U21" s="52">
        <f t="shared" si="43"/>
        <v>57499.537807458721</v>
      </c>
      <c r="V21" s="52">
        <f t="shared" ref="V21" si="44">(+U20+V20)/2</f>
        <v>59742.683489787261</v>
      </c>
      <c r="W21" s="52">
        <f t="shared" ref="W21" si="45">(+V20+W20)/2</f>
        <v>59861.489111919713</v>
      </c>
      <c r="X21" s="52">
        <f t="shared" ref="X21" si="46">(+W20+X20)/2</f>
        <v>59600.333109810308</v>
      </c>
      <c r="Y21" s="52">
        <f t="shared" ref="Y21" si="47">(+X20+Y20)/2</f>
        <v>59136.837763751362</v>
      </c>
      <c r="Z21" s="52">
        <f t="shared" ref="Z21" si="48">(+Y20+Z20)/2</f>
        <v>58551.848680480529</v>
      </c>
      <c r="AA21" s="52">
        <f t="shared" ref="AA21" si="49">(+Z20+AA20)/2</f>
        <v>57910.861387555691</v>
      </c>
      <c r="AB21" s="52">
        <f t="shared" ref="AB21" si="50">(+AA20+AB20)/2</f>
        <v>57338.759553710101</v>
      </c>
      <c r="AC21" s="52">
        <f t="shared" ref="AC21" si="51">(+AB20+AC20)/2</f>
        <v>56923.970975674136</v>
      </c>
      <c r="AD21" s="52">
        <f t="shared" ref="AD21" si="52">(+AC20+AD20)/2</f>
        <v>56624.777123191081</v>
      </c>
      <c r="AE21" s="52">
        <f t="shared" ref="AE21" si="53">(+AD20+AE20)/2</f>
        <v>56395.884015688105</v>
      </c>
      <c r="AF21" s="52">
        <f t="shared" ref="AF21" si="54">(+AE20+AF20)/2</f>
        <v>56440.349078154453</v>
      </c>
      <c r="AG21" s="52">
        <f t="shared" ref="AG21" si="55">(+AF20+AG20)/2</f>
        <v>56410.247800154844</v>
      </c>
      <c r="AH21" s="52">
        <f t="shared" ref="AH21" si="56">(+AG20+AH20)/2</f>
        <v>56071.29461630687</v>
      </c>
      <c r="AI21" s="52">
        <f t="shared" ref="AI21" si="57">(+AH20+AI20)/2</f>
        <v>55678.010041613627</v>
      </c>
      <c r="AJ21" s="52">
        <f t="shared" ref="AJ21" si="58">(+AI20+AJ20)/2</f>
        <v>55186.05816121494</v>
      </c>
      <c r="AK21" s="52">
        <f t="shared" ref="AK21" si="59">(+AJ20+AK20)/2</f>
        <v>54631.941158795074</v>
      </c>
      <c r="AL21" s="52">
        <f t="shared" ref="AL21" si="60">(+AK20+AL20)/2</f>
        <v>54013.14567400435</v>
      </c>
      <c r="AM21" s="52">
        <f t="shared" ref="AM21" si="61">(+AL20+AM20)/2</f>
        <v>53391.392633031573</v>
      </c>
      <c r="AN21" s="52">
        <f t="shared" ref="AN21" si="62">(+AM20+AN20)/2</f>
        <v>52760.79589584405</v>
      </c>
      <c r="AO21" s="52">
        <f t="shared" ref="AO21" si="63">(+AN20+AO20)/2</f>
        <v>52104.342868955995</v>
      </c>
      <c r="AP21" s="52">
        <f t="shared" ref="AP21" si="64">(+AO20+AP20)/2</f>
        <v>51435.382831819355</v>
      </c>
      <c r="AQ21" s="52">
        <f t="shared" ref="AQ21" si="65">(+AP20+AQ20)/2</f>
        <v>50730.275275296372</v>
      </c>
      <c r="AR21" s="52">
        <f t="shared" ref="AR21" si="66">(+AQ20+AR20)/2</f>
        <v>50054.820145532409</v>
      </c>
      <c r="AS21" s="52">
        <f t="shared" ref="AS21" si="67">(+AR20+AS20)/2</f>
        <v>49446.49877618131</v>
      </c>
      <c r="AT21" s="52">
        <f t="shared" ref="AT21" si="68">(+AS20+AT20)/2</f>
        <v>48856.384803075598</v>
      </c>
      <c r="AU21" s="52">
        <f t="shared" ref="AU21" si="69">(+AT20+AU20)/2</f>
        <v>48292.251723832931</v>
      </c>
      <c r="AV21" s="52">
        <f t="shared" ref="AV21" si="70">(+AU20+AV20)/2</f>
        <v>47813.12186804229</v>
      </c>
      <c r="AW21" s="52">
        <f t="shared" ref="AW21" si="71">(+AV20+AW20)/2</f>
        <v>47453.649372726584</v>
      </c>
      <c r="AX21" s="52">
        <f t="shared" ref="AX21" si="72">(+AW20+AX20)/2</f>
        <v>47263.231556949846</v>
      </c>
    </row>
    <row r="22" spans="1:50">
      <c r="A22" s="23" t="s">
        <v>152</v>
      </c>
      <c r="E22" s="69"/>
      <c r="M22" s="70"/>
      <c r="N22" s="70"/>
      <c r="O22" s="70"/>
      <c r="P22" s="82">
        <f>+Inputs!P4</f>
        <v>0.55000000000000004</v>
      </c>
      <c r="Q22" s="82">
        <f>+P22</f>
        <v>0.55000000000000004</v>
      </c>
      <c r="R22" s="82">
        <f>+Q22</f>
        <v>0.55000000000000004</v>
      </c>
      <c r="S22" s="82">
        <f>+R22</f>
        <v>0.55000000000000004</v>
      </c>
      <c r="T22" s="82">
        <f>+S22</f>
        <v>0.55000000000000004</v>
      </c>
      <c r="U22" s="82">
        <f>+T22</f>
        <v>0.55000000000000004</v>
      </c>
      <c r="V22" s="82">
        <f t="shared" ref="V22:AU22" si="73">+U22</f>
        <v>0.55000000000000004</v>
      </c>
      <c r="W22" s="82">
        <f t="shared" si="73"/>
        <v>0.55000000000000004</v>
      </c>
      <c r="X22" s="82">
        <f t="shared" si="73"/>
        <v>0.55000000000000004</v>
      </c>
      <c r="Y22" s="82">
        <f t="shared" si="73"/>
        <v>0.55000000000000004</v>
      </c>
      <c r="Z22" s="82">
        <f t="shared" si="73"/>
        <v>0.55000000000000004</v>
      </c>
      <c r="AA22" s="82">
        <f t="shared" si="73"/>
        <v>0.55000000000000004</v>
      </c>
      <c r="AB22" s="82">
        <f t="shared" si="73"/>
        <v>0.55000000000000004</v>
      </c>
      <c r="AC22" s="82">
        <f t="shared" si="73"/>
        <v>0.55000000000000004</v>
      </c>
      <c r="AD22" s="82">
        <f t="shared" si="73"/>
        <v>0.55000000000000004</v>
      </c>
      <c r="AE22" s="82">
        <f t="shared" si="73"/>
        <v>0.55000000000000004</v>
      </c>
      <c r="AF22" s="82">
        <f t="shared" si="73"/>
        <v>0.55000000000000004</v>
      </c>
      <c r="AG22" s="82">
        <f t="shared" si="73"/>
        <v>0.55000000000000004</v>
      </c>
      <c r="AH22" s="82">
        <f t="shared" si="73"/>
        <v>0.55000000000000004</v>
      </c>
      <c r="AI22" s="82">
        <f t="shared" si="73"/>
        <v>0.55000000000000004</v>
      </c>
      <c r="AJ22" s="82">
        <f t="shared" si="73"/>
        <v>0.55000000000000004</v>
      </c>
      <c r="AK22" s="82">
        <f t="shared" si="73"/>
        <v>0.55000000000000004</v>
      </c>
      <c r="AL22" s="82">
        <f t="shared" si="73"/>
        <v>0.55000000000000004</v>
      </c>
      <c r="AM22" s="82">
        <f t="shared" si="73"/>
        <v>0.55000000000000004</v>
      </c>
      <c r="AN22" s="82">
        <f t="shared" si="73"/>
        <v>0.55000000000000004</v>
      </c>
      <c r="AO22" s="82">
        <f t="shared" si="73"/>
        <v>0.55000000000000004</v>
      </c>
      <c r="AP22" s="82">
        <f t="shared" si="73"/>
        <v>0.55000000000000004</v>
      </c>
      <c r="AQ22" s="82">
        <f t="shared" si="73"/>
        <v>0.55000000000000004</v>
      </c>
      <c r="AR22" s="82">
        <f t="shared" si="73"/>
        <v>0.55000000000000004</v>
      </c>
      <c r="AS22" s="82">
        <f t="shared" si="73"/>
        <v>0.55000000000000004</v>
      </c>
      <c r="AT22" s="82">
        <f t="shared" si="73"/>
        <v>0.55000000000000004</v>
      </c>
      <c r="AU22" s="82">
        <f t="shared" si="73"/>
        <v>0.55000000000000004</v>
      </c>
      <c r="AV22" s="82">
        <f t="shared" ref="AV22:AX22" si="74">+AU22</f>
        <v>0.55000000000000004</v>
      </c>
      <c r="AW22" s="82">
        <f t="shared" si="74"/>
        <v>0.55000000000000004</v>
      </c>
      <c r="AX22" s="82">
        <f t="shared" si="74"/>
        <v>0.55000000000000004</v>
      </c>
    </row>
    <row r="23" spans="1:50">
      <c r="A23" s="23" t="s">
        <v>28</v>
      </c>
      <c r="E23" s="69"/>
      <c r="P23" s="52">
        <f t="shared" ref="P23:U23" si="75">+P21*P22</f>
        <v>20684.450423546125</v>
      </c>
      <c r="Q23" s="52">
        <f t="shared" si="75"/>
        <v>22615.146240606642</v>
      </c>
      <c r="R23" s="52">
        <f t="shared" si="75"/>
        <v>24591.617232189623</v>
      </c>
      <c r="S23" s="52">
        <f t="shared" si="75"/>
        <v>27226.052328798887</v>
      </c>
      <c r="T23" s="52">
        <f t="shared" si="75"/>
        <v>29625.271000310378</v>
      </c>
      <c r="U23" s="52">
        <f t="shared" si="75"/>
        <v>31624.745794102299</v>
      </c>
      <c r="V23" s="52">
        <f t="shared" ref="V23:AU23" si="76">+V21*V22</f>
        <v>32858.475919382996</v>
      </c>
      <c r="W23" s="52">
        <f t="shared" si="76"/>
        <v>32923.819011555846</v>
      </c>
      <c r="X23" s="52">
        <f t="shared" si="76"/>
        <v>32780.183210395669</v>
      </c>
      <c r="Y23" s="52">
        <f t="shared" si="76"/>
        <v>32525.260770063251</v>
      </c>
      <c r="Z23" s="52">
        <f t="shared" si="76"/>
        <v>32203.516774264295</v>
      </c>
      <c r="AA23" s="52">
        <f t="shared" si="76"/>
        <v>31850.973763155635</v>
      </c>
      <c r="AB23" s="52">
        <f t="shared" si="76"/>
        <v>31536.317754540556</v>
      </c>
      <c r="AC23" s="52">
        <f t="shared" si="76"/>
        <v>31308.184036620776</v>
      </c>
      <c r="AD23" s="52">
        <f t="shared" si="76"/>
        <v>31143.627417755099</v>
      </c>
      <c r="AE23" s="52">
        <f t="shared" si="76"/>
        <v>31017.736208628459</v>
      </c>
      <c r="AF23" s="52">
        <f t="shared" si="76"/>
        <v>31042.19199298495</v>
      </c>
      <c r="AG23" s="52">
        <f t="shared" si="76"/>
        <v>31025.636290085167</v>
      </c>
      <c r="AH23" s="52">
        <f t="shared" si="76"/>
        <v>30839.212038968781</v>
      </c>
      <c r="AI23" s="52">
        <f t="shared" si="76"/>
        <v>30622.905522887497</v>
      </c>
      <c r="AJ23" s="52">
        <f t="shared" si="76"/>
        <v>30352.331988668218</v>
      </c>
      <c r="AK23" s="52">
        <f t="shared" si="76"/>
        <v>30047.567637337292</v>
      </c>
      <c r="AL23" s="52">
        <f t="shared" si="76"/>
        <v>29707.230120702396</v>
      </c>
      <c r="AM23" s="52">
        <f t="shared" si="76"/>
        <v>29365.265948167369</v>
      </c>
      <c r="AN23" s="52">
        <f t="shared" si="76"/>
        <v>29018.437742714232</v>
      </c>
      <c r="AO23" s="52">
        <f t="shared" si="76"/>
        <v>28657.388577925798</v>
      </c>
      <c r="AP23" s="52">
        <f t="shared" si="76"/>
        <v>28289.460557500646</v>
      </c>
      <c r="AQ23" s="52">
        <f t="shared" si="76"/>
        <v>27901.651401413008</v>
      </c>
      <c r="AR23" s="52">
        <f t="shared" si="76"/>
        <v>27530.151080042826</v>
      </c>
      <c r="AS23" s="52">
        <f t="shared" si="76"/>
        <v>27195.574326899721</v>
      </c>
      <c r="AT23" s="52">
        <f t="shared" si="76"/>
        <v>26871.011641691581</v>
      </c>
      <c r="AU23" s="52">
        <f t="shared" si="76"/>
        <v>26560.738448108114</v>
      </c>
      <c r="AV23" s="52">
        <f t="shared" ref="AV23:AX23" si="77">+AV21*AV22</f>
        <v>26297.217027423263</v>
      </c>
      <c r="AW23" s="52">
        <f t="shared" si="77"/>
        <v>26099.507154999625</v>
      </c>
      <c r="AX23" s="52">
        <f t="shared" si="77"/>
        <v>25994.777356322418</v>
      </c>
    </row>
    <row r="24" spans="1:50">
      <c r="A24" s="23" t="s">
        <v>153</v>
      </c>
      <c r="E24" s="69"/>
      <c r="M24" s="70"/>
      <c r="N24" s="70"/>
      <c r="O24" s="70"/>
      <c r="P24" s="82">
        <f>+Inputs!P5</f>
        <v>3.4700000000000002E-2</v>
      </c>
      <c r="Q24" s="82">
        <f>+Inputs!Q5</f>
        <v>3.8200000000000005E-2</v>
      </c>
      <c r="R24" s="82">
        <f>+Inputs!R5</f>
        <v>4.1700000000000001E-2</v>
      </c>
      <c r="S24" s="82">
        <f>+Inputs!S5</f>
        <v>4.5199999999999997E-2</v>
      </c>
      <c r="T24" s="82">
        <f>+Inputs!T5</f>
        <v>4.87E-2</v>
      </c>
      <c r="U24" s="82">
        <f>+Inputs!U5</f>
        <v>5.2199999999999996E-2</v>
      </c>
      <c r="V24" s="82">
        <f t="shared" ref="V24:AU24" si="78">+U24</f>
        <v>5.2199999999999996E-2</v>
      </c>
      <c r="W24" s="82">
        <f t="shared" si="78"/>
        <v>5.2199999999999996E-2</v>
      </c>
      <c r="X24" s="82">
        <f t="shared" si="78"/>
        <v>5.2199999999999996E-2</v>
      </c>
      <c r="Y24" s="82">
        <f t="shared" si="78"/>
        <v>5.2199999999999996E-2</v>
      </c>
      <c r="Z24" s="82">
        <f t="shared" si="78"/>
        <v>5.2199999999999996E-2</v>
      </c>
      <c r="AA24" s="82">
        <f t="shared" si="78"/>
        <v>5.2199999999999996E-2</v>
      </c>
      <c r="AB24" s="82">
        <f t="shared" si="78"/>
        <v>5.2199999999999996E-2</v>
      </c>
      <c r="AC24" s="82">
        <f t="shared" si="78"/>
        <v>5.2199999999999996E-2</v>
      </c>
      <c r="AD24" s="82">
        <f t="shared" si="78"/>
        <v>5.2199999999999996E-2</v>
      </c>
      <c r="AE24" s="82">
        <f t="shared" si="78"/>
        <v>5.2199999999999996E-2</v>
      </c>
      <c r="AF24" s="82">
        <f t="shared" si="78"/>
        <v>5.2199999999999996E-2</v>
      </c>
      <c r="AG24" s="82">
        <f t="shared" si="78"/>
        <v>5.2199999999999996E-2</v>
      </c>
      <c r="AH24" s="82">
        <f t="shared" si="78"/>
        <v>5.2199999999999996E-2</v>
      </c>
      <c r="AI24" s="82">
        <f t="shared" si="78"/>
        <v>5.2199999999999996E-2</v>
      </c>
      <c r="AJ24" s="82">
        <f t="shared" si="78"/>
        <v>5.2199999999999996E-2</v>
      </c>
      <c r="AK24" s="82">
        <f t="shared" si="78"/>
        <v>5.2199999999999996E-2</v>
      </c>
      <c r="AL24" s="82">
        <f t="shared" si="78"/>
        <v>5.2199999999999996E-2</v>
      </c>
      <c r="AM24" s="82">
        <f t="shared" si="78"/>
        <v>5.2199999999999996E-2</v>
      </c>
      <c r="AN24" s="82">
        <f t="shared" si="78"/>
        <v>5.2199999999999996E-2</v>
      </c>
      <c r="AO24" s="82">
        <f t="shared" si="78"/>
        <v>5.2199999999999996E-2</v>
      </c>
      <c r="AP24" s="82">
        <f t="shared" si="78"/>
        <v>5.2199999999999996E-2</v>
      </c>
      <c r="AQ24" s="82">
        <f t="shared" si="78"/>
        <v>5.2199999999999996E-2</v>
      </c>
      <c r="AR24" s="82">
        <f t="shared" si="78"/>
        <v>5.2199999999999996E-2</v>
      </c>
      <c r="AS24" s="82">
        <f t="shared" si="78"/>
        <v>5.2199999999999996E-2</v>
      </c>
      <c r="AT24" s="82">
        <f t="shared" si="78"/>
        <v>5.2199999999999996E-2</v>
      </c>
      <c r="AU24" s="82">
        <f t="shared" si="78"/>
        <v>5.2199999999999996E-2</v>
      </c>
      <c r="AV24" s="82">
        <f t="shared" ref="AV24:AX24" si="79">+AU24</f>
        <v>5.2199999999999996E-2</v>
      </c>
      <c r="AW24" s="82">
        <f t="shared" si="79"/>
        <v>5.2199999999999996E-2</v>
      </c>
      <c r="AX24" s="82">
        <f t="shared" si="79"/>
        <v>5.2199999999999996E-2</v>
      </c>
    </row>
    <row r="25" spans="1:50">
      <c r="A25" s="95" t="s">
        <v>25</v>
      </c>
      <c r="E25" s="69"/>
      <c r="P25" s="125">
        <f t="shared" ref="P25:U25" si="80">+P23*P24</f>
        <v>717.75042969705055</v>
      </c>
      <c r="Q25" s="125">
        <f t="shared" si="80"/>
        <v>863.89858639117381</v>
      </c>
      <c r="R25" s="125">
        <f t="shared" si="80"/>
        <v>1025.4704385823072</v>
      </c>
      <c r="S25" s="125">
        <f t="shared" si="80"/>
        <v>1230.6175652617096</v>
      </c>
      <c r="T25" s="125">
        <f t="shared" si="80"/>
        <v>1442.7506977151154</v>
      </c>
      <c r="U25" s="125">
        <f t="shared" si="80"/>
        <v>1650.81173045214</v>
      </c>
      <c r="V25" s="125">
        <f t="shared" ref="V25:AU25" si="81">+V23*V24</f>
        <v>1715.2124429917922</v>
      </c>
      <c r="W25" s="125">
        <f t="shared" si="81"/>
        <v>1718.623352403215</v>
      </c>
      <c r="X25" s="125">
        <f t="shared" si="81"/>
        <v>1711.1255635826537</v>
      </c>
      <c r="Y25" s="125">
        <f t="shared" si="81"/>
        <v>1697.8186121973015</v>
      </c>
      <c r="Z25" s="125">
        <f t="shared" si="81"/>
        <v>1681.0235756165962</v>
      </c>
      <c r="AA25" s="125">
        <f t="shared" si="81"/>
        <v>1662.620830436724</v>
      </c>
      <c r="AB25" s="125">
        <f t="shared" si="81"/>
        <v>1646.1957867870169</v>
      </c>
      <c r="AC25" s="125">
        <f t="shared" si="81"/>
        <v>1634.2872067116043</v>
      </c>
      <c r="AD25" s="125">
        <f t="shared" si="81"/>
        <v>1625.6973512068159</v>
      </c>
      <c r="AE25" s="125">
        <f t="shared" si="81"/>
        <v>1619.1258300904055</v>
      </c>
      <c r="AF25" s="125">
        <f t="shared" si="81"/>
        <v>1620.4024220338142</v>
      </c>
      <c r="AG25" s="125">
        <f t="shared" si="81"/>
        <v>1619.5382143424456</v>
      </c>
      <c r="AH25" s="125">
        <f t="shared" si="81"/>
        <v>1609.8068684341702</v>
      </c>
      <c r="AI25" s="125">
        <f t="shared" si="81"/>
        <v>1598.5156682947272</v>
      </c>
      <c r="AJ25" s="125">
        <f t="shared" si="81"/>
        <v>1584.3917298084809</v>
      </c>
      <c r="AK25" s="125">
        <f t="shared" si="81"/>
        <v>1568.4830306690064</v>
      </c>
      <c r="AL25" s="125">
        <f t="shared" si="81"/>
        <v>1550.717412300665</v>
      </c>
      <c r="AM25" s="125">
        <f t="shared" si="81"/>
        <v>1532.8668824943366</v>
      </c>
      <c r="AN25" s="125">
        <f t="shared" si="81"/>
        <v>1514.7624501696828</v>
      </c>
      <c r="AO25" s="125">
        <f t="shared" si="81"/>
        <v>1495.9156837677265</v>
      </c>
      <c r="AP25" s="125">
        <f t="shared" si="81"/>
        <v>1476.7098411015336</v>
      </c>
      <c r="AQ25" s="125">
        <f t="shared" si="81"/>
        <v>1456.4662031537589</v>
      </c>
      <c r="AR25" s="125">
        <f t="shared" si="81"/>
        <v>1437.0738863782353</v>
      </c>
      <c r="AS25" s="125">
        <f t="shared" si="81"/>
        <v>1419.6089798641653</v>
      </c>
      <c r="AT25" s="125">
        <f t="shared" si="81"/>
        <v>1402.6668076963003</v>
      </c>
      <c r="AU25" s="125">
        <f t="shared" si="81"/>
        <v>1386.4705469912435</v>
      </c>
      <c r="AV25" s="125">
        <f t="shared" ref="AV25:AX25" si="82">+AV23*AV24</f>
        <v>1372.7147288314943</v>
      </c>
      <c r="AW25" s="125">
        <f t="shared" si="82"/>
        <v>1362.3942734909804</v>
      </c>
      <c r="AX25" s="125">
        <f t="shared" si="82"/>
        <v>1356.9273780000301</v>
      </c>
    </row>
    <row r="27" spans="1:50">
      <c r="A27" s="1" t="s">
        <v>89</v>
      </c>
      <c r="B27" s="71"/>
      <c r="C27" s="71"/>
      <c r="D27" s="72"/>
      <c r="F27" s="72"/>
      <c r="G27" s="72"/>
      <c r="H27" s="72"/>
      <c r="I27" s="72"/>
      <c r="J27" s="72"/>
      <c r="K27" s="72"/>
      <c r="L27" s="72"/>
      <c r="P27" s="52">
        <f t="shared" ref="P27:T27" si="83">+P14</f>
        <v>7189.5073932295727</v>
      </c>
      <c r="Q27" s="52">
        <f t="shared" si="83"/>
        <v>7634.5791654638533</v>
      </c>
      <c r="R27" s="52">
        <f t="shared" si="83"/>
        <v>8263.9259939034655</v>
      </c>
      <c r="S27" s="52">
        <f t="shared" si="83"/>
        <v>9005.4700491402036</v>
      </c>
      <c r="T27" s="52">
        <f t="shared" si="83"/>
        <v>9634.9827529547892</v>
      </c>
      <c r="U27" s="52">
        <f>+U14</f>
        <v>10227.636139624638</v>
      </c>
      <c r="V27" s="52">
        <f t="shared" ref="V27:AU27" si="84">+V14</f>
        <v>10677.911914661874</v>
      </c>
      <c r="W27" s="52">
        <f t="shared" si="84"/>
        <v>11085.53821567247</v>
      </c>
      <c r="X27" s="52">
        <f t="shared" si="84"/>
        <v>11449.684360948311</v>
      </c>
      <c r="Y27" s="52">
        <f t="shared" si="84"/>
        <v>11801.863078742706</v>
      </c>
      <c r="Z27" s="52">
        <f t="shared" si="84"/>
        <v>12114.856487327686</v>
      </c>
      <c r="AA27" s="52">
        <f t="shared" si="84"/>
        <v>12441.629941059151</v>
      </c>
      <c r="AB27" s="52">
        <f t="shared" si="84"/>
        <v>12771.336783744642</v>
      </c>
      <c r="AC27" s="52">
        <f t="shared" si="84"/>
        <v>13125.895402148863</v>
      </c>
      <c r="AD27" s="52">
        <f t="shared" si="84"/>
        <v>13460.113779102259</v>
      </c>
      <c r="AE27" s="52">
        <f t="shared" si="84"/>
        <v>13810.377087085426</v>
      </c>
      <c r="AF27" s="52">
        <f t="shared" si="84"/>
        <v>14156.161550693241</v>
      </c>
      <c r="AG27" s="52">
        <f t="shared" si="84"/>
        <v>14517.026222349859</v>
      </c>
      <c r="AH27" s="52">
        <f t="shared" si="84"/>
        <v>14846.016231815291</v>
      </c>
      <c r="AI27" s="52">
        <f t="shared" si="84"/>
        <v>15188.102273286466</v>
      </c>
      <c r="AJ27" s="52">
        <f t="shared" si="84"/>
        <v>15531.932418507527</v>
      </c>
      <c r="AK27" s="52">
        <f t="shared" si="84"/>
        <v>15895.963678097547</v>
      </c>
      <c r="AL27" s="52">
        <f t="shared" si="84"/>
        <v>16224.331202173849</v>
      </c>
      <c r="AM27" s="52">
        <f t="shared" si="84"/>
        <v>16569.189248664919</v>
      </c>
      <c r="AN27" s="52">
        <f t="shared" si="84"/>
        <v>16916.860512796138</v>
      </c>
      <c r="AO27" s="52">
        <f t="shared" si="84"/>
        <v>17284.169472474816</v>
      </c>
      <c r="AP27" s="52">
        <f t="shared" si="84"/>
        <v>17619.095424391984</v>
      </c>
      <c r="AQ27" s="52">
        <f t="shared" si="84"/>
        <v>17974.91184692585</v>
      </c>
      <c r="AR27" s="52">
        <f t="shared" si="84"/>
        <v>18336.613978028712</v>
      </c>
      <c r="AS27" s="52">
        <f t="shared" si="84"/>
        <v>18722.832950512166</v>
      </c>
      <c r="AT27" s="52">
        <f t="shared" si="84"/>
        <v>19073.670998293059</v>
      </c>
      <c r="AU27" s="52">
        <f t="shared" si="84"/>
        <v>19442.281900551938</v>
      </c>
      <c r="AV27" s="52">
        <f t="shared" ref="AV27:AX27" si="85">+AV14</f>
        <v>19814.278176946551</v>
      </c>
      <c r="AW27" s="52">
        <f t="shared" si="85"/>
        <v>20209.607647789027</v>
      </c>
      <c r="AX27" s="52">
        <f t="shared" si="85"/>
        <v>20569.365725318527</v>
      </c>
    </row>
    <row r="28" spans="1:50">
      <c r="A28" s="5" t="s">
        <v>100</v>
      </c>
      <c r="B28" s="71"/>
      <c r="C28" s="71"/>
      <c r="D28" s="72"/>
      <c r="F28" s="72"/>
      <c r="G28" s="72"/>
      <c r="H28" s="72"/>
      <c r="I28" s="72"/>
      <c r="J28" s="72"/>
      <c r="K28" s="72"/>
      <c r="L28" s="72"/>
      <c r="P28" s="52">
        <f t="shared" ref="P28:T28" si="86">+P15</f>
        <v>-3584.9332939736746</v>
      </c>
      <c r="Q28" s="52">
        <f t="shared" si="86"/>
        <v>-4023.5654421374829</v>
      </c>
      <c r="R28" s="52">
        <f t="shared" si="86"/>
        <v>-4320.2322336905736</v>
      </c>
      <c r="S28" s="52">
        <f t="shared" si="86"/>
        <v>-4754.0628927405023</v>
      </c>
      <c r="T28" s="52">
        <f t="shared" si="86"/>
        <v>-5064.4205362057646</v>
      </c>
      <c r="U28" s="52">
        <f>+U15</f>
        <v>-5401.8936066997785</v>
      </c>
      <c r="V28" s="52">
        <f t="shared" ref="V28:AU28" si="87">+V15</f>
        <v>-5517.2721139473852</v>
      </c>
      <c r="W28" s="52">
        <f t="shared" si="87"/>
        <v>-5707.9461399324609</v>
      </c>
      <c r="X28" s="52">
        <f t="shared" si="87"/>
        <v>-5933.2755843208533</v>
      </c>
      <c r="Y28" s="52">
        <f t="shared" si="87"/>
        <v>-6195.0583350960715</v>
      </c>
      <c r="Z28" s="52">
        <f t="shared" si="87"/>
        <v>-6483.0205497535362</v>
      </c>
      <c r="AA28" s="52">
        <f t="shared" si="87"/>
        <v>-6780.0543531588728</v>
      </c>
      <c r="AB28" s="52">
        <f t="shared" si="87"/>
        <v>-7093.2467479557235</v>
      </c>
      <c r="AC28" s="52">
        <f t="shared" si="87"/>
        <v>-7423.9212150011117</v>
      </c>
      <c r="AD28" s="52">
        <f t="shared" si="87"/>
        <v>-7752.5579979539707</v>
      </c>
      <c r="AE28" s="52">
        <f t="shared" si="87"/>
        <v>-8054.7610631562611</v>
      </c>
      <c r="AF28" s="52">
        <f t="shared" si="87"/>
        <v>-8298.3750727489041</v>
      </c>
      <c r="AG28" s="52">
        <f t="shared" si="87"/>
        <v>-8545.9079047041887</v>
      </c>
      <c r="AH28" s="52">
        <f t="shared" si="87"/>
        <v>-8793.0613307336498</v>
      </c>
      <c r="AI28" s="52">
        <f t="shared" si="87"/>
        <v>-9065.3885627909385</v>
      </c>
      <c r="AJ28" s="52">
        <f t="shared" si="87"/>
        <v>-9383.3319242910784</v>
      </c>
      <c r="AK28" s="52">
        <f t="shared" si="87"/>
        <v>-9701.6466697218657</v>
      </c>
      <c r="AL28" s="52">
        <f t="shared" si="87"/>
        <v>-10011.268968489752</v>
      </c>
      <c r="AM28" s="52">
        <f t="shared" si="87"/>
        <v>-10327.807101162682</v>
      </c>
      <c r="AN28" s="52">
        <f t="shared" si="87"/>
        <v>-10679.917382168651</v>
      </c>
      <c r="AO28" s="52">
        <f t="shared" si="87"/>
        <v>-11025.403753365656</v>
      </c>
      <c r="AP28" s="52">
        <f t="shared" si="87"/>
        <v>-11412.281830395737</v>
      </c>
      <c r="AQ28" s="52">
        <f t="shared" si="87"/>
        <v>-11814.588316296071</v>
      </c>
      <c r="AR28" s="52">
        <f t="shared" si="87"/>
        <v>-12233.418255860041</v>
      </c>
      <c r="AS28" s="52">
        <f t="shared" si="87"/>
        <v>-12660.864841412804</v>
      </c>
      <c r="AT28" s="52">
        <f t="shared" si="87"/>
        <v>-13095.300181844059</v>
      </c>
      <c r="AU28" s="52">
        <f t="shared" si="87"/>
        <v>-13543.237845758013</v>
      </c>
      <c r="AV28" s="52">
        <f t="shared" ref="AV28:AX28" si="88">+AV15</f>
        <v>-14006.866592555058</v>
      </c>
      <c r="AW28" s="52">
        <f t="shared" si="88"/>
        <v>-14483.12197766278</v>
      </c>
      <c r="AX28" s="52">
        <f t="shared" si="88"/>
        <v>-14980.835296724321</v>
      </c>
    </row>
    <row r="29" spans="1:50">
      <c r="A29" s="1" t="s">
        <v>24</v>
      </c>
      <c r="B29" s="71"/>
      <c r="C29" s="71"/>
      <c r="D29" s="72"/>
      <c r="F29" s="72"/>
      <c r="G29" s="72"/>
      <c r="H29" s="72"/>
      <c r="I29" s="72"/>
      <c r="J29" s="72"/>
      <c r="K29" s="72"/>
      <c r="L29" s="72"/>
      <c r="P29" s="52">
        <f>-'UR Tax Calculation'!P25</f>
        <v>0</v>
      </c>
      <c r="Q29" s="52">
        <f>-'UR Tax Calculation'!Q25</f>
        <v>0</v>
      </c>
      <c r="R29" s="52">
        <f>-'UR Tax Calculation'!R25</f>
        <v>0</v>
      </c>
      <c r="S29" s="52">
        <f>-'UR Tax Calculation'!S25</f>
        <v>0</v>
      </c>
      <c r="T29" s="52">
        <f>-'UR Tax Calculation'!T25</f>
        <v>0</v>
      </c>
      <c r="U29" s="52">
        <f>-'UR Tax Calculation'!U25</f>
        <v>0</v>
      </c>
      <c r="V29" s="52">
        <f>-'UR Tax Calculation'!V25</f>
        <v>0</v>
      </c>
      <c r="W29" s="52">
        <f>-'UR Tax Calculation'!W25</f>
        <v>0</v>
      </c>
      <c r="X29" s="52">
        <f>-'UR Tax Calculation'!X25</f>
        <v>0</v>
      </c>
      <c r="Y29" s="52">
        <f>-'UR Tax Calculation'!Y25</f>
        <v>0</v>
      </c>
      <c r="Z29" s="52">
        <f>-'UR Tax Calculation'!Z25</f>
        <v>0</v>
      </c>
      <c r="AA29" s="52">
        <f>-'UR Tax Calculation'!AA25</f>
        <v>0</v>
      </c>
      <c r="AB29" s="52">
        <f>-'UR Tax Calculation'!AB25</f>
        <v>-218.02890013640751</v>
      </c>
      <c r="AC29" s="52">
        <f>-'UR Tax Calculation'!AC25</f>
        <v>-261.33460986198367</v>
      </c>
      <c r="AD29" s="52">
        <f>-'UR Tax Calculation'!AD25</f>
        <v>-276.94798611856555</v>
      </c>
      <c r="AE29" s="52">
        <f>-'UR Tax Calculation'!AE25</f>
        <v>-298.40677874357436</v>
      </c>
      <c r="AF29" s="52">
        <f>-'UR Tax Calculation'!AF25</f>
        <v>-320.39583273164857</v>
      </c>
      <c r="AG29" s="52">
        <f>-'UR Tax Calculation'!AG25</f>
        <v>-352.14474293670889</v>
      </c>
      <c r="AH29" s="52">
        <f>-'UR Tax Calculation'!AH25</f>
        <v>-377.34241300924219</v>
      </c>
      <c r="AI29" s="52">
        <f>-'UR Tax Calculation'!AI25</f>
        <v>-401.09857478657904</v>
      </c>
      <c r="AJ29" s="52">
        <f>-'UR Tax Calculation'!AJ25</f>
        <v>-416.52226240956628</v>
      </c>
      <c r="AK29" s="52">
        <f>-'UR Tax Calculation'!AK25</f>
        <v>-435.80279780196707</v>
      </c>
      <c r="AL29" s="52">
        <f>-'UR Tax Calculation'!AL25</f>
        <v>-449.87415003473211</v>
      </c>
      <c r="AM29" s="52">
        <f>-'UR Tax Calculation'!AM25</f>
        <v>-464.12035169187857</v>
      </c>
      <c r="AN29" s="52">
        <f>-'UR Tax Calculation'!AN25</f>
        <v>-472.2682275178675</v>
      </c>
      <c r="AO29" s="52">
        <f>-'UR Tax Calculation'!AO25</f>
        <v>-484.46210898730703</v>
      </c>
      <c r="AP29" s="52">
        <f>-'UR Tax Calculation'!AP25</f>
        <v>-482.96111295724836</v>
      </c>
      <c r="AQ29" s="52">
        <f>-'UR Tax Calculation'!AQ25</f>
        <v>-482.9307552086733</v>
      </c>
      <c r="AR29" s="52">
        <f>-'UR Tax Calculation'!AR25</f>
        <v>-479.2917620112587</v>
      </c>
      <c r="AS29" s="52">
        <f>-'UR Tax Calculation'!AS25</f>
        <v>-477.66882571165581</v>
      </c>
      <c r="AT29" s="52">
        <f>-'UR Tax Calculation'!AT25</f>
        <v>-468.1876730919231</v>
      </c>
      <c r="AU29" s="52">
        <f>-'UR Tax Calculation'!AU25</f>
        <v>-458.9752752791187</v>
      </c>
      <c r="AV29" s="52">
        <f>-'UR Tax Calculation'!AV25</f>
        <v>-445.8996532056691</v>
      </c>
      <c r="AW29" s="52">
        <f>-'UR Tax Calculation'!AW25</f>
        <v>-433.16791324738585</v>
      </c>
      <c r="AX29" s="52">
        <f>-'UR Tax Calculation'!AX25</f>
        <v>-407.16280609258001</v>
      </c>
    </row>
    <row r="30" spans="1:50">
      <c r="A30" s="1" t="s">
        <v>25</v>
      </c>
      <c r="B30" s="71"/>
      <c r="C30" s="71"/>
      <c r="D30" s="72"/>
      <c r="F30" s="72"/>
      <c r="G30" s="72"/>
      <c r="H30" s="72"/>
      <c r="I30" s="72"/>
      <c r="J30" s="72"/>
      <c r="K30" s="72"/>
      <c r="L30" s="72"/>
      <c r="P30" s="52">
        <f t="shared" ref="P30:U30" si="89">-P25</f>
        <v>-717.75042969705055</v>
      </c>
      <c r="Q30" s="52">
        <f t="shared" si="89"/>
        <v>-863.89858639117381</v>
      </c>
      <c r="R30" s="52">
        <f t="shared" si="89"/>
        <v>-1025.4704385823072</v>
      </c>
      <c r="S30" s="52">
        <f t="shared" si="89"/>
        <v>-1230.6175652617096</v>
      </c>
      <c r="T30" s="52">
        <f t="shared" si="89"/>
        <v>-1442.7506977151154</v>
      </c>
      <c r="U30" s="52">
        <f t="shared" si="89"/>
        <v>-1650.81173045214</v>
      </c>
      <c r="V30" s="52">
        <f t="shared" ref="V30:AU30" si="90">-V25</f>
        <v>-1715.2124429917922</v>
      </c>
      <c r="W30" s="52">
        <f t="shared" si="90"/>
        <v>-1718.623352403215</v>
      </c>
      <c r="X30" s="52">
        <f t="shared" si="90"/>
        <v>-1711.1255635826537</v>
      </c>
      <c r="Y30" s="52">
        <f t="shared" si="90"/>
        <v>-1697.8186121973015</v>
      </c>
      <c r="Z30" s="52">
        <f t="shared" si="90"/>
        <v>-1681.0235756165962</v>
      </c>
      <c r="AA30" s="52">
        <f t="shared" si="90"/>
        <v>-1662.620830436724</v>
      </c>
      <c r="AB30" s="52">
        <f t="shared" si="90"/>
        <v>-1646.1957867870169</v>
      </c>
      <c r="AC30" s="52">
        <f t="shared" si="90"/>
        <v>-1634.2872067116043</v>
      </c>
      <c r="AD30" s="52">
        <f t="shared" si="90"/>
        <v>-1625.6973512068159</v>
      </c>
      <c r="AE30" s="52">
        <f t="shared" si="90"/>
        <v>-1619.1258300904055</v>
      </c>
      <c r="AF30" s="52">
        <f t="shared" si="90"/>
        <v>-1620.4024220338142</v>
      </c>
      <c r="AG30" s="52">
        <f t="shared" si="90"/>
        <v>-1619.5382143424456</v>
      </c>
      <c r="AH30" s="52">
        <f t="shared" si="90"/>
        <v>-1609.8068684341702</v>
      </c>
      <c r="AI30" s="52">
        <f t="shared" si="90"/>
        <v>-1598.5156682947272</v>
      </c>
      <c r="AJ30" s="52">
        <f t="shared" si="90"/>
        <v>-1584.3917298084809</v>
      </c>
      <c r="AK30" s="52">
        <f t="shared" si="90"/>
        <v>-1568.4830306690064</v>
      </c>
      <c r="AL30" s="52">
        <f t="shared" si="90"/>
        <v>-1550.717412300665</v>
      </c>
      <c r="AM30" s="52">
        <f t="shared" si="90"/>
        <v>-1532.8668824943366</v>
      </c>
      <c r="AN30" s="52">
        <f t="shared" si="90"/>
        <v>-1514.7624501696828</v>
      </c>
      <c r="AO30" s="52">
        <f t="shared" si="90"/>
        <v>-1495.9156837677265</v>
      </c>
      <c r="AP30" s="52">
        <f t="shared" si="90"/>
        <v>-1476.7098411015336</v>
      </c>
      <c r="AQ30" s="52">
        <f t="shared" si="90"/>
        <v>-1456.4662031537589</v>
      </c>
      <c r="AR30" s="52">
        <f t="shared" si="90"/>
        <v>-1437.0738863782353</v>
      </c>
      <c r="AS30" s="52">
        <f t="shared" si="90"/>
        <v>-1419.6089798641653</v>
      </c>
      <c r="AT30" s="52">
        <f t="shared" si="90"/>
        <v>-1402.6668076963003</v>
      </c>
      <c r="AU30" s="52">
        <f t="shared" si="90"/>
        <v>-1386.4705469912435</v>
      </c>
      <c r="AV30" s="52">
        <f t="shared" ref="AV30:AX30" si="91">-AV25</f>
        <v>-1372.7147288314943</v>
      </c>
      <c r="AW30" s="52">
        <f t="shared" si="91"/>
        <v>-1362.3942734909804</v>
      </c>
      <c r="AX30" s="52">
        <f t="shared" si="91"/>
        <v>-1356.9273780000301</v>
      </c>
    </row>
    <row r="31" spans="1:50">
      <c r="A31" s="98" t="s">
        <v>90</v>
      </c>
      <c r="B31" s="71"/>
      <c r="C31" s="71"/>
      <c r="D31" s="72"/>
      <c r="F31" s="72"/>
      <c r="G31" s="72"/>
      <c r="H31" s="72"/>
      <c r="I31" s="72"/>
      <c r="J31" s="72"/>
      <c r="K31" s="72"/>
      <c r="L31" s="72"/>
      <c r="P31" s="125">
        <f t="shared" ref="P31:U31" si="92">SUM(P27:P30)</f>
        <v>2886.8236695588475</v>
      </c>
      <c r="Q31" s="125">
        <f t="shared" si="92"/>
        <v>2747.1151369351965</v>
      </c>
      <c r="R31" s="125">
        <f t="shared" si="92"/>
        <v>2918.2233216305849</v>
      </c>
      <c r="S31" s="125">
        <f t="shared" si="92"/>
        <v>3020.7895911379919</v>
      </c>
      <c r="T31" s="125">
        <f t="shared" si="92"/>
        <v>3127.8115190339095</v>
      </c>
      <c r="U31" s="125">
        <f t="shared" si="92"/>
        <v>3174.9308024727188</v>
      </c>
      <c r="V31" s="125">
        <f t="shared" ref="V31:AU31" si="93">SUM(V27:V30)</f>
        <v>3445.4273577226968</v>
      </c>
      <c r="W31" s="125">
        <f t="shared" si="93"/>
        <v>3658.968723336794</v>
      </c>
      <c r="X31" s="125">
        <f t="shared" si="93"/>
        <v>3805.2832130448041</v>
      </c>
      <c r="Y31" s="125">
        <f t="shared" si="93"/>
        <v>3908.9861314493337</v>
      </c>
      <c r="Z31" s="125">
        <f t="shared" si="93"/>
        <v>3950.812361957554</v>
      </c>
      <c r="AA31" s="125">
        <f t="shared" si="93"/>
        <v>3998.9547574635544</v>
      </c>
      <c r="AB31" s="125">
        <f t="shared" si="93"/>
        <v>3813.8653488654945</v>
      </c>
      <c r="AC31" s="125">
        <f t="shared" si="93"/>
        <v>3806.3523705741627</v>
      </c>
      <c r="AD31" s="125">
        <f t="shared" si="93"/>
        <v>3804.9104438229069</v>
      </c>
      <c r="AE31" s="125">
        <f t="shared" si="93"/>
        <v>3838.083415095185</v>
      </c>
      <c r="AF31" s="125">
        <f t="shared" si="93"/>
        <v>3916.9882231788743</v>
      </c>
      <c r="AG31" s="125">
        <f t="shared" si="93"/>
        <v>3999.4353603665159</v>
      </c>
      <c r="AH31" s="125">
        <f t="shared" si="93"/>
        <v>4065.8056196382281</v>
      </c>
      <c r="AI31" s="125">
        <f t="shared" si="93"/>
        <v>4123.0994674142212</v>
      </c>
      <c r="AJ31" s="125">
        <f t="shared" si="93"/>
        <v>4147.6865019984025</v>
      </c>
      <c r="AK31" s="125">
        <f t="shared" si="93"/>
        <v>4190.0311799047076</v>
      </c>
      <c r="AL31" s="125">
        <f t="shared" si="93"/>
        <v>4212.4706713486994</v>
      </c>
      <c r="AM31" s="125">
        <f t="shared" si="93"/>
        <v>4244.3949133160222</v>
      </c>
      <c r="AN31" s="125">
        <f t="shared" si="93"/>
        <v>4249.9124529399369</v>
      </c>
      <c r="AO31" s="125">
        <f t="shared" si="93"/>
        <v>4278.3879263541266</v>
      </c>
      <c r="AP31" s="125">
        <f t="shared" si="93"/>
        <v>4247.142639937465</v>
      </c>
      <c r="AQ31" s="125">
        <f t="shared" si="93"/>
        <v>4220.9265722673472</v>
      </c>
      <c r="AR31" s="125">
        <f t="shared" si="93"/>
        <v>4186.8300737791778</v>
      </c>
      <c r="AS31" s="125">
        <f t="shared" si="93"/>
        <v>4164.6903035235409</v>
      </c>
      <c r="AT31" s="125">
        <f t="shared" si="93"/>
        <v>4107.5163356607763</v>
      </c>
      <c r="AU31" s="125">
        <f t="shared" si="93"/>
        <v>4053.5982325235627</v>
      </c>
      <c r="AV31" s="125">
        <f t="shared" ref="AV31:AX31" si="94">SUM(AV27:AV30)</f>
        <v>3988.7972023543298</v>
      </c>
      <c r="AW31" s="125">
        <f t="shared" si="94"/>
        <v>3930.9234833878809</v>
      </c>
      <c r="AX31" s="125">
        <f t="shared" si="94"/>
        <v>3824.4402445015958</v>
      </c>
    </row>
    <row r="32" spans="1:50">
      <c r="A32" s="1"/>
      <c r="B32" s="71"/>
      <c r="C32" s="71"/>
      <c r="D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</row>
    <row r="33" spans="1:50">
      <c r="A33" s="1" t="s">
        <v>91</v>
      </c>
      <c r="B33" s="71"/>
      <c r="C33" s="71"/>
      <c r="D33" s="72"/>
      <c r="F33" s="72"/>
      <c r="G33" s="72"/>
      <c r="H33" s="72"/>
      <c r="I33" s="72"/>
      <c r="J33" s="72"/>
      <c r="K33" s="72"/>
      <c r="L33" s="72"/>
      <c r="P33" s="52">
        <f t="shared" ref="P33:U33" si="95">+P31</f>
        <v>2886.8236695588475</v>
      </c>
      <c r="Q33" s="52">
        <f t="shared" si="95"/>
        <v>2747.1151369351965</v>
      </c>
      <c r="R33" s="52">
        <f t="shared" si="95"/>
        <v>2918.2233216305849</v>
      </c>
      <c r="S33" s="52">
        <f t="shared" si="95"/>
        <v>3020.7895911379919</v>
      </c>
      <c r="T33" s="52">
        <f t="shared" si="95"/>
        <v>3127.8115190339095</v>
      </c>
      <c r="U33" s="52">
        <f t="shared" si="95"/>
        <v>3174.9308024727188</v>
      </c>
      <c r="V33" s="52">
        <f t="shared" ref="V33:AU33" si="96">+V31</f>
        <v>3445.4273577226968</v>
      </c>
      <c r="W33" s="52">
        <f t="shared" si="96"/>
        <v>3658.968723336794</v>
      </c>
      <c r="X33" s="52">
        <f t="shared" si="96"/>
        <v>3805.2832130448041</v>
      </c>
      <c r="Y33" s="52">
        <f t="shared" si="96"/>
        <v>3908.9861314493337</v>
      </c>
      <c r="Z33" s="52">
        <f t="shared" si="96"/>
        <v>3950.812361957554</v>
      </c>
      <c r="AA33" s="52">
        <f t="shared" si="96"/>
        <v>3998.9547574635544</v>
      </c>
      <c r="AB33" s="52">
        <f t="shared" si="96"/>
        <v>3813.8653488654945</v>
      </c>
      <c r="AC33" s="52">
        <f t="shared" si="96"/>
        <v>3806.3523705741627</v>
      </c>
      <c r="AD33" s="52">
        <f t="shared" si="96"/>
        <v>3804.9104438229069</v>
      </c>
      <c r="AE33" s="52">
        <f t="shared" si="96"/>
        <v>3838.083415095185</v>
      </c>
      <c r="AF33" s="52">
        <f t="shared" si="96"/>
        <v>3916.9882231788743</v>
      </c>
      <c r="AG33" s="52">
        <f t="shared" si="96"/>
        <v>3999.4353603665159</v>
      </c>
      <c r="AH33" s="52">
        <f t="shared" si="96"/>
        <v>4065.8056196382281</v>
      </c>
      <c r="AI33" s="52">
        <f t="shared" si="96"/>
        <v>4123.0994674142212</v>
      </c>
      <c r="AJ33" s="52">
        <f t="shared" si="96"/>
        <v>4147.6865019984025</v>
      </c>
      <c r="AK33" s="52">
        <f t="shared" si="96"/>
        <v>4190.0311799047076</v>
      </c>
      <c r="AL33" s="52">
        <f t="shared" si="96"/>
        <v>4212.4706713486994</v>
      </c>
      <c r="AM33" s="52">
        <f t="shared" si="96"/>
        <v>4244.3949133160222</v>
      </c>
      <c r="AN33" s="52">
        <f t="shared" si="96"/>
        <v>4249.9124529399369</v>
      </c>
      <c r="AO33" s="52">
        <f t="shared" si="96"/>
        <v>4278.3879263541266</v>
      </c>
      <c r="AP33" s="52">
        <f t="shared" si="96"/>
        <v>4247.142639937465</v>
      </c>
      <c r="AQ33" s="52">
        <f t="shared" si="96"/>
        <v>4220.9265722673472</v>
      </c>
      <c r="AR33" s="52">
        <f t="shared" si="96"/>
        <v>4186.8300737791778</v>
      </c>
      <c r="AS33" s="52">
        <f t="shared" si="96"/>
        <v>4164.6903035235409</v>
      </c>
      <c r="AT33" s="52">
        <f t="shared" si="96"/>
        <v>4107.5163356607763</v>
      </c>
      <c r="AU33" s="52">
        <f t="shared" si="96"/>
        <v>4053.5982325235627</v>
      </c>
      <c r="AV33" s="52">
        <f t="shared" ref="AV33:AX33" si="97">+AV31</f>
        <v>3988.7972023543298</v>
      </c>
      <c r="AW33" s="52">
        <f t="shared" si="97"/>
        <v>3930.9234833878809</v>
      </c>
      <c r="AX33" s="52">
        <f t="shared" si="97"/>
        <v>3824.4402445015958</v>
      </c>
    </row>
    <row r="34" spans="1:50">
      <c r="A34" s="1" t="s">
        <v>25</v>
      </c>
      <c r="B34" s="71"/>
      <c r="C34" s="71"/>
      <c r="D34" s="72"/>
      <c r="F34" s="72"/>
      <c r="G34" s="72"/>
      <c r="H34" s="72"/>
      <c r="I34" s="72"/>
      <c r="J34" s="72"/>
      <c r="K34" s="72"/>
      <c r="L34" s="72"/>
      <c r="P34" s="52">
        <f t="shared" ref="P34:U34" si="98">-P30</f>
        <v>717.75042969705055</v>
      </c>
      <c r="Q34" s="52">
        <f t="shared" si="98"/>
        <v>863.89858639117381</v>
      </c>
      <c r="R34" s="52">
        <f t="shared" si="98"/>
        <v>1025.4704385823072</v>
      </c>
      <c r="S34" s="52">
        <f t="shared" si="98"/>
        <v>1230.6175652617096</v>
      </c>
      <c r="T34" s="52">
        <f t="shared" si="98"/>
        <v>1442.7506977151154</v>
      </c>
      <c r="U34" s="52">
        <f t="shared" si="98"/>
        <v>1650.81173045214</v>
      </c>
      <c r="V34" s="52">
        <f t="shared" ref="V34:AU34" si="99">-V30</f>
        <v>1715.2124429917922</v>
      </c>
      <c r="W34" s="52">
        <f t="shared" si="99"/>
        <v>1718.623352403215</v>
      </c>
      <c r="X34" s="52">
        <f t="shared" si="99"/>
        <v>1711.1255635826537</v>
      </c>
      <c r="Y34" s="52">
        <f t="shared" si="99"/>
        <v>1697.8186121973015</v>
      </c>
      <c r="Z34" s="52">
        <f t="shared" si="99"/>
        <v>1681.0235756165962</v>
      </c>
      <c r="AA34" s="52">
        <f t="shared" si="99"/>
        <v>1662.620830436724</v>
      </c>
      <c r="AB34" s="52">
        <f t="shared" si="99"/>
        <v>1646.1957867870169</v>
      </c>
      <c r="AC34" s="52">
        <f t="shared" si="99"/>
        <v>1634.2872067116043</v>
      </c>
      <c r="AD34" s="52">
        <f t="shared" si="99"/>
        <v>1625.6973512068159</v>
      </c>
      <c r="AE34" s="52">
        <f t="shared" si="99"/>
        <v>1619.1258300904055</v>
      </c>
      <c r="AF34" s="52">
        <f t="shared" si="99"/>
        <v>1620.4024220338142</v>
      </c>
      <c r="AG34" s="52">
        <f t="shared" si="99"/>
        <v>1619.5382143424456</v>
      </c>
      <c r="AH34" s="52">
        <f t="shared" si="99"/>
        <v>1609.8068684341702</v>
      </c>
      <c r="AI34" s="52">
        <f t="shared" si="99"/>
        <v>1598.5156682947272</v>
      </c>
      <c r="AJ34" s="52">
        <f t="shared" si="99"/>
        <v>1584.3917298084809</v>
      </c>
      <c r="AK34" s="52">
        <f t="shared" si="99"/>
        <v>1568.4830306690064</v>
      </c>
      <c r="AL34" s="52">
        <f t="shared" si="99"/>
        <v>1550.717412300665</v>
      </c>
      <c r="AM34" s="52">
        <f t="shared" si="99"/>
        <v>1532.8668824943366</v>
      </c>
      <c r="AN34" s="52">
        <f t="shared" si="99"/>
        <v>1514.7624501696828</v>
      </c>
      <c r="AO34" s="52">
        <f t="shared" si="99"/>
        <v>1495.9156837677265</v>
      </c>
      <c r="AP34" s="52">
        <f t="shared" si="99"/>
        <v>1476.7098411015336</v>
      </c>
      <c r="AQ34" s="52">
        <f t="shared" si="99"/>
        <v>1456.4662031537589</v>
      </c>
      <c r="AR34" s="52">
        <f t="shared" si="99"/>
        <v>1437.0738863782353</v>
      </c>
      <c r="AS34" s="52">
        <f t="shared" si="99"/>
        <v>1419.6089798641653</v>
      </c>
      <c r="AT34" s="52">
        <f t="shared" si="99"/>
        <v>1402.6668076963003</v>
      </c>
      <c r="AU34" s="52">
        <f t="shared" si="99"/>
        <v>1386.4705469912435</v>
      </c>
      <c r="AV34" s="52">
        <f t="shared" ref="AV34:AX34" si="100">-AV30</f>
        <v>1372.7147288314943</v>
      </c>
      <c r="AW34" s="52">
        <f t="shared" si="100"/>
        <v>1362.3942734909804</v>
      </c>
      <c r="AX34" s="52">
        <f t="shared" si="100"/>
        <v>1356.9273780000301</v>
      </c>
    </row>
    <row r="35" spans="1:50">
      <c r="A35" s="1" t="s">
        <v>92</v>
      </c>
      <c r="B35" s="71"/>
      <c r="C35" s="71"/>
      <c r="D35" s="72"/>
      <c r="F35" s="72"/>
      <c r="G35" s="72"/>
      <c r="H35" s="72"/>
      <c r="I35" s="72"/>
      <c r="J35" s="72"/>
      <c r="K35" s="72"/>
      <c r="L35" s="72"/>
      <c r="P35" s="52">
        <f t="shared" ref="P35:U35" si="101">+P33+P34</f>
        <v>3604.5740992558981</v>
      </c>
      <c r="Q35" s="52">
        <f t="shared" si="101"/>
        <v>3611.0137233263704</v>
      </c>
      <c r="R35" s="52">
        <f t="shared" si="101"/>
        <v>3943.6937602128919</v>
      </c>
      <c r="S35" s="52">
        <f t="shared" si="101"/>
        <v>4251.4071563997013</v>
      </c>
      <c r="T35" s="52">
        <f t="shared" si="101"/>
        <v>4570.5622167490246</v>
      </c>
      <c r="U35" s="52">
        <f t="shared" si="101"/>
        <v>4825.742532924859</v>
      </c>
      <c r="V35" s="52">
        <f t="shared" ref="V35:AU35" si="102">+V33+V34</f>
        <v>5160.639800714489</v>
      </c>
      <c r="W35" s="52">
        <f t="shared" si="102"/>
        <v>5377.592075740009</v>
      </c>
      <c r="X35" s="52">
        <f t="shared" si="102"/>
        <v>5516.4087766274579</v>
      </c>
      <c r="Y35" s="52">
        <f t="shared" si="102"/>
        <v>5606.804743646635</v>
      </c>
      <c r="Z35" s="52">
        <f t="shared" si="102"/>
        <v>5631.8359375741502</v>
      </c>
      <c r="AA35" s="52">
        <f t="shared" si="102"/>
        <v>5661.5755879002782</v>
      </c>
      <c r="AB35" s="52">
        <f t="shared" si="102"/>
        <v>5460.0611356525114</v>
      </c>
      <c r="AC35" s="52">
        <f t="shared" si="102"/>
        <v>5440.6395772857668</v>
      </c>
      <c r="AD35" s="52">
        <f t="shared" si="102"/>
        <v>5430.6077950297231</v>
      </c>
      <c r="AE35" s="52">
        <f t="shared" si="102"/>
        <v>5457.2092451855906</v>
      </c>
      <c r="AF35" s="52">
        <f t="shared" si="102"/>
        <v>5537.3906452126885</v>
      </c>
      <c r="AG35" s="52">
        <f t="shared" si="102"/>
        <v>5618.9735747089617</v>
      </c>
      <c r="AH35" s="52">
        <f t="shared" si="102"/>
        <v>5675.6124880723983</v>
      </c>
      <c r="AI35" s="52">
        <f t="shared" si="102"/>
        <v>5721.6151357089484</v>
      </c>
      <c r="AJ35" s="52">
        <f t="shared" si="102"/>
        <v>5732.0782318068832</v>
      </c>
      <c r="AK35" s="52">
        <f t="shared" si="102"/>
        <v>5758.5142105737141</v>
      </c>
      <c r="AL35" s="52">
        <f t="shared" si="102"/>
        <v>5763.1880836493647</v>
      </c>
      <c r="AM35" s="52">
        <f t="shared" si="102"/>
        <v>5777.2617958103583</v>
      </c>
      <c r="AN35" s="52">
        <f t="shared" si="102"/>
        <v>5764.6749031096197</v>
      </c>
      <c r="AO35" s="52">
        <f t="shared" si="102"/>
        <v>5774.3036101218531</v>
      </c>
      <c r="AP35" s="52">
        <f t="shared" si="102"/>
        <v>5723.852481038999</v>
      </c>
      <c r="AQ35" s="52">
        <f t="shared" si="102"/>
        <v>5677.3927754211063</v>
      </c>
      <c r="AR35" s="52">
        <f t="shared" si="102"/>
        <v>5623.9039601574132</v>
      </c>
      <c r="AS35" s="52">
        <f t="shared" si="102"/>
        <v>5584.2992833877061</v>
      </c>
      <c r="AT35" s="52">
        <f t="shared" si="102"/>
        <v>5510.1831433570769</v>
      </c>
      <c r="AU35" s="52">
        <f t="shared" si="102"/>
        <v>5440.068779514806</v>
      </c>
      <c r="AV35" s="52">
        <f t="shared" ref="AV35:AX35" si="103">+AV33+AV34</f>
        <v>5361.5119311858243</v>
      </c>
      <c r="AW35" s="52">
        <f t="shared" si="103"/>
        <v>5293.3177568788615</v>
      </c>
      <c r="AX35" s="52">
        <f t="shared" si="103"/>
        <v>5181.3676225016261</v>
      </c>
    </row>
    <row r="36" spans="1:50">
      <c r="A36" s="1" t="s">
        <v>25</v>
      </c>
      <c r="B36" s="71"/>
      <c r="C36" s="71"/>
      <c r="D36" s="72"/>
      <c r="F36" s="72"/>
      <c r="G36" s="72"/>
      <c r="H36" s="72"/>
      <c r="I36" s="72"/>
      <c r="J36" s="72"/>
      <c r="K36" s="72"/>
      <c r="L36" s="72"/>
      <c r="P36" s="52">
        <f t="shared" ref="P36:U36" si="104">+P34</f>
        <v>717.75042969705055</v>
      </c>
      <c r="Q36" s="52">
        <f t="shared" si="104"/>
        <v>863.89858639117381</v>
      </c>
      <c r="R36" s="52">
        <f t="shared" si="104"/>
        <v>1025.4704385823072</v>
      </c>
      <c r="S36" s="52">
        <f t="shared" si="104"/>
        <v>1230.6175652617096</v>
      </c>
      <c r="T36" s="52">
        <f t="shared" si="104"/>
        <v>1442.7506977151154</v>
      </c>
      <c r="U36" s="52">
        <f t="shared" si="104"/>
        <v>1650.81173045214</v>
      </c>
      <c r="V36" s="52">
        <f t="shared" ref="V36:AU36" si="105">+V34</f>
        <v>1715.2124429917922</v>
      </c>
      <c r="W36" s="52">
        <f t="shared" si="105"/>
        <v>1718.623352403215</v>
      </c>
      <c r="X36" s="52">
        <f t="shared" si="105"/>
        <v>1711.1255635826537</v>
      </c>
      <c r="Y36" s="52">
        <f t="shared" si="105"/>
        <v>1697.8186121973015</v>
      </c>
      <c r="Z36" s="52">
        <f t="shared" si="105"/>
        <v>1681.0235756165962</v>
      </c>
      <c r="AA36" s="52">
        <f t="shared" si="105"/>
        <v>1662.620830436724</v>
      </c>
      <c r="AB36" s="52">
        <f t="shared" si="105"/>
        <v>1646.1957867870169</v>
      </c>
      <c r="AC36" s="52">
        <f t="shared" si="105"/>
        <v>1634.2872067116043</v>
      </c>
      <c r="AD36" s="52">
        <f t="shared" si="105"/>
        <v>1625.6973512068159</v>
      </c>
      <c r="AE36" s="52">
        <f t="shared" si="105"/>
        <v>1619.1258300904055</v>
      </c>
      <c r="AF36" s="52">
        <f t="shared" si="105"/>
        <v>1620.4024220338142</v>
      </c>
      <c r="AG36" s="52">
        <f t="shared" si="105"/>
        <v>1619.5382143424456</v>
      </c>
      <c r="AH36" s="52">
        <f t="shared" si="105"/>
        <v>1609.8068684341702</v>
      </c>
      <c r="AI36" s="52">
        <f t="shared" si="105"/>
        <v>1598.5156682947272</v>
      </c>
      <c r="AJ36" s="52">
        <f t="shared" si="105"/>
        <v>1584.3917298084809</v>
      </c>
      <c r="AK36" s="52">
        <f t="shared" si="105"/>
        <v>1568.4830306690064</v>
      </c>
      <c r="AL36" s="52">
        <f t="shared" si="105"/>
        <v>1550.717412300665</v>
      </c>
      <c r="AM36" s="52">
        <f t="shared" si="105"/>
        <v>1532.8668824943366</v>
      </c>
      <c r="AN36" s="52">
        <f t="shared" si="105"/>
        <v>1514.7624501696828</v>
      </c>
      <c r="AO36" s="52">
        <f t="shared" si="105"/>
        <v>1495.9156837677265</v>
      </c>
      <c r="AP36" s="52">
        <f t="shared" si="105"/>
        <v>1476.7098411015336</v>
      </c>
      <c r="AQ36" s="52">
        <f t="shared" si="105"/>
        <v>1456.4662031537589</v>
      </c>
      <c r="AR36" s="52">
        <f t="shared" si="105"/>
        <v>1437.0738863782353</v>
      </c>
      <c r="AS36" s="52">
        <f t="shared" si="105"/>
        <v>1419.6089798641653</v>
      </c>
      <c r="AT36" s="52">
        <f t="shared" si="105"/>
        <v>1402.6668076963003</v>
      </c>
      <c r="AU36" s="52">
        <f t="shared" si="105"/>
        <v>1386.4705469912435</v>
      </c>
      <c r="AV36" s="52">
        <f t="shared" ref="AV36:AX36" si="106">+AV34</f>
        <v>1372.7147288314943</v>
      </c>
      <c r="AW36" s="52">
        <f t="shared" si="106"/>
        <v>1362.3942734909804</v>
      </c>
      <c r="AX36" s="52">
        <f t="shared" si="106"/>
        <v>1356.9273780000301</v>
      </c>
    </row>
    <row r="37" spans="1:50">
      <c r="A37" s="98" t="s">
        <v>93</v>
      </c>
      <c r="B37" s="71"/>
      <c r="C37" s="71"/>
      <c r="D37" s="72"/>
      <c r="F37" s="72"/>
      <c r="G37" s="72"/>
      <c r="H37" s="72"/>
      <c r="I37" s="72"/>
      <c r="J37" s="72"/>
      <c r="K37" s="72"/>
      <c r="L37" s="72"/>
      <c r="P37" s="126">
        <f t="shared" ref="P37:U37" si="107">+P35/P36</f>
        <v>5.0220438053618768</v>
      </c>
      <c r="Q37" s="126">
        <f t="shared" si="107"/>
        <v>4.1799046557199731</v>
      </c>
      <c r="R37" s="126">
        <f t="shared" si="107"/>
        <v>3.845741049020361</v>
      </c>
      <c r="S37" s="126">
        <f t="shared" si="107"/>
        <v>3.4546940303875595</v>
      </c>
      <c r="T37" s="126">
        <f t="shared" si="107"/>
        <v>3.1679500997555747</v>
      </c>
      <c r="U37" s="126">
        <f t="shared" si="107"/>
        <v>2.9232543262841602</v>
      </c>
      <c r="V37" s="126">
        <f t="shared" ref="V37:AU37" si="108">+V35/V36</f>
        <v>3.0087467134467287</v>
      </c>
      <c r="W37" s="126">
        <f t="shared" si="108"/>
        <v>3.1290114080088123</v>
      </c>
      <c r="X37" s="126">
        <f t="shared" si="108"/>
        <v>3.2238480296428551</v>
      </c>
      <c r="Y37" s="126">
        <f t="shared" si="108"/>
        <v>3.3023579217277863</v>
      </c>
      <c r="Z37" s="126">
        <f t="shared" si="108"/>
        <v>3.3502420901553411</v>
      </c>
      <c r="AA37" s="126">
        <f t="shared" si="108"/>
        <v>3.4052115095978563</v>
      </c>
      <c r="AB37" s="126">
        <f t="shared" si="108"/>
        <v>3.3167750637421163</v>
      </c>
      <c r="AC37" s="126">
        <f t="shared" si="108"/>
        <v>3.3290596383196513</v>
      </c>
      <c r="AD37" s="126">
        <f t="shared" si="108"/>
        <v>3.3404789587670667</v>
      </c>
      <c r="AE37" s="126">
        <f t="shared" si="108"/>
        <v>3.370466423156798</v>
      </c>
      <c r="AF37" s="126">
        <f t="shared" si="108"/>
        <v>3.4172934882820951</v>
      </c>
      <c r="AG37" s="126">
        <f t="shared" si="108"/>
        <v>3.4694911950505229</v>
      </c>
      <c r="AH37" s="126">
        <f t="shared" si="108"/>
        <v>3.5256480757800239</v>
      </c>
      <c r="AI37" s="126">
        <f t="shared" si="108"/>
        <v>3.5793300304730091</v>
      </c>
      <c r="AJ37" s="126">
        <f t="shared" si="108"/>
        <v>3.6178415501447794</v>
      </c>
      <c r="AK37" s="126">
        <f t="shared" si="108"/>
        <v>3.6713908266623259</v>
      </c>
      <c r="AL37" s="126">
        <f t="shared" si="108"/>
        <v>3.7164657067331319</v>
      </c>
      <c r="AM37" s="126">
        <f t="shared" si="108"/>
        <v>3.7689259659712842</v>
      </c>
      <c r="AN37" s="126">
        <f t="shared" si="108"/>
        <v>3.8056626651022833</v>
      </c>
      <c r="AO37" s="126">
        <f t="shared" si="108"/>
        <v>3.8600461729087931</v>
      </c>
      <c r="AP37" s="126">
        <f t="shared" si="108"/>
        <v>3.8760847403639982</v>
      </c>
      <c r="AQ37" s="126">
        <f t="shared" si="108"/>
        <v>3.8980600875788016</v>
      </c>
      <c r="AR37" s="126">
        <f t="shared" si="108"/>
        <v>3.9134410648369484</v>
      </c>
      <c r="AS37" s="126">
        <f t="shared" si="108"/>
        <v>3.9336883343200868</v>
      </c>
      <c r="AT37" s="126">
        <f t="shared" si="108"/>
        <v>3.9283621121731991</v>
      </c>
      <c r="AU37" s="126">
        <f t="shared" si="108"/>
        <v>3.9236814596027361</v>
      </c>
      <c r="AV37" s="126">
        <f t="shared" ref="AV37:AX37" si="109">+AV35/AV36</f>
        <v>3.905772859121095</v>
      </c>
      <c r="AW37" s="126">
        <f t="shared" si="109"/>
        <v>3.885305347999839</v>
      </c>
      <c r="AX37" s="126">
        <f t="shared" si="109"/>
        <v>3.8184560990569909</v>
      </c>
    </row>
    <row r="38" spans="1:50">
      <c r="A38" s="1"/>
      <c r="B38" s="71"/>
      <c r="C38" s="71"/>
      <c r="D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</row>
    <row r="39" spans="1:50">
      <c r="A39" s="1" t="s">
        <v>91</v>
      </c>
      <c r="B39" s="71"/>
      <c r="C39" s="71"/>
      <c r="D39" s="72"/>
      <c r="F39" s="72"/>
      <c r="G39" s="72"/>
      <c r="H39" s="72"/>
      <c r="I39" s="72"/>
      <c r="J39" s="72"/>
      <c r="K39" s="72"/>
      <c r="L39" s="72"/>
      <c r="P39" s="52">
        <f t="shared" ref="P39:U39" si="110">+P31</f>
        <v>2886.8236695588475</v>
      </c>
      <c r="Q39" s="52">
        <f t="shared" si="110"/>
        <v>2747.1151369351965</v>
      </c>
      <c r="R39" s="52">
        <f t="shared" si="110"/>
        <v>2918.2233216305849</v>
      </c>
      <c r="S39" s="52">
        <f t="shared" si="110"/>
        <v>3020.7895911379919</v>
      </c>
      <c r="T39" s="52">
        <f t="shared" si="110"/>
        <v>3127.8115190339095</v>
      </c>
      <c r="U39" s="52">
        <f t="shared" si="110"/>
        <v>3174.9308024727188</v>
      </c>
      <c r="V39" s="52">
        <f t="shared" ref="V39:AU39" si="111">+V31</f>
        <v>3445.4273577226968</v>
      </c>
      <c r="W39" s="52">
        <f t="shared" si="111"/>
        <v>3658.968723336794</v>
      </c>
      <c r="X39" s="52">
        <f t="shared" si="111"/>
        <v>3805.2832130448041</v>
      </c>
      <c r="Y39" s="52">
        <f t="shared" si="111"/>
        <v>3908.9861314493337</v>
      </c>
      <c r="Z39" s="52">
        <f t="shared" si="111"/>
        <v>3950.812361957554</v>
      </c>
      <c r="AA39" s="52">
        <f t="shared" si="111"/>
        <v>3998.9547574635544</v>
      </c>
      <c r="AB39" s="52">
        <f t="shared" si="111"/>
        <v>3813.8653488654945</v>
      </c>
      <c r="AC39" s="52">
        <f t="shared" si="111"/>
        <v>3806.3523705741627</v>
      </c>
      <c r="AD39" s="52">
        <f t="shared" si="111"/>
        <v>3804.9104438229069</v>
      </c>
      <c r="AE39" s="52">
        <f t="shared" si="111"/>
        <v>3838.083415095185</v>
      </c>
      <c r="AF39" s="52">
        <f t="shared" si="111"/>
        <v>3916.9882231788743</v>
      </c>
      <c r="AG39" s="52">
        <f t="shared" si="111"/>
        <v>3999.4353603665159</v>
      </c>
      <c r="AH39" s="52">
        <f t="shared" si="111"/>
        <v>4065.8056196382281</v>
      </c>
      <c r="AI39" s="52">
        <f t="shared" si="111"/>
        <v>4123.0994674142212</v>
      </c>
      <c r="AJ39" s="52">
        <f t="shared" si="111"/>
        <v>4147.6865019984025</v>
      </c>
      <c r="AK39" s="52">
        <f t="shared" si="111"/>
        <v>4190.0311799047076</v>
      </c>
      <c r="AL39" s="52">
        <f t="shared" si="111"/>
        <v>4212.4706713486994</v>
      </c>
      <c r="AM39" s="52">
        <f t="shared" si="111"/>
        <v>4244.3949133160222</v>
      </c>
      <c r="AN39" s="52">
        <f t="shared" si="111"/>
        <v>4249.9124529399369</v>
      </c>
      <c r="AO39" s="52">
        <f t="shared" si="111"/>
        <v>4278.3879263541266</v>
      </c>
      <c r="AP39" s="52">
        <f t="shared" si="111"/>
        <v>4247.142639937465</v>
      </c>
      <c r="AQ39" s="52">
        <f t="shared" si="111"/>
        <v>4220.9265722673472</v>
      </c>
      <c r="AR39" s="52">
        <f t="shared" si="111"/>
        <v>4186.8300737791778</v>
      </c>
      <c r="AS39" s="52">
        <f t="shared" si="111"/>
        <v>4164.6903035235409</v>
      </c>
      <c r="AT39" s="52">
        <f t="shared" si="111"/>
        <v>4107.5163356607763</v>
      </c>
      <c r="AU39" s="52">
        <f t="shared" si="111"/>
        <v>4053.5982325235627</v>
      </c>
      <c r="AV39" s="52">
        <f t="shared" ref="AV39:AX39" si="112">+AV31</f>
        <v>3988.7972023543298</v>
      </c>
      <c r="AW39" s="52">
        <f t="shared" si="112"/>
        <v>3930.9234833878809</v>
      </c>
      <c r="AX39" s="52">
        <f t="shared" si="112"/>
        <v>3824.4402445015958</v>
      </c>
    </row>
    <row r="40" spans="1:50">
      <c r="A40" s="48" t="s">
        <v>22</v>
      </c>
      <c r="B40" s="72"/>
      <c r="C40" s="72"/>
      <c r="D40" s="72"/>
      <c r="F40" s="72"/>
      <c r="G40" s="72"/>
      <c r="H40" s="72"/>
      <c r="I40" s="72"/>
      <c r="J40" s="72"/>
      <c r="K40" s="72"/>
      <c r="L40" s="72"/>
      <c r="P40" s="52">
        <f t="shared" ref="P40:T40" si="113">-P16</f>
        <v>-1887.3130403033417</v>
      </c>
      <c r="Q40" s="52">
        <f t="shared" si="113"/>
        <v>-1958.0499902941724</v>
      </c>
      <c r="R40" s="52">
        <f t="shared" si="113"/>
        <v>-2037.4327952212748</v>
      </c>
      <c r="S40" s="52">
        <f t="shared" si="113"/>
        <v>-2175.3084007532366</v>
      </c>
      <c r="T40" s="52">
        <f t="shared" si="113"/>
        <v>-2252.1937664452444</v>
      </c>
      <c r="U40" s="52">
        <f>-U16</f>
        <v>-2452.1669311374976</v>
      </c>
      <c r="V40" s="52">
        <f t="shared" ref="V40:AU40" si="114">-V16</f>
        <v>-2557.2202641441913</v>
      </c>
      <c r="W40" s="52">
        <f t="shared" si="114"/>
        <v>-2652.4003911720129</v>
      </c>
      <c r="X40" s="52">
        <f t="shared" si="114"/>
        <v>-2745.8473388631073</v>
      </c>
      <c r="Y40" s="52">
        <f t="shared" si="114"/>
        <v>-2837.8759184357614</v>
      </c>
      <c r="Z40" s="52">
        <f t="shared" si="114"/>
        <v>-2912.7219155657162</v>
      </c>
      <c r="AA40" s="52">
        <f t="shared" si="114"/>
        <v>-2951.6757519317052</v>
      </c>
      <c r="AB40" s="52">
        <f t="shared" si="114"/>
        <v>-3004.666424542178</v>
      </c>
      <c r="AC40" s="52">
        <f t="shared" si="114"/>
        <v>-3021.8866373868027</v>
      </c>
      <c r="AD40" s="52">
        <f t="shared" si="114"/>
        <v>-3082.3038997543722</v>
      </c>
      <c r="AE40" s="52">
        <f t="shared" si="114"/>
        <v>-3173.1722139596786</v>
      </c>
      <c r="AF40" s="52">
        <f t="shared" si="114"/>
        <v>-3279.6326204624211</v>
      </c>
      <c r="AG40" s="52">
        <f t="shared" si="114"/>
        <v>-3376.2382212742173</v>
      </c>
      <c r="AH40" s="52">
        <f t="shared" si="114"/>
        <v>-3470.120784898952</v>
      </c>
      <c r="AI40" s="52">
        <f t="shared" si="114"/>
        <v>-3565.588123125528</v>
      </c>
      <c r="AJ40" s="52">
        <f t="shared" si="114"/>
        <v>-3661.6935683334209</v>
      </c>
      <c r="AK40" s="52">
        <f t="shared" si="114"/>
        <v>-3767.1371719020021</v>
      </c>
      <c r="AL40" s="52">
        <f t="shared" si="114"/>
        <v>-3883.7093602374748</v>
      </c>
      <c r="AM40" s="52">
        <f t="shared" si="114"/>
        <v>-4012.3246142752696</v>
      </c>
      <c r="AN40" s="52">
        <f t="shared" si="114"/>
        <v>-4144.0410592248199</v>
      </c>
      <c r="AO40" s="52">
        <f t="shared" si="114"/>
        <v>-4282.5675695535947</v>
      </c>
      <c r="AP40" s="52">
        <f t="shared" si="114"/>
        <v>-4420.2092424260745</v>
      </c>
      <c r="AQ40" s="52">
        <f t="shared" si="114"/>
        <v>-4556.4147563906572</v>
      </c>
      <c r="AR40" s="52">
        <f t="shared" si="114"/>
        <v>-4696.0959115249871</v>
      </c>
      <c r="AS40" s="52">
        <f t="shared" si="114"/>
        <v>-4838.1268320662948</v>
      </c>
      <c r="AT40" s="52">
        <f t="shared" si="114"/>
        <v>-4972.6120567343378</v>
      </c>
      <c r="AU40" s="52">
        <f t="shared" si="114"/>
        <v>-5111.5867668093797</v>
      </c>
      <c r="AV40" s="52">
        <f t="shared" ref="AV40:AX40" si="115">-AV16</f>
        <v>-5241.7813150265429</v>
      </c>
      <c r="AW40" s="52">
        <f t="shared" si="115"/>
        <v>-5364.7666445309378</v>
      </c>
      <c r="AX40" s="52">
        <f t="shared" si="115"/>
        <v>-5497.0428665386053</v>
      </c>
    </row>
    <row r="41" spans="1:50">
      <c r="A41" s="48" t="s">
        <v>58</v>
      </c>
      <c r="B41" s="72"/>
      <c r="C41" s="72"/>
      <c r="D41" s="72"/>
      <c r="F41" s="72"/>
      <c r="G41" s="72"/>
      <c r="H41" s="72"/>
      <c r="I41" s="72"/>
      <c r="J41" s="72"/>
      <c r="K41" s="72"/>
      <c r="L41" s="72"/>
      <c r="P41" s="52">
        <f>+P17</f>
        <v>-1157.812393610139</v>
      </c>
      <c r="Q41" s="52">
        <f t="shared" ref="Q41:AX41" si="116">+Q17</f>
        <v>-275.29555780601709</v>
      </c>
      <c r="R41" s="52">
        <f t="shared" si="116"/>
        <v>-48.785938637120154</v>
      </c>
      <c r="S41" s="52">
        <f t="shared" si="116"/>
        <v>-187.82514637742977</v>
      </c>
      <c r="T41" s="52">
        <f t="shared" si="116"/>
        <v>-163.7112416987172</v>
      </c>
      <c r="U41" s="52">
        <f t="shared" si="116"/>
        <v>32.282179479014836</v>
      </c>
      <c r="V41" s="52">
        <f t="shared" si="116"/>
        <v>-102.86829148113799</v>
      </c>
      <c r="W41" s="52">
        <f t="shared" si="116"/>
        <v>-219.55068048218337</v>
      </c>
      <c r="X41" s="52">
        <f t="shared" si="116"/>
        <v>-275.80404136212786</v>
      </c>
      <c r="Y41" s="52">
        <f t="shared" si="116"/>
        <v>-293.53179332727927</v>
      </c>
      <c r="Z41" s="52">
        <f t="shared" si="116"/>
        <v>-268.1901992156204</v>
      </c>
      <c r="AA41" s="52">
        <f t="shared" si="116"/>
        <v>-285.7939679805242</v>
      </c>
      <c r="AB41" s="52">
        <f t="shared" si="116"/>
        <v>-55.277110598465462</v>
      </c>
      <c r="AC41" s="52">
        <f t="shared" si="116"/>
        <v>-36.023244661944382</v>
      </c>
      <c r="AD41" s="52">
        <f t="shared" si="116"/>
        <v>21.879053190143996</v>
      </c>
      <c r="AE41" s="52">
        <f t="shared" si="116"/>
        <v>76.558219050030559</v>
      </c>
      <c r="AF41" s="52">
        <f t="shared" si="116"/>
        <v>104.58702956180309</v>
      </c>
      <c r="AG41" s="52">
        <f t="shared" si="116"/>
        <v>118.49339486657252</v>
      </c>
      <c r="AH41" s="52">
        <f t="shared" si="116"/>
        <v>141.53961943997194</v>
      </c>
      <c r="AI41" s="52">
        <f t="shared" si="116"/>
        <v>174.57614964117084</v>
      </c>
      <c r="AJ41" s="52">
        <f t="shared" si="116"/>
        <v>239.63623474416406</v>
      </c>
      <c r="AK41" s="52">
        <f t="shared" si="116"/>
        <v>295.46797301592426</v>
      </c>
      <c r="AL41" s="52">
        <f t="shared" si="116"/>
        <v>381.47584942978585</v>
      </c>
      <c r="AM41" s="52">
        <f t="shared" si="116"/>
        <v>469.98376137125689</v>
      </c>
      <c r="AN41" s="52">
        <f t="shared" si="116"/>
        <v>587.90524588120684</v>
      </c>
      <c r="AO41" s="52">
        <f t="shared" si="116"/>
        <v>689.32435448018157</v>
      </c>
      <c r="AP41" s="52">
        <f t="shared" si="116"/>
        <v>849.42376109694601</v>
      </c>
      <c r="AQ41" s="52">
        <f t="shared" si="116"/>
        <v>1002.5839983086138</v>
      </c>
      <c r="AR41" s="52">
        <f t="shared" si="116"/>
        <v>1167.4602262908591</v>
      </c>
      <c r="AS41" s="52">
        <f t="shared" si="116"/>
        <v>1323.6257728932296</v>
      </c>
      <c r="AT41" s="52">
        <f t="shared" si="116"/>
        <v>1507.5266791291381</v>
      </c>
      <c r="AU41" s="52">
        <f t="shared" si="116"/>
        <v>1692.9919162544893</v>
      </c>
      <c r="AV41" s="52">
        <f t="shared" si="116"/>
        <v>1881.662740784712</v>
      </c>
      <c r="AW41" s="52">
        <f t="shared" si="116"/>
        <v>2057.7698365261717</v>
      </c>
      <c r="AX41" s="52">
        <f t="shared" si="116"/>
        <v>2293.9787896939511</v>
      </c>
    </row>
    <row r="42" spans="1:50">
      <c r="A42" s="1" t="s">
        <v>25</v>
      </c>
      <c r="B42" s="71"/>
      <c r="C42" s="71"/>
      <c r="D42" s="72"/>
      <c r="F42" s="72"/>
      <c r="G42" s="72"/>
      <c r="H42" s="72"/>
      <c r="I42" s="72"/>
      <c r="J42" s="72"/>
      <c r="K42" s="72"/>
      <c r="L42" s="72"/>
      <c r="P42" s="52">
        <f t="shared" ref="P42:U42" si="117">-P30</f>
        <v>717.75042969705055</v>
      </c>
      <c r="Q42" s="52">
        <f t="shared" si="117"/>
        <v>863.89858639117381</v>
      </c>
      <c r="R42" s="52">
        <f t="shared" si="117"/>
        <v>1025.4704385823072</v>
      </c>
      <c r="S42" s="52">
        <f t="shared" si="117"/>
        <v>1230.6175652617096</v>
      </c>
      <c r="T42" s="52">
        <f t="shared" si="117"/>
        <v>1442.7506977151154</v>
      </c>
      <c r="U42" s="52">
        <f t="shared" si="117"/>
        <v>1650.81173045214</v>
      </c>
      <c r="V42" s="52">
        <f t="shared" ref="V42:AU42" si="118">-V30</f>
        <v>1715.2124429917922</v>
      </c>
      <c r="W42" s="52">
        <f t="shared" si="118"/>
        <v>1718.623352403215</v>
      </c>
      <c r="X42" s="52">
        <f t="shared" si="118"/>
        <v>1711.1255635826537</v>
      </c>
      <c r="Y42" s="52">
        <f t="shared" si="118"/>
        <v>1697.8186121973015</v>
      </c>
      <c r="Z42" s="52">
        <f t="shared" si="118"/>
        <v>1681.0235756165962</v>
      </c>
      <c r="AA42" s="52">
        <f t="shared" si="118"/>
        <v>1662.620830436724</v>
      </c>
      <c r="AB42" s="52">
        <f t="shared" si="118"/>
        <v>1646.1957867870169</v>
      </c>
      <c r="AC42" s="52">
        <f t="shared" si="118"/>
        <v>1634.2872067116043</v>
      </c>
      <c r="AD42" s="52">
        <f t="shared" si="118"/>
        <v>1625.6973512068159</v>
      </c>
      <c r="AE42" s="52">
        <f t="shared" si="118"/>
        <v>1619.1258300904055</v>
      </c>
      <c r="AF42" s="52">
        <f t="shared" si="118"/>
        <v>1620.4024220338142</v>
      </c>
      <c r="AG42" s="52">
        <f t="shared" si="118"/>
        <v>1619.5382143424456</v>
      </c>
      <c r="AH42" s="52">
        <f t="shared" si="118"/>
        <v>1609.8068684341702</v>
      </c>
      <c r="AI42" s="52">
        <f t="shared" si="118"/>
        <v>1598.5156682947272</v>
      </c>
      <c r="AJ42" s="52">
        <f t="shared" si="118"/>
        <v>1584.3917298084809</v>
      </c>
      <c r="AK42" s="52">
        <f t="shared" si="118"/>
        <v>1568.4830306690064</v>
      </c>
      <c r="AL42" s="52">
        <f t="shared" si="118"/>
        <v>1550.717412300665</v>
      </c>
      <c r="AM42" s="52">
        <f t="shared" si="118"/>
        <v>1532.8668824943366</v>
      </c>
      <c r="AN42" s="52">
        <f t="shared" si="118"/>
        <v>1514.7624501696828</v>
      </c>
      <c r="AO42" s="52">
        <f t="shared" si="118"/>
        <v>1495.9156837677265</v>
      </c>
      <c r="AP42" s="52">
        <f t="shared" si="118"/>
        <v>1476.7098411015336</v>
      </c>
      <c r="AQ42" s="52">
        <f t="shared" si="118"/>
        <v>1456.4662031537589</v>
      </c>
      <c r="AR42" s="52">
        <f t="shared" si="118"/>
        <v>1437.0738863782353</v>
      </c>
      <c r="AS42" s="52">
        <f t="shared" si="118"/>
        <v>1419.6089798641653</v>
      </c>
      <c r="AT42" s="52">
        <f t="shared" si="118"/>
        <v>1402.6668076963003</v>
      </c>
      <c r="AU42" s="52">
        <f t="shared" si="118"/>
        <v>1386.4705469912435</v>
      </c>
      <c r="AV42" s="52">
        <f t="shared" ref="AV42:AX42" si="119">-AV30</f>
        <v>1372.7147288314943</v>
      </c>
      <c r="AW42" s="52">
        <f t="shared" si="119"/>
        <v>1362.3942734909804</v>
      </c>
      <c r="AX42" s="52">
        <f t="shared" si="119"/>
        <v>1356.9273780000301</v>
      </c>
    </row>
    <row r="43" spans="1:50">
      <c r="A43" s="1" t="s">
        <v>94</v>
      </c>
      <c r="B43" s="71"/>
      <c r="C43" s="71"/>
      <c r="D43" s="72"/>
      <c r="F43" s="72"/>
      <c r="G43" s="72"/>
      <c r="H43" s="72"/>
      <c r="I43" s="72"/>
      <c r="J43" s="72"/>
      <c r="K43" s="72"/>
      <c r="L43" s="72"/>
      <c r="P43" s="125">
        <f t="shared" ref="P43:U43" si="120">SUM(P39:P42)</f>
        <v>559.44866534241737</v>
      </c>
      <c r="Q43" s="125">
        <f t="shared" si="120"/>
        <v>1377.6681752261807</v>
      </c>
      <c r="R43" s="125">
        <f t="shared" si="120"/>
        <v>1857.4750263544972</v>
      </c>
      <c r="S43" s="125">
        <f t="shared" si="120"/>
        <v>1888.2736092690352</v>
      </c>
      <c r="T43" s="125">
        <f t="shared" si="120"/>
        <v>2154.6572086050633</v>
      </c>
      <c r="U43" s="125">
        <f t="shared" si="120"/>
        <v>2405.8577812663762</v>
      </c>
      <c r="V43" s="125">
        <f t="shared" ref="V43:AU43" si="121">SUM(V39:V42)</f>
        <v>2500.5512450891597</v>
      </c>
      <c r="W43" s="125">
        <f t="shared" si="121"/>
        <v>2505.6410040858127</v>
      </c>
      <c r="X43" s="125">
        <f t="shared" si="121"/>
        <v>2494.7573964022226</v>
      </c>
      <c r="Y43" s="125">
        <f t="shared" si="121"/>
        <v>2475.3970318835945</v>
      </c>
      <c r="Z43" s="125">
        <f t="shared" si="121"/>
        <v>2450.9238227928136</v>
      </c>
      <c r="AA43" s="125">
        <f t="shared" si="121"/>
        <v>2424.1058679880489</v>
      </c>
      <c r="AB43" s="125">
        <f t="shared" si="121"/>
        <v>2400.1176005118677</v>
      </c>
      <c r="AC43" s="125">
        <f t="shared" si="121"/>
        <v>2382.7296952370198</v>
      </c>
      <c r="AD43" s="125">
        <f t="shared" si="121"/>
        <v>2370.1829484654945</v>
      </c>
      <c r="AE43" s="125">
        <f t="shared" si="121"/>
        <v>2360.5952502759424</v>
      </c>
      <c r="AF43" s="125">
        <f t="shared" si="121"/>
        <v>2362.3450543120707</v>
      </c>
      <c r="AG43" s="125">
        <f t="shared" si="121"/>
        <v>2361.228748301317</v>
      </c>
      <c r="AH43" s="125">
        <f t="shared" si="121"/>
        <v>2347.0313226134181</v>
      </c>
      <c r="AI43" s="125">
        <f t="shared" si="121"/>
        <v>2330.603162224591</v>
      </c>
      <c r="AJ43" s="125">
        <f t="shared" si="121"/>
        <v>2310.0208982176264</v>
      </c>
      <c r="AK43" s="125">
        <f t="shared" si="121"/>
        <v>2286.8450116876361</v>
      </c>
      <c r="AL43" s="125">
        <f t="shared" si="121"/>
        <v>2260.9545728416756</v>
      </c>
      <c r="AM43" s="125">
        <f t="shared" si="121"/>
        <v>2234.9209429063458</v>
      </c>
      <c r="AN43" s="125">
        <f t="shared" si="121"/>
        <v>2208.5390897660063</v>
      </c>
      <c r="AO43" s="125">
        <f t="shared" si="121"/>
        <v>2181.0603950484401</v>
      </c>
      <c r="AP43" s="125">
        <f t="shared" si="121"/>
        <v>2153.0669997098703</v>
      </c>
      <c r="AQ43" s="125">
        <f t="shared" si="121"/>
        <v>2123.5620173390625</v>
      </c>
      <c r="AR43" s="125">
        <f t="shared" si="121"/>
        <v>2095.2682749232854</v>
      </c>
      <c r="AS43" s="125">
        <f t="shared" si="121"/>
        <v>2069.7982242146409</v>
      </c>
      <c r="AT43" s="125">
        <f t="shared" si="121"/>
        <v>2045.097765751877</v>
      </c>
      <c r="AU43" s="125">
        <f t="shared" si="121"/>
        <v>2021.4739289599158</v>
      </c>
      <c r="AV43" s="125">
        <f t="shared" ref="AV43:AX43" si="122">SUM(AV39:AV42)</f>
        <v>2001.3933569439932</v>
      </c>
      <c r="AW43" s="125">
        <f t="shared" si="122"/>
        <v>1986.3209488740952</v>
      </c>
      <c r="AX43" s="125">
        <f t="shared" si="122"/>
        <v>1978.3035456569717</v>
      </c>
    </row>
    <row r="44" spans="1:50">
      <c r="A44" s="1" t="s">
        <v>25</v>
      </c>
      <c r="B44" s="71"/>
      <c r="C44" s="71"/>
      <c r="D44" s="72"/>
      <c r="F44" s="72"/>
      <c r="G44" s="72"/>
      <c r="H44" s="72"/>
      <c r="I44" s="72"/>
      <c r="J44" s="72"/>
      <c r="K44" s="72"/>
      <c r="L44" s="72"/>
      <c r="P44" s="52">
        <f t="shared" ref="P44:U44" si="123">+P42</f>
        <v>717.75042969705055</v>
      </c>
      <c r="Q44" s="52">
        <f t="shared" si="123"/>
        <v>863.89858639117381</v>
      </c>
      <c r="R44" s="52">
        <f t="shared" si="123"/>
        <v>1025.4704385823072</v>
      </c>
      <c r="S44" s="52">
        <f t="shared" si="123"/>
        <v>1230.6175652617096</v>
      </c>
      <c r="T44" s="52">
        <f t="shared" si="123"/>
        <v>1442.7506977151154</v>
      </c>
      <c r="U44" s="52">
        <f t="shared" si="123"/>
        <v>1650.81173045214</v>
      </c>
      <c r="V44" s="52">
        <f t="shared" ref="V44:AU44" si="124">+V42</f>
        <v>1715.2124429917922</v>
      </c>
      <c r="W44" s="52">
        <f t="shared" si="124"/>
        <v>1718.623352403215</v>
      </c>
      <c r="X44" s="52">
        <f t="shared" si="124"/>
        <v>1711.1255635826537</v>
      </c>
      <c r="Y44" s="52">
        <f t="shared" si="124"/>
        <v>1697.8186121973015</v>
      </c>
      <c r="Z44" s="52">
        <f t="shared" si="124"/>
        <v>1681.0235756165962</v>
      </c>
      <c r="AA44" s="52">
        <f t="shared" si="124"/>
        <v>1662.620830436724</v>
      </c>
      <c r="AB44" s="52">
        <f t="shared" si="124"/>
        <v>1646.1957867870169</v>
      </c>
      <c r="AC44" s="52">
        <f t="shared" si="124"/>
        <v>1634.2872067116043</v>
      </c>
      <c r="AD44" s="52">
        <f t="shared" si="124"/>
        <v>1625.6973512068159</v>
      </c>
      <c r="AE44" s="52">
        <f t="shared" si="124"/>
        <v>1619.1258300904055</v>
      </c>
      <c r="AF44" s="52">
        <f t="shared" si="124"/>
        <v>1620.4024220338142</v>
      </c>
      <c r="AG44" s="52">
        <f t="shared" si="124"/>
        <v>1619.5382143424456</v>
      </c>
      <c r="AH44" s="52">
        <f t="shared" si="124"/>
        <v>1609.8068684341702</v>
      </c>
      <c r="AI44" s="52">
        <f t="shared" si="124"/>
        <v>1598.5156682947272</v>
      </c>
      <c r="AJ44" s="52">
        <f t="shared" si="124"/>
        <v>1584.3917298084809</v>
      </c>
      <c r="AK44" s="52">
        <f t="shared" si="124"/>
        <v>1568.4830306690064</v>
      </c>
      <c r="AL44" s="52">
        <f t="shared" si="124"/>
        <v>1550.717412300665</v>
      </c>
      <c r="AM44" s="52">
        <f t="shared" si="124"/>
        <v>1532.8668824943366</v>
      </c>
      <c r="AN44" s="52">
        <f t="shared" si="124"/>
        <v>1514.7624501696828</v>
      </c>
      <c r="AO44" s="52">
        <f t="shared" si="124"/>
        <v>1495.9156837677265</v>
      </c>
      <c r="AP44" s="52">
        <f t="shared" si="124"/>
        <v>1476.7098411015336</v>
      </c>
      <c r="AQ44" s="52">
        <f t="shared" si="124"/>
        <v>1456.4662031537589</v>
      </c>
      <c r="AR44" s="52">
        <f t="shared" si="124"/>
        <v>1437.0738863782353</v>
      </c>
      <c r="AS44" s="52">
        <f t="shared" si="124"/>
        <v>1419.6089798641653</v>
      </c>
      <c r="AT44" s="52">
        <f t="shared" si="124"/>
        <v>1402.6668076963003</v>
      </c>
      <c r="AU44" s="52">
        <f t="shared" si="124"/>
        <v>1386.4705469912435</v>
      </c>
      <c r="AV44" s="52">
        <f t="shared" ref="AV44:AX44" si="125">+AV42</f>
        <v>1372.7147288314943</v>
      </c>
      <c r="AW44" s="52">
        <f t="shared" si="125"/>
        <v>1362.3942734909804</v>
      </c>
      <c r="AX44" s="52">
        <f t="shared" si="125"/>
        <v>1356.9273780000301</v>
      </c>
    </row>
    <row r="45" spans="1:50">
      <c r="A45" s="98" t="s">
        <v>23</v>
      </c>
      <c r="B45" s="71"/>
      <c r="C45" s="71"/>
      <c r="D45" s="72"/>
      <c r="F45" s="72"/>
      <c r="G45" s="72"/>
      <c r="H45" s="72"/>
      <c r="I45" s="72"/>
      <c r="J45" s="72"/>
      <c r="K45" s="72"/>
      <c r="L45" s="72"/>
      <c r="P45" s="126">
        <f t="shared" ref="P45:U45" si="126">+P43/P44</f>
        <v>0.77944734296926932</v>
      </c>
      <c r="Q45" s="126">
        <f t="shared" si="126"/>
        <v>1.5947105330745057</v>
      </c>
      <c r="R45" s="126">
        <f t="shared" si="126"/>
        <v>1.8113394169825314</v>
      </c>
      <c r="S45" s="126">
        <f t="shared" si="126"/>
        <v>1.5344113903229271</v>
      </c>
      <c r="T45" s="126">
        <f t="shared" si="126"/>
        <v>1.4934369548511703</v>
      </c>
      <c r="U45" s="126">
        <f t="shared" si="126"/>
        <v>1.4573786561399324</v>
      </c>
      <c r="V45" s="126">
        <f t="shared" ref="V45:AU45" si="127">+V43/V44</f>
        <v>1.4578667822205891</v>
      </c>
      <c r="W45" s="126">
        <f t="shared" si="127"/>
        <v>1.4579349224960092</v>
      </c>
      <c r="X45" s="126">
        <f t="shared" si="127"/>
        <v>1.457962787475892</v>
      </c>
      <c r="Y45" s="126">
        <f t="shared" si="127"/>
        <v>1.4579867449326391</v>
      </c>
      <c r="Z45" s="126">
        <f t="shared" si="127"/>
        <v>1.4579949135417802</v>
      </c>
      <c r="AA45" s="126">
        <f t="shared" si="127"/>
        <v>1.4580028251849244</v>
      </c>
      <c r="AB45" s="126">
        <f t="shared" si="127"/>
        <v>1.457978218493881</v>
      </c>
      <c r="AC45" s="126">
        <f t="shared" si="127"/>
        <v>1.4579626429502424</v>
      </c>
      <c r="AD45" s="126">
        <f t="shared" si="127"/>
        <v>1.4579484592910354</v>
      </c>
      <c r="AE45" s="126">
        <f t="shared" si="127"/>
        <v>1.4579442847528015</v>
      </c>
      <c r="AF45" s="126">
        <f t="shared" si="127"/>
        <v>1.4578755389337315</v>
      </c>
      <c r="AG45" s="126">
        <f t="shared" si="127"/>
        <v>1.4579642069514289</v>
      </c>
      <c r="AH45" s="126">
        <f t="shared" si="127"/>
        <v>1.4579583232219233</v>
      </c>
      <c r="AI45" s="126">
        <f t="shared" si="127"/>
        <v>1.4579795546895351</v>
      </c>
      <c r="AJ45" s="126">
        <f t="shared" si="127"/>
        <v>1.4579859606417274</v>
      </c>
      <c r="AK45" s="126">
        <f t="shared" si="127"/>
        <v>1.457997929829197</v>
      </c>
      <c r="AL45" s="126">
        <f t="shared" si="127"/>
        <v>1.4580055366034055</v>
      </c>
      <c r="AM45" s="126">
        <f t="shared" si="127"/>
        <v>1.4580006707885824</v>
      </c>
      <c r="AN45" s="126">
        <f t="shared" si="127"/>
        <v>1.4580101913132366</v>
      </c>
      <c r="AO45" s="126">
        <f t="shared" si="127"/>
        <v>1.4580102466437521</v>
      </c>
      <c r="AP45" s="126">
        <f t="shared" si="127"/>
        <v>1.4580162871426499</v>
      </c>
      <c r="AQ45" s="126">
        <f t="shared" si="127"/>
        <v>1.4580235454422545</v>
      </c>
      <c r="AR45" s="126">
        <f t="shared" si="127"/>
        <v>1.4580101237549135</v>
      </c>
      <c r="AS45" s="126">
        <f t="shared" si="127"/>
        <v>1.4580058689208126</v>
      </c>
      <c r="AT45" s="126">
        <f t="shared" si="127"/>
        <v>1.4580068156818273</v>
      </c>
      <c r="AU45" s="126">
        <f t="shared" si="127"/>
        <v>1.4579999072801673</v>
      </c>
      <c r="AV45" s="126">
        <f t="shared" ref="AV45:AX45" si="128">+AV43/AV44</f>
        <v>1.457981993569526</v>
      </c>
      <c r="AW45" s="126">
        <f t="shared" si="128"/>
        <v>1.4579633719278442</v>
      </c>
      <c r="AX45" s="126">
        <f t="shared" si="128"/>
        <v>1.4579288307770644</v>
      </c>
    </row>
    <row r="46" spans="1:50">
      <c r="A46" s="98"/>
      <c r="B46" s="71"/>
      <c r="C46" s="71"/>
      <c r="D46" s="72"/>
      <c r="F46" s="72"/>
      <c r="G46" s="72"/>
      <c r="H46" s="72"/>
      <c r="I46" s="72"/>
      <c r="J46" s="72"/>
      <c r="K46" s="72"/>
      <c r="L46" s="72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</row>
    <row r="47" spans="1:50">
      <c r="A47" s="106" t="s">
        <v>94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9">
        <f t="shared" ref="P47:U47" si="129">+P43</f>
        <v>559.44866534241737</v>
      </c>
      <c r="Q47" s="109">
        <f t="shared" si="129"/>
        <v>1377.6681752261807</v>
      </c>
      <c r="R47" s="109">
        <f t="shared" si="129"/>
        <v>1857.4750263544972</v>
      </c>
      <c r="S47" s="109">
        <f t="shared" si="129"/>
        <v>1888.2736092690352</v>
      </c>
      <c r="T47" s="109">
        <f t="shared" si="129"/>
        <v>2154.6572086050633</v>
      </c>
      <c r="U47" s="109">
        <f t="shared" si="129"/>
        <v>2405.8577812663762</v>
      </c>
      <c r="V47" s="109">
        <f t="shared" ref="V47:AU47" si="130">+V43</f>
        <v>2500.5512450891597</v>
      </c>
      <c r="W47" s="109">
        <f t="shared" si="130"/>
        <v>2505.6410040858127</v>
      </c>
      <c r="X47" s="109">
        <f t="shared" si="130"/>
        <v>2494.7573964022226</v>
      </c>
      <c r="Y47" s="109">
        <f t="shared" si="130"/>
        <v>2475.3970318835945</v>
      </c>
      <c r="Z47" s="109">
        <f t="shared" si="130"/>
        <v>2450.9238227928136</v>
      </c>
      <c r="AA47" s="109">
        <f t="shared" si="130"/>
        <v>2424.1058679880489</v>
      </c>
      <c r="AB47" s="109">
        <f t="shared" si="130"/>
        <v>2400.1176005118677</v>
      </c>
      <c r="AC47" s="109">
        <f t="shared" si="130"/>
        <v>2382.7296952370198</v>
      </c>
      <c r="AD47" s="109">
        <f t="shared" si="130"/>
        <v>2370.1829484654945</v>
      </c>
      <c r="AE47" s="109">
        <f t="shared" si="130"/>
        <v>2360.5952502759424</v>
      </c>
      <c r="AF47" s="109">
        <f t="shared" si="130"/>
        <v>2362.3450543120707</v>
      </c>
      <c r="AG47" s="109">
        <f t="shared" si="130"/>
        <v>2361.228748301317</v>
      </c>
      <c r="AH47" s="109">
        <f t="shared" si="130"/>
        <v>2347.0313226134181</v>
      </c>
      <c r="AI47" s="109">
        <f t="shared" si="130"/>
        <v>2330.603162224591</v>
      </c>
      <c r="AJ47" s="109">
        <f t="shared" si="130"/>
        <v>2310.0208982176264</v>
      </c>
      <c r="AK47" s="109">
        <f t="shared" si="130"/>
        <v>2286.8450116876361</v>
      </c>
      <c r="AL47" s="109">
        <f t="shared" si="130"/>
        <v>2260.9545728416756</v>
      </c>
      <c r="AM47" s="109">
        <f t="shared" si="130"/>
        <v>2234.9209429063458</v>
      </c>
      <c r="AN47" s="109">
        <f t="shared" si="130"/>
        <v>2208.5390897660063</v>
      </c>
      <c r="AO47" s="109">
        <f t="shared" si="130"/>
        <v>2181.0603950484401</v>
      </c>
      <c r="AP47" s="109">
        <f t="shared" si="130"/>
        <v>2153.0669997098703</v>
      </c>
      <c r="AQ47" s="109">
        <f t="shared" si="130"/>
        <v>2123.5620173390625</v>
      </c>
      <c r="AR47" s="109">
        <f t="shared" si="130"/>
        <v>2095.2682749232854</v>
      </c>
      <c r="AS47" s="109">
        <f t="shared" si="130"/>
        <v>2069.7982242146409</v>
      </c>
      <c r="AT47" s="109">
        <f t="shared" si="130"/>
        <v>2045.097765751877</v>
      </c>
      <c r="AU47" s="109">
        <f t="shared" si="130"/>
        <v>2021.4739289599158</v>
      </c>
      <c r="AV47" s="109">
        <f t="shared" ref="AV47:AX47" si="131">+AV43</f>
        <v>2001.3933569439932</v>
      </c>
      <c r="AW47" s="109">
        <f t="shared" si="131"/>
        <v>1986.3209488740952</v>
      </c>
      <c r="AX47" s="109">
        <f t="shared" si="131"/>
        <v>1978.3035456569717</v>
      </c>
    </row>
    <row r="48" spans="1:50">
      <c r="A48" s="106" t="s">
        <v>213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9">
        <f t="shared" ref="P48:U48" si="132">+O20*(P10/O10)-O20</f>
        <v>1980.0687785562186</v>
      </c>
      <c r="Q48" s="109">
        <f t="shared" si="132"/>
        <v>901.49532019051549</v>
      </c>
      <c r="R48" s="109">
        <f t="shared" si="132"/>
        <v>465.40413420167897</v>
      </c>
      <c r="S48" s="109">
        <f t="shared" si="132"/>
        <v>976.58250553494872</v>
      </c>
      <c r="T48" s="109">
        <f t="shared" si="132"/>
        <v>1092.5974714537733</v>
      </c>
      <c r="U48" s="109">
        <f t="shared" si="132"/>
        <v>1158.9231245698174</v>
      </c>
      <c r="V48" s="109">
        <f t="shared" ref="V48" si="133">+U20*(V10/U10)-U20</f>
        <v>1244.5575557819611</v>
      </c>
      <c r="W48" s="109">
        <f t="shared" ref="W48" si="134">+V20*(W10/V10)-V20</f>
        <v>1252.6866140911661</v>
      </c>
      <c r="X48" s="109">
        <f t="shared" ref="X48" si="135">+W20*(X10/W10)-W20</f>
        <v>1249.52363078708</v>
      </c>
      <c r="Y48" s="109">
        <f t="shared" ref="Y48" si="136">+X20*(Y10/X10)-X20</f>
        <v>1241.7702932029788</v>
      </c>
      <c r="Z48" s="109">
        <f t="shared" ref="Z48" si="137">+Y20*(Z10/Y10)-Y20</f>
        <v>1230.1495253218163</v>
      </c>
      <c r="AA48" s="109">
        <f t="shared" ref="AA48" si="138">+Z20*(AA10/Z10)-Z20</f>
        <v>1217.3177495222553</v>
      </c>
      <c r="AB48" s="109">
        <f t="shared" ref="AB48" si="139">+AA20*(AB10/AA10)-AA20</f>
        <v>1203.3562564775712</v>
      </c>
      <c r="AC48" s="109">
        <f t="shared" ref="AC48" si="140">+AB20*(AC10/AB10)-AB20</f>
        <v>1193.4038928675145</v>
      </c>
      <c r="AD48" s="109">
        <f t="shared" ref="AD48" si="141">+AC20*(AD10/AC10)-AC20</f>
        <v>1186.0180939156562</v>
      </c>
      <c r="AE48" s="109">
        <f t="shared" ref="AE48" si="142">+AD20*(AE10/AD10)-AD20</f>
        <v>1180.897589833723</v>
      </c>
      <c r="AF48" s="109">
        <f t="shared" ref="AF48" si="143">+AE20*(AF10/AE10)-AE20</f>
        <v>1176.4503620220348</v>
      </c>
      <c r="AG48" s="109">
        <f t="shared" ref="AG48" si="144">+AF20*(AG10/AF10)-AF20</f>
        <v>1182.7562294448217</v>
      </c>
      <c r="AH48" s="109">
        <f t="shared" ref="AH48" si="145">+AG20*(AH10/AG10)-AG20</f>
        <v>1175.1921286016513</v>
      </c>
      <c r="AI48" s="109">
        <f t="shared" ref="AI48" si="146">+AH20*(AI10/AH10)-AH20</f>
        <v>1168.5879863599766</v>
      </c>
      <c r="AJ48" s="109">
        <f t="shared" ref="AJ48" si="147">+AI20*(AJ10/AI10)-AI20</f>
        <v>1158.7528333794762</v>
      </c>
      <c r="AK48" s="109">
        <f t="shared" ref="AK48" si="148">+AJ20*(AK10/AJ10)-AJ20</f>
        <v>1148.0243977593127</v>
      </c>
      <c r="AL48" s="109">
        <f t="shared" ref="AL48" si="149">+AK20*(AL10/AK10)-AK20</f>
        <v>1135.5907426783378</v>
      </c>
      <c r="AM48" s="109">
        <f t="shared" ref="AM48" si="150">+AL20*(AM10/AL10)-AL20</f>
        <v>1122.1587464950499</v>
      </c>
      <c r="AN48" s="109">
        <f t="shared" ref="AN48" si="151">+AM20*(AN10/AM10)-AM20</f>
        <v>1109.6014655656763</v>
      </c>
      <c r="AO48" s="109">
        <f t="shared" ref="AO48" si="152">+AN20*(AO10/AN10)-AN20</f>
        <v>1095.7998028806251</v>
      </c>
      <c r="AP48" s="109">
        <f t="shared" ref="AP48" si="153">+AO20*(AP10/AO10)-AO20</f>
        <v>1082.1617290417416</v>
      </c>
      <c r="AQ48" s="109">
        <f t="shared" ref="AQ48" si="154">+AP20*(AQ10/AP10)-AP20</f>
        <v>1067.8372733283104</v>
      </c>
      <c r="AR48" s="109">
        <f t="shared" ref="AR48" si="155">+AQ20*(AR10/AQ10)-AQ20</f>
        <v>1052.6882331790766</v>
      </c>
      <c r="AS48" s="109">
        <f t="shared" ref="AS48" si="156">+AR20*(AS10/AR10)-AR20</f>
        <v>1039.6032489041754</v>
      </c>
      <c r="AT48" s="109">
        <f t="shared" ref="AT48" si="157">+AS20*(AT10/AS10)-AS20</f>
        <v>1027.2603999402054</v>
      </c>
      <c r="AU48" s="109">
        <f t="shared" ref="AU48" si="158">+AT20*(AU10/AT10)-AT20</f>
        <v>1014.9364848283512</v>
      </c>
      <c r="AV48" s="109">
        <f t="shared" ref="AV48" si="159">+AU20*(AV10/AU10)-AU20</f>
        <v>1003.6796372278623</v>
      </c>
      <c r="AW48" s="109">
        <f t="shared" ref="AW48" si="160">+AV20*(AW10/AV10)-AV20</f>
        <v>994.90885685630928</v>
      </c>
      <c r="AX48" s="109">
        <f t="shared" ref="AX48" si="161">+AW20*(AX10/AW10)-AW20</f>
        <v>988.6536869236661</v>
      </c>
    </row>
    <row r="49" spans="1:50">
      <c r="A49" s="106" t="s">
        <v>214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28">
        <f>+P47+P48</f>
        <v>2539.517443898636</v>
      </c>
      <c r="Q49" s="128">
        <f t="shared" ref="Q49:U49" si="162">+Q47+Q48</f>
        <v>2279.1634954166962</v>
      </c>
      <c r="R49" s="128">
        <f t="shared" si="162"/>
        <v>2322.8791605561764</v>
      </c>
      <c r="S49" s="128">
        <f t="shared" si="162"/>
        <v>2864.8561148039839</v>
      </c>
      <c r="T49" s="128">
        <f t="shared" si="162"/>
        <v>3247.2546800588366</v>
      </c>
      <c r="U49" s="128">
        <f t="shared" si="162"/>
        <v>3564.7809058361936</v>
      </c>
      <c r="V49" s="128">
        <f t="shared" ref="V49:AU49" si="163">+V47+V48</f>
        <v>3745.1088008711208</v>
      </c>
      <c r="W49" s="128">
        <f t="shared" si="163"/>
        <v>3758.3276181769788</v>
      </c>
      <c r="X49" s="128">
        <f t="shared" si="163"/>
        <v>3744.2810271893027</v>
      </c>
      <c r="Y49" s="128">
        <f t="shared" si="163"/>
        <v>3717.1673250865733</v>
      </c>
      <c r="Z49" s="128">
        <f t="shared" si="163"/>
        <v>3681.0733481146299</v>
      </c>
      <c r="AA49" s="128">
        <f t="shared" si="163"/>
        <v>3641.4236175103042</v>
      </c>
      <c r="AB49" s="128">
        <f t="shared" si="163"/>
        <v>3603.4738569894389</v>
      </c>
      <c r="AC49" s="128">
        <f t="shared" si="163"/>
        <v>3576.1335881045343</v>
      </c>
      <c r="AD49" s="128">
        <f t="shared" si="163"/>
        <v>3556.2010423811507</v>
      </c>
      <c r="AE49" s="128">
        <f t="shared" si="163"/>
        <v>3541.4928401096654</v>
      </c>
      <c r="AF49" s="128">
        <f t="shared" si="163"/>
        <v>3538.7954163341055</v>
      </c>
      <c r="AG49" s="128">
        <f t="shared" si="163"/>
        <v>3543.9849777461386</v>
      </c>
      <c r="AH49" s="128">
        <f t="shared" si="163"/>
        <v>3522.2234512150694</v>
      </c>
      <c r="AI49" s="128">
        <f t="shared" si="163"/>
        <v>3499.1911485845676</v>
      </c>
      <c r="AJ49" s="128">
        <f t="shared" si="163"/>
        <v>3468.7737315971026</v>
      </c>
      <c r="AK49" s="128">
        <f t="shared" si="163"/>
        <v>3434.8694094469488</v>
      </c>
      <c r="AL49" s="128">
        <f t="shared" si="163"/>
        <v>3396.5453155200134</v>
      </c>
      <c r="AM49" s="128">
        <f t="shared" si="163"/>
        <v>3357.0796894013956</v>
      </c>
      <c r="AN49" s="128">
        <f t="shared" si="163"/>
        <v>3318.1405553316827</v>
      </c>
      <c r="AO49" s="128">
        <f t="shared" si="163"/>
        <v>3276.8601979290652</v>
      </c>
      <c r="AP49" s="128">
        <f t="shared" si="163"/>
        <v>3235.2287287516119</v>
      </c>
      <c r="AQ49" s="128">
        <f t="shared" si="163"/>
        <v>3191.399290667373</v>
      </c>
      <c r="AR49" s="128">
        <f t="shared" si="163"/>
        <v>3147.956508102362</v>
      </c>
      <c r="AS49" s="128">
        <f t="shared" si="163"/>
        <v>3109.4014731188163</v>
      </c>
      <c r="AT49" s="128">
        <f t="shared" si="163"/>
        <v>3072.3581656920824</v>
      </c>
      <c r="AU49" s="128">
        <f t="shared" si="163"/>
        <v>3036.4104137882669</v>
      </c>
      <c r="AV49" s="128">
        <f t="shared" ref="AV49:AX49" si="164">+AV47+AV48</f>
        <v>3005.0729941718555</v>
      </c>
      <c r="AW49" s="128">
        <f t="shared" si="164"/>
        <v>2981.2298057304042</v>
      </c>
      <c r="AX49" s="128">
        <f t="shared" si="164"/>
        <v>2966.9572325806375</v>
      </c>
    </row>
    <row r="50" spans="1:50">
      <c r="A50" s="106" t="s">
        <v>25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10">
        <f>+P44</f>
        <v>717.75042969705055</v>
      </c>
      <c r="Q50" s="110">
        <f t="shared" ref="Q50:U50" si="165">+Q44</f>
        <v>863.89858639117381</v>
      </c>
      <c r="R50" s="110">
        <f t="shared" si="165"/>
        <v>1025.4704385823072</v>
      </c>
      <c r="S50" s="110">
        <f t="shared" si="165"/>
        <v>1230.6175652617096</v>
      </c>
      <c r="T50" s="110">
        <f t="shared" si="165"/>
        <v>1442.7506977151154</v>
      </c>
      <c r="U50" s="110">
        <f t="shared" si="165"/>
        <v>1650.81173045214</v>
      </c>
      <c r="V50" s="110">
        <f t="shared" ref="V50:AU50" si="166">+V44</f>
        <v>1715.2124429917922</v>
      </c>
      <c r="W50" s="110">
        <f t="shared" si="166"/>
        <v>1718.623352403215</v>
      </c>
      <c r="X50" s="110">
        <f t="shared" si="166"/>
        <v>1711.1255635826537</v>
      </c>
      <c r="Y50" s="110">
        <f t="shared" si="166"/>
        <v>1697.8186121973015</v>
      </c>
      <c r="Z50" s="110">
        <f t="shared" si="166"/>
        <v>1681.0235756165962</v>
      </c>
      <c r="AA50" s="110">
        <f t="shared" si="166"/>
        <v>1662.620830436724</v>
      </c>
      <c r="AB50" s="110">
        <f t="shared" si="166"/>
        <v>1646.1957867870169</v>
      </c>
      <c r="AC50" s="110">
        <f t="shared" si="166"/>
        <v>1634.2872067116043</v>
      </c>
      <c r="AD50" s="110">
        <f t="shared" si="166"/>
        <v>1625.6973512068159</v>
      </c>
      <c r="AE50" s="110">
        <f t="shared" si="166"/>
        <v>1619.1258300904055</v>
      </c>
      <c r="AF50" s="110">
        <f t="shared" si="166"/>
        <v>1620.4024220338142</v>
      </c>
      <c r="AG50" s="110">
        <f t="shared" si="166"/>
        <v>1619.5382143424456</v>
      </c>
      <c r="AH50" s="110">
        <f t="shared" si="166"/>
        <v>1609.8068684341702</v>
      </c>
      <c r="AI50" s="110">
        <f t="shared" si="166"/>
        <v>1598.5156682947272</v>
      </c>
      <c r="AJ50" s="110">
        <f t="shared" si="166"/>
        <v>1584.3917298084809</v>
      </c>
      <c r="AK50" s="110">
        <f t="shared" si="166"/>
        <v>1568.4830306690064</v>
      </c>
      <c r="AL50" s="110">
        <f t="shared" si="166"/>
        <v>1550.717412300665</v>
      </c>
      <c r="AM50" s="110">
        <f t="shared" si="166"/>
        <v>1532.8668824943366</v>
      </c>
      <c r="AN50" s="110">
        <f t="shared" si="166"/>
        <v>1514.7624501696828</v>
      </c>
      <c r="AO50" s="110">
        <f t="shared" si="166"/>
        <v>1495.9156837677265</v>
      </c>
      <c r="AP50" s="110">
        <f t="shared" si="166"/>
        <v>1476.7098411015336</v>
      </c>
      <c r="AQ50" s="110">
        <f t="shared" si="166"/>
        <v>1456.4662031537589</v>
      </c>
      <c r="AR50" s="110">
        <f t="shared" si="166"/>
        <v>1437.0738863782353</v>
      </c>
      <c r="AS50" s="110">
        <f t="shared" si="166"/>
        <v>1419.6089798641653</v>
      </c>
      <c r="AT50" s="110">
        <f t="shared" si="166"/>
        <v>1402.6668076963003</v>
      </c>
      <c r="AU50" s="110">
        <f t="shared" si="166"/>
        <v>1386.4705469912435</v>
      </c>
      <c r="AV50" s="110">
        <f t="shared" ref="AV50:AX50" si="167">+AV44</f>
        <v>1372.7147288314943</v>
      </c>
      <c r="AW50" s="110">
        <f t="shared" si="167"/>
        <v>1362.3942734909804</v>
      </c>
      <c r="AX50" s="110">
        <f t="shared" si="167"/>
        <v>1356.9273780000301</v>
      </c>
    </row>
    <row r="51" spans="1:50">
      <c r="A51" s="107" t="s">
        <v>215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29">
        <f>+P49/P50</f>
        <v>3.5381622062845999</v>
      </c>
      <c r="Q51" s="129">
        <f t="shared" ref="Q51:U51" si="168">+Q49/Q50</f>
        <v>2.6382303794911981</v>
      </c>
      <c r="R51" s="129">
        <f t="shared" si="168"/>
        <v>2.2651839323301326</v>
      </c>
      <c r="S51" s="129">
        <f t="shared" si="168"/>
        <v>2.3279824664250821</v>
      </c>
      <c r="T51" s="129">
        <f t="shared" si="168"/>
        <v>2.2507385962117463</v>
      </c>
      <c r="U51" s="129">
        <f t="shared" si="168"/>
        <v>2.1594109371029475</v>
      </c>
      <c r="V51" s="129">
        <f t="shared" ref="V51:AU51" si="169">+V49/V50</f>
        <v>2.1834664365765928</v>
      </c>
      <c r="W51" s="129">
        <f t="shared" si="169"/>
        <v>2.1868244795589269</v>
      </c>
      <c r="X51" s="129">
        <f t="shared" si="169"/>
        <v>2.1881977026570443</v>
      </c>
      <c r="Y51" s="129">
        <f t="shared" si="169"/>
        <v>2.1893783578422723</v>
      </c>
      <c r="Z51" s="129">
        <f t="shared" si="169"/>
        <v>2.1897809177152197</v>
      </c>
      <c r="AA51" s="129">
        <f t="shared" si="169"/>
        <v>2.1901708139635208</v>
      </c>
      <c r="AB51" s="129">
        <f t="shared" si="169"/>
        <v>2.1889704043178022</v>
      </c>
      <c r="AC51" s="129">
        <f t="shared" si="169"/>
        <v>2.1881916308334652</v>
      </c>
      <c r="AD51" s="129">
        <f t="shared" si="169"/>
        <v>2.1874926718317216</v>
      </c>
      <c r="AE51" s="129">
        <f t="shared" si="169"/>
        <v>2.1872869756589099</v>
      </c>
      <c r="AF51" s="129">
        <f t="shared" si="169"/>
        <v>2.1838991155619607</v>
      </c>
      <c r="AG51" s="129">
        <f t="shared" si="169"/>
        <v>2.1882688203100193</v>
      </c>
      <c r="AH51" s="129">
        <f t="shared" si="169"/>
        <v>2.1879788937918199</v>
      </c>
      <c r="AI51" s="129">
        <f t="shared" si="169"/>
        <v>2.1890252425973733</v>
      </c>
      <c r="AJ51" s="129">
        <f t="shared" si="169"/>
        <v>2.1893409731546649</v>
      </c>
      <c r="AK51" s="129">
        <f t="shared" si="169"/>
        <v>2.1899308709650946</v>
      </c>
      <c r="AL51" s="129">
        <f t="shared" si="169"/>
        <v>2.1903057827156616</v>
      </c>
      <c r="AM51" s="129">
        <f t="shared" si="169"/>
        <v>2.1900660310037057</v>
      </c>
      <c r="AN51" s="129">
        <f t="shared" si="169"/>
        <v>2.1905352584888718</v>
      </c>
      <c r="AO51" s="129">
        <f t="shared" si="169"/>
        <v>2.19053803198033</v>
      </c>
      <c r="AP51" s="129">
        <f t="shared" si="169"/>
        <v>2.1908357611664138</v>
      </c>
      <c r="AQ51" s="129">
        <f t="shared" si="169"/>
        <v>2.1911935091640831</v>
      </c>
      <c r="AR51" s="129">
        <f t="shared" si="169"/>
        <v>2.1905321208194479</v>
      </c>
      <c r="AS51" s="129">
        <f t="shared" si="169"/>
        <v>2.1903224882504886</v>
      </c>
      <c r="AT51" s="129">
        <f t="shared" si="169"/>
        <v>2.1903691944760819</v>
      </c>
      <c r="AU51" s="129">
        <f t="shared" si="169"/>
        <v>2.1900287895603192</v>
      </c>
      <c r="AV51" s="129">
        <f t="shared" ref="AV51:AX51" si="170">+AV49/AV50</f>
        <v>2.1891460265235771</v>
      </c>
      <c r="AW51" s="129">
        <f t="shared" si="170"/>
        <v>2.1882283739283062</v>
      </c>
      <c r="AX51" s="129">
        <f t="shared" si="170"/>
        <v>2.1865261772178437</v>
      </c>
    </row>
    <row r="52" spans="1:50">
      <c r="A52" s="1"/>
      <c r="B52" s="71"/>
      <c r="C52" s="71"/>
      <c r="D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</row>
    <row r="53" spans="1:50">
      <c r="A53" s="1" t="s">
        <v>91</v>
      </c>
      <c r="B53" s="71"/>
      <c r="C53" s="71"/>
      <c r="D53" s="72"/>
      <c r="F53" s="72"/>
      <c r="G53" s="72"/>
      <c r="H53" s="72"/>
      <c r="I53" s="72"/>
      <c r="J53" s="72"/>
      <c r="K53" s="72"/>
      <c r="L53" s="72"/>
      <c r="P53" s="52">
        <f t="shared" ref="P53:U53" si="171">+P31</f>
        <v>2886.8236695588475</v>
      </c>
      <c r="Q53" s="52">
        <f t="shared" si="171"/>
        <v>2747.1151369351965</v>
      </c>
      <c r="R53" s="52">
        <f t="shared" si="171"/>
        <v>2918.2233216305849</v>
      </c>
      <c r="S53" s="52">
        <f t="shared" si="171"/>
        <v>3020.7895911379919</v>
      </c>
      <c r="T53" s="52">
        <f t="shared" si="171"/>
        <v>3127.8115190339095</v>
      </c>
      <c r="U53" s="52">
        <f t="shared" si="171"/>
        <v>3174.9308024727188</v>
      </c>
      <c r="V53" s="52">
        <f t="shared" ref="V53:AU53" si="172">+V31</f>
        <v>3445.4273577226968</v>
      </c>
      <c r="W53" s="52">
        <f t="shared" si="172"/>
        <v>3658.968723336794</v>
      </c>
      <c r="X53" s="52">
        <f t="shared" si="172"/>
        <v>3805.2832130448041</v>
      </c>
      <c r="Y53" s="52">
        <f t="shared" si="172"/>
        <v>3908.9861314493337</v>
      </c>
      <c r="Z53" s="52">
        <f t="shared" si="172"/>
        <v>3950.812361957554</v>
      </c>
      <c r="AA53" s="52">
        <f t="shared" si="172"/>
        <v>3998.9547574635544</v>
      </c>
      <c r="AB53" s="52">
        <f t="shared" si="172"/>
        <v>3813.8653488654945</v>
      </c>
      <c r="AC53" s="52">
        <f t="shared" si="172"/>
        <v>3806.3523705741627</v>
      </c>
      <c r="AD53" s="52">
        <f t="shared" si="172"/>
        <v>3804.9104438229069</v>
      </c>
      <c r="AE53" s="52">
        <f t="shared" si="172"/>
        <v>3838.083415095185</v>
      </c>
      <c r="AF53" s="52">
        <f t="shared" si="172"/>
        <v>3916.9882231788743</v>
      </c>
      <c r="AG53" s="52">
        <f t="shared" si="172"/>
        <v>3999.4353603665159</v>
      </c>
      <c r="AH53" s="52">
        <f t="shared" si="172"/>
        <v>4065.8056196382281</v>
      </c>
      <c r="AI53" s="52">
        <f t="shared" si="172"/>
        <v>4123.0994674142212</v>
      </c>
      <c r="AJ53" s="52">
        <f t="shared" si="172"/>
        <v>4147.6865019984025</v>
      </c>
      <c r="AK53" s="52">
        <f t="shared" si="172"/>
        <v>4190.0311799047076</v>
      </c>
      <c r="AL53" s="52">
        <f t="shared" si="172"/>
        <v>4212.4706713486994</v>
      </c>
      <c r="AM53" s="52">
        <f t="shared" si="172"/>
        <v>4244.3949133160222</v>
      </c>
      <c r="AN53" s="52">
        <f t="shared" si="172"/>
        <v>4249.9124529399369</v>
      </c>
      <c r="AO53" s="52">
        <f t="shared" si="172"/>
        <v>4278.3879263541266</v>
      </c>
      <c r="AP53" s="52">
        <f t="shared" si="172"/>
        <v>4247.142639937465</v>
      </c>
      <c r="AQ53" s="52">
        <f t="shared" si="172"/>
        <v>4220.9265722673472</v>
      </c>
      <c r="AR53" s="52">
        <f t="shared" si="172"/>
        <v>4186.8300737791778</v>
      </c>
      <c r="AS53" s="52">
        <f t="shared" si="172"/>
        <v>4164.6903035235409</v>
      </c>
      <c r="AT53" s="52">
        <f t="shared" si="172"/>
        <v>4107.5163356607763</v>
      </c>
      <c r="AU53" s="52">
        <f t="shared" si="172"/>
        <v>4053.5982325235627</v>
      </c>
      <c r="AV53" s="52">
        <f t="shared" ref="AV53:AX53" si="173">+AV31</f>
        <v>3988.7972023543298</v>
      </c>
      <c r="AW53" s="52">
        <f t="shared" si="173"/>
        <v>3930.9234833878809</v>
      </c>
      <c r="AX53" s="52">
        <f t="shared" si="173"/>
        <v>3824.4402445015958</v>
      </c>
    </row>
    <row r="54" spans="1:50">
      <c r="A54" s="1" t="s">
        <v>27</v>
      </c>
      <c r="B54" s="71"/>
      <c r="C54" s="71"/>
      <c r="D54" s="72"/>
      <c r="F54" s="72"/>
      <c r="G54" s="72"/>
      <c r="H54" s="72"/>
      <c r="I54" s="72"/>
      <c r="J54" s="72"/>
      <c r="K54" s="72"/>
      <c r="L54" s="72"/>
      <c r="P54" s="52">
        <f t="shared" ref="P54:U54" si="174">+P23</f>
        <v>20684.450423546125</v>
      </c>
      <c r="Q54" s="52">
        <f t="shared" si="174"/>
        <v>22615.146240606642</v>
      </c>
      <c r="R54" s="52">
        <f t="shared" si="174"/>
        <v>24591.617232189623</v>
      </c>
      <c r="S54" s="52">
        <f t="shared" si="174"/>
        <v>27226.052328798887</v>
      </c>
      <c r="T54" s="52">
        <f t="shared" si="174"/>
        <v>29625.271000310378</v>
      </c>
      <c r="U54" s="52">
        <f t="shared" si="174"/>
        <v>31624.745794102299</v>
      </c>
      <c r="V54" s="52">
        <f t="shared" ref="V54:AU54" si="175">+V23</f>
        <v>32858.475919382996</v>
      </c>
      <c r="W54" s="52">
        <f t="shared" si="175"/>
        <v>32923.819011555846</v>
      </c>
      <c r="X54" s="52">
        <f t="shared" si="175"/>
        <v>32780.183210395669</v>
      </c>
      <c r="Y54" s="52">
        <f t="shared" si="175"/>
        <v>32525.260770063251</v>
      </c>
      <c r="Z54" s="52">
        <f t="shared" si="175"/>
        <v>32203.516774264295</v>
      </c>
      <c r="AA54" s="52">
        <f t="shared" si="175"/>
        <v>31850.973763155635</v>
      </c>
      <c r="AB54" s="52">
        <f t="shared" si="175"/>
        <v>31536.317754540556</v>
      </c>
      <c r="AC54" s="52">
        <f t="shared" si="175"/>
        <v>31308.184036620776</v>
      </c>
      <c r="AD54" s="52">
        <f t="shared" si="175"/>
        <v>31143.627417755099</v>
      </c>
      <c r="AE54" s="52">
        <f t="shared" si="175"/>
        <v>31017.736208628459</v>
      </c>
      <c r="AF54" s="52">
        <f t="shared" si="175"/>
        <v>31042.19199298495</v>
      </c>
      <c r="AG54" s="52">
        <f t="shared" si="175"/>
        <v>31025.636290085167</v>
      </c>
      <c r="AH54" s="52">
        <f t="shared" si="175"/>
        <v>30839.212038968781</v>
      </c>
      <c r="AI54" s="52">
        <f t="shared" si="175"/>
        <v>30622.905522887497</v>
      </c>
      <c r="AJ54" s="52">
        <f t="shared" si="175"/>
        <v>30352.331988668218</v>
      </c>
      <c r="AK54" s="52">
        <f t="shared" si="175"/>
        <v>30047.567637337292</v>
      </c>
      <c r="AL54" s="52">
        <f t="shared" si="175"/>
        <v>29707.230120702396</v>
      </c>
      <c r="AM54" s="52">
        <f t="shared" si="175"/>
        <v>29365.265948167369</v>
      </c>
      <c r="AN54" s="52">
        <f t="shared" si="175"/>
        <v>29018.437742714232</v>
      </c>
      <c r="AO54" s="52">
        <f t="shared" si="175"/>
        <v>28657.388577925798</v>
      </c>
      <c r="AP54" s="52">
        <f t="shared" si="175"/>
        <v>28289.460557500646</v>
      </c>
      <c r="AQ54" s="52">
        <f t="shared" si="175"/>
        <v>27901.651401413008</v>
      </c>
      <c r="AR54" s="52">
        <f t="shared" si="175"/>
        <v>27530.151080042826</v>
      </c>
      <c r="AS54" s="52">
        <f t="shared" si="175"/>
        <v>27195.574326899721</v>
      </c>
      <c r="AT54" s="52">
        <f t="shared" si="175"/>
        <v>26871.011641691581</v>
      </c>
      <c r="AU54" s="52">
        <f t="shared" si="175"/>
        <v>26560.738448108114</v>
      </c>
      <c r="AV54" s="52">
        <f t="shared" ref="AV54:AX54" si="176">+AV23</f>
        <v>26297.217027423263</v>
      </c>
      <c r="AW54" s="52">
        <f t="shared" si="176"/>
        <v>26099.507154999625</v>
      </c>
      <c r="AX54" s="52">
        <f t="shared" si="176"/>
        <v>25994.777356322418</v>
      </c>
    </row>
    <row r="55" spans="1:50">
      <c r="A55" s="98" t="s">
        <v>96</v>
      </c>
      <c r="B55" s="71"/>
      <c r="C55" s="71"/>
      <c r="D55" s="72"/>
      <c r="F55" s="72"/>
      <c r="G55" s="72"/>
      <c r="H55" s="72"/>
      <c r="I55" s="72"/>
      <c r="J55" s="72"/>
      <c r="K55" s="72"/>
      <c r="L55" s="72"/>
      <c r="M55" s="73"/>
      <c r="N55" s="73"/>
      <c r="O55" s="73"/>
      <c r="P55" s="130">
        <f t="shared" ref="P55:U55" si="177">+P53/P54</f>
        <v>0.13956492004605714</v>
      </c>
      <c r="Q55" s="130">
        <f t="shared" si="177"/>
        <v>0.12147235784850297</v>
      </c>
      <c r="R55" s="130">
        <f t="shared" si="177"/>
        <v>0.11866740174414905</v>
      </c>
      <c r="S55" s="130">
        <f t="shared" si="177"/>
        <v>0.1109521701735177</v>
      </c>
      <c r="T55" s="130">
        <f t="shared" si="177"/>
        <v>0.10557916985809648</v>
      </c>
      <c r="U55" s="130">
        <f t="shared" si="177"/>
        <v>0.10039387583203316</v>
      </c>
      <c r="V55" s="130">
        <f t="shared" ref="V55:AU55" si="178">+V53/V54</f>
        <v>0.10485657844191922</v>
      </c>
      <c r="W55" s="130">
        <f t="shared" si="178"/>
        <v>0.11113439549805999</v>
      </c>
      <c r="X55" s="130">
        <f t="shared" si="178"/>
        <v>0.11608486714735701</v>
      </c>
      <c r="Y55" s="130">
        <f t="shared" si="178"/>
        <v>0.12018308351419044</v>
      </c>
      <c r="Z55" s="130">
        <f t="shared" si="178"/>
        <v>0.1226826371061088</v>
      </c>
      <c r="AA55" s="130">
        <f t="shared" si="178"/>
        <v>0.1255520408010081</v>
      </c>
      <c r="AB55" s="130">
        <f t="shared" si="178"/>
        <v>0.12093565832733846</v>
      </c>
      <c r="AC55" s="130">
        <f t="shared" si="178"/>
        <v>0.12157691312028579</v>
      </c>
      <c r="AD55" s="130">
        <f t="shared" si="178"/>
        <v>0.12217300164764086</v>
      </c>
      <c r="AE55" s="130">
        <f t="shared" si="178"/>
        <v>0.12373834728878486</v>
      </c>
      <c r="AF55" s="130">
        <f t="shared" si="178"/>
        <v>0.12618272008832535</v>
      </c>
      <c r="AG55" s="130">
        <f t="shared" si="178"/>
        <v>0.12890744038163729</v>
      </c>
      <c r="AH55" s="130">
        <f t="shared" si="178"/>
        <v>0.13183882955571724</v>
      </c>
      <c r="AI55" s="130">
        <f t="shared" si="178"/>
        <v>0.13464102759069108</v>
      </c>
      <c r="AJ55" s="130">
        <f t="shared" si="178"/>
        <v>0.13665132891755749</v>
      </c>
      <c r="AK55" s="130">
        <f t="shared" si="178"/>
        <v>0.1394466011517734</v>
      </c>
      <c r="AL55" s="130">
        <f t="shared" si="178"/>
        <v>0.14179950989146947</v>
      </c>
      <c r="AM55" s="130">
        <f t="shared" si="178"/>
        <v>0.14453793542370102</v>
      </c>
      <c r="AN55" s="130">
        <f t="shared" si="178"/>
        <v>0.14645559111833917</v>
      </c>
      <c r="AO55" s="130">
        <f t="shared" si="178"/>
        <v>0.14929441022583897</v>
      </c>
      <c r="AP55" s="130">
        <f t="shared" si="178"/>
        <v>0.15013162344700068</v>
      </c>
      <c r="AQ55" s="130">
        <f t="shared" si="178"/>
        <v>0.15127873657161342</v>
      </c>
      <c r="AR55" s="130">
        <f t="shared" si="178"/>
        <v>0.15208162358448868</v>
      </c>
      <c r="AS55" s="130">
        <f t="shared" si="178"/>
        <v>0.15313853105150851</v>
      </c>
      <c r="AT55" s="130">
        <f t="shared" si="178"/>
        <v>0.15286050225544096</v>
      </c>
      <c r="AU55" s="130">
        <f t="shared" si="178"/>
        <v>0.15261617219126283</v>
      </c>
      <c r="AV55" s="130">
        <f t="shared" ref="AV55:AX55" si="179">+AV53/AV54</f>
        <v>0.15168134324612115</v>
      </c>
      <c r="AW55" s="130">
        <f t="shared" si="179"/>
        <v>0.1506129391655916</v>
      </c>
      <c r="AX55" s="130">
        <f t="shared" si="179"/>
        <v>0.14712340837077492</v>
      </c>
    </row>
    <row r="56" spans="1:50">
      <c r="A56" s="1"/>
      <c r="B56" s="71"/>
      <c r="C56" s="71"/>
      <c r="D56" s="72"/>
      <c r="F56" s="72"/>
      <c r="G56" s="72"/>
      <c r="H56" s="72"/>
      <c r="I56" s="72"/>
      <c r="J56" s="72"/>
      <c r="K56" s="72"/>
      <c r="L56" s="72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</row>
    <row r="57" spans="1:50">
      <c r="A57" s="1" t="s">
        <v>95</v>
      </c>
      <c r="B57" s="71"/>
      <c r="C57" s="71"/>
      <c r="D57" s="72"/>
      <c r="F57" s="72"/>
      <c r="G57" s="72"/>
      <c r="H57" s="72"/>
      <c r="I57" s="72"/>
      <c r="J57" s="72"/>
      <c r="K57" s="72"/>
      <c r="L57" s="72"/>
      <c r="P57" s="52">
        <f t="shared" ref="P57:U57" si="180">+P54</f>
        <v>20684.450423546125</v>
      </c>
      <c r="Q57" s="52">
        <f t="shared" si="180"/>
        <v>22615.146240606642</v>
      </c>
      <c r="R57" s="52">
        <f t="shared" si="180"/>
        <v>24591.617232189623</v>
      </c>
      <c r="S57" s="52">
        <f t="shared" si="180"/>
        <v>27226.052328798887</v>
      </c>
      <c r="T57" s="52">
        <f t="shared" si="180"/>
        <v>29625.271000310378</v>
      </c>
      <c r="U57" s="52">
        <f t="shared" si="180"/>
        <v>31624.745794102299</v>
      </c>
      <c r="V57" s="52">
        <f t="shared" ref="V57:AU57" si="181">+V54</f>
        <v>32858.475919382996</v>
      </c>
      <c r="W57" s="52">
        <f t="shared" si="181"/>
        <v>32923.819011555846</v>
      </c>
      <c r="X57" s="52">
        <f t="shared" si="181"/>
        <v>32780.183210395669</v>
      </c>
      <c r="Y57" s="52">
        <f t="shared" si="181"/>
        <v>32525.260770063251</v>
      </c>
      <c r="Z57" s="52">
        <f t="shared" si="181"/>
        <v>32203.516774264295</v>
      </c>
      <c r="AA57" s="52">
        <f t="shared" si="181"/>
        <v>31850.973763155635</v>
      </c>
      <c r="AB57" s="52">
        <f t="shared" si="181"/>
        <v>31536.317754540556</v>
      </c>
      <c r="AC57" s="52">
        <f t="shared" si="181"/>
        <v>31308.184036620776</v>
      </c>
      <c r="AD57" s="52">
        <f t="shared" si="181"/>
        <v>31143.627417755099</v>
      </c>
      <c r="AE57" s="52">
        <f t="shared" si="181"/>
        <v>31017.736208628459</v>
      </c>
      <c r="AF57" s="52">
        <f t="shared" si="181"/>
        <v>31042.19199298495</v>
      </c>
      <c r="AG57" s="52">
        <f t="shared" si="181"/>
        <v>31025.636290085167</v>
      </c>
      <c r="AH57" s="52">
        <f t="shared" si="181"/>
        <v>30839.212038968781</v>
      </c>
      <c r="AI57" s="52">
        <f t="shared" si="181"/>
        <v>30622.905522887497</v>
      </c>
      <c r="AJ57" s="52">
        <f t="shared" si="181"/>
        <v>30352.331988668218</v>
      </c>
      <c r="AK57" s="52">
        <f t="shared" si="181"/>
        <v>30047.567637337292</v>
      </c>
      <c r="AL57" s="52">
        <f t="shared" si="181"/>
        <v>29707.230120702396</v>
      </c>
      <c r="AM57" s="52">
        <f t="shared" si="181"/>
        <v>29365.265948167369</v>
      </c>
      <c r="AN57" s="52">
        <f t="shared" si="181"/>
        <v>29018.437742714232</v>
      </c>
      <c r="AO57" s="52">
        <f t="shared" si="181"/>
        <v>28657.388577925798</v>
      </c>
      <c r="AP57" s="52">
        <f t="shared" si="181"/>
        <v>28289.460557500646</v>
      </c>
      <c r="AQ57" s="52">
        <f t="shared" si="181"/>
        <v>27901.651401413008</v>
      </c>
      <c r="AR57" s="52">
        <f t="shared" si="181"/>
        <v>27530.151080042826</v>
      </c>
      <c r="AS57" s="52">
        <f t="shared" si="181"/>
        <v>27195.574326899721</v>
      </c>
      <c r="AT57" s="52">
        <f t="shared" si="181"/>
        <v>26871.011641691581</v>
      </c>
      <c r="AU57" s="52">
        <f t="shared" si="181"/>
        <v>26560.738448108114</v>
      </c>
      <c r="AV57" s="52">
        <f t="shared" ref="AV57:AX57" si="182">+AV54</f>
        <v>26297.217027423263</v>
      </c>
      <c r="AW57" s="52">
        <f t="shared" si="182"/>
        <v>26099.507154999625</v>
      </c>
      <c r="AX57" s="52">
        <f t="shared" si="182"/>
        <v>25994.777356322418</v>
      </c>
    </row>
    <row r="58" spans="1:50">
      <c r="A58" s="1" t="s">
        <v>97</v>
      </c>
      <c r="B58" s="71"/>
      <c r="C58" s="71"/>
      <c r="D58" s="72"/>
      <c r="F58" s="72"/>
      <c r="G58" s="72"/>
      <c r="H58" s="72"/>
      <c r="I58" s="72"/>
      <c r="J58" s="72"/>
      <c r="K58" s="72"/>
      <c r="L58" s="72"/>
      <c r="P58" s="52">
        <f t="shared" ref="P58:U58" si="183">+P21</f>
        <v>37608.091679174766</v>
      </c>
      <c r="Q58" s="52">
        <f t="shared" si="183"/>
        <v>41118.44771019389</v>
      </c>
      <c r="R58" s="52">
        <f t="shared" si="183"/>
        <v>44712.031331253856</v>
      </c>
      <c r="S58" s="52">
        <f t="shared" si="183"/>
        <v>49501.913325088884</v>
      </c>
      <c r="T58" s="52">
        <f t="shared" si="183"/>
        <v>53864.129091473413</v>
      </c>
      <c r="U58" s="52">
        <f t="shared" si="183"/>
        <v>57499.537807458721</v>
      </c>
      <c r="V58" s="52">
        <f t="shared" ref="V58:AU58" si="184">+V21</f>
        <v>59742.683489787261</v>
      </c>
      <c r="W58" s="52">
        <f t="shared" si="184"/>
        <v>59861.489111919713</v>
      </c>
      <c r="X58" s="52">
        <f t="shared" si="184"/>
        <v>59600.333109810308</v>
      </c>
      <c r="Y58" s="52">
        <f t="shared" si="184"/>
        <v>59136.837763751362</v>
      </c>
      <c r="Z58" s="52">
        <f t="shared" si="184"/>
        <v>58551.848680480529</v>
      </c>
      <c r="AA58" s="52">
        <f t="shared" si="184"/>
        <v>57910.861387555691</v>
      </c>
      <c r="AB58" s="52">
        <f t="shared" si="184"/>
        <v>57338.759553710101</v>
      </c>
      <c r="AC58" s="52">
        <f t="shared" si="184"/>
        <v>56923.970975674136</v>
      </c>
      <c r="AD58" s="52">
        <f t="shared" si="184"/>
        <v>56624.777123191081</v>
      </c>
      <c r="AE58" s="52">
        <f t="shared" si="184"/>
        <v>56395.884015688105</v>
      </c>
      <c r="AF58" s="52">
        <f t="shared" si="184"/>
        <v>56440.349078154453</v>
      </c>
      <c r="AG58" s="52">
        <f t="shared" si="184"/>
        <v>56410.247800154844</v>
      </c>
      <c r="AH58" s="52">
        <f t="shared" si="184"/>
        <v>56071.29461630687</v>
      </c>
      <c r="AI58" s="52">
        <f t="shared" si="184"/>
        <v>55678.010041613627</v>
      </c>
      <c r="AJ58" s="52">
        <f t="shared" si="184"/>
        <v>55186.05816121494</v>
      </c>
      <c r="AK58" s="52">
        <f t="shared" si="184"/>
        <v>54631.941158795074</v>
      </c>
      <c r="AL58" s="52">
        <f t="shared" si="184"/>
        <v>54013.14567400435</v>
      </c>
      <c r="AM58" s="52">
        <f t="shared" si="184"/>
        <v>53391.392633031573</v>
      </c>
      <c r="AN58" s="52">
        <f t="shared" si="184"/>
        <v>52760.79589584405</v>
      </c>
      <c r="AO58" s="52">
        <f t="shared" si="184"/>
        <v>52104.342868955995</v>
      </c>
      <c r="AP58" s="52">
        <f t="shared" si="184"/>
        <v>51435.382831819355</v>
      </c>
      <c r="AQ58" s="52">
        <f t="shared" si="184"/>
        <v>50730.275275296372</v>
      </c>
      <c r="AR58" s="52">
        <f t="shared" si="184"/>
        <v>50054.820145532409</v>
      </c>
      <c r="AS58" s="52">
        <f t="shared" si="184"/>
        <v>49446.49877618131</v>
      </c>
      <c r="AT58" s="52">
        <f t="shared" si="184"/>
        <v>48856.384803075598</v>
      </c>
      <c r="AU58" s="52">
        <f t="shared" si="184"/>
        <v>48292.251723832931</v>
      </c>
      <c r="AV58" s="52">
        <f t="shared" ref="AV58:AX58" si="185">+AV21</f>
        <v>47813.12186804229</v>
      </c>
      <c r="AW58" s="52">
        <f t="shared" si="185"/>
        <v>47453.649372726584</v>
      </c>
      <c r="AX58" s="52">
        <f t="shared" si="185"/>
        <v>47263.231556949846</v>
      </c>
    </row>
    <row r="59" spans="1:50">
      <c r="A59" s="98" t="s">
        <v>98</v>
      </c>
      <c r="B59" s="71"/>
      <c r="C59" s="71"/>
      <c r="D59" s="72"/>
      <c r="F59" s="72"/>
      <c r="G59" s="72"/>
      <c r="H59" s="72"/>
      <c r="I59" s="72"/>
      <c r="J59" s="72"/>
      <c r="K59" s="72"/>
      <c r="L59" s="72"/>
      <c r="M59" s="73"/>
      <c r="N59" s="73"/>
      <c r="O59" s="73"/>
      <c r="P59" s="130">
        <f t="shared" ref="P59:U59" si="186">+P57/P58</f>
        <v>0.55000000000000004</v>
      </c>
      <c r="Q59" s="130">
        <f t="shared" si="186"/>
        <v>0.55000000000000004</v>
      </c>
      <c r="R59" s="130">
        <f t="shared" si="186"/>
        <v>0.55000000000000004</v>
      </c>
      <c r="S59" s="130">
        <f t="shared" si="186"/>
        <v>0.55000000000000004</v>
      </c>
      <c r="T59" s="130">
        <f t="shared" si="186"/>
        <v>0.55000000000000004</v>
      </c>
      <c r="U59" s="130">
        <f t="shared" si="186"/>
        <v>0.55000000000000004</v>
      </c>
      <c r="V59" s="130">
        <f t="shared" ref="V59:AU59" si="187">+V57/V58</f>
        <v>0.55000000000000004</v>
      </c>
      <c r="W59" s="130">
        <f t="shared" si="187"/>
        <v>0.55000000000000004</v>
      </c>
      <c r="X59" s="130">
        <f t="shared" si="187"/>
        <v>0.55000000000000004</v>
      </c>
      <c r="Y59" s="130">
        <f t="shared" si="187"/>
        <v>0.55000000000000004</v>
      </c>
      <c r="Z59" s="130">
        <f t="shared" si="187"/>
        <v>0.55000000000000004</v>
      </c>
      <c r="AA59" s="130">
        <f t="shared" si="187"/>
        <v>0.55000000000000004</v>
      </c>
      <c r="AB59" s="130">
        <f t="shared" si="187"/>
        <v>0.55000000000000004</v>
      </c>
      <c r="AC59" s="130">
        <f t="shared" si="187"/>
        <v>0.55000000000000004</v>
      </c>
      <c r="AD59" s="130">
        <f t="shared" si="187"/>
        <v>0.55000000000000004</v>
      </c>
      <c r="AE59" s="130">
        <f t="shared" si="187"/>
        <v>0.55000000000000004</v>
      </c>
      <c r="AF59" s="130">
        <f t="shared" si="187"/>
        <v>0.55000000000000004</v>
      </c>
      <c r="AG59" s="130">
        <f t="shared" si="187"/>
        <v>0.55000000000000004</v>
      </c>
      <c r="AH59" s="130">
        <f t="shared" si="187"/>
        <v>0.55000000000000004</v>
      </c>
      <c r="AI59" s="130">
        <f t="shared" si="187"/>
        <v>0.55000000000000004</v>
      </c>
      <c r="AJ59" s="130">
        <f t="shared" si="187"/>
        <v>0.55000000000000004</v>
      </c>
      <c r="AK59" s="130">
        <f t="shared" si="187"/>
        <v>0.55000000000000004</v>
      </c>
      <c r="AL59" s="130">
        <f t="shared" si="187"/>
        <v>0.55000000000000004</v>
      </c>
      <c r="AM59" s="130">
        <f t="shared" si="187"/>
        <v>0.55000000000000004</v>
      </c>
      <c r="AN59" s="130">
        <f t="shared" si="187"/>
        <v>0.55000000000000004</v>
      </c>
      <c r="AO59" s="130">
        <f t="shared" si="187"/>
        <v>0.55000000000000004</v>
      </c>
      <c r="AP59" s="130">
        <f t="shared" si="187"/>
        <v>0.55000000000000004</v>
      </c>
      <c r="AQ59" s="130">
        <f t="shared" si="187"/>
        <v>0.55000000000000004</v>
      </c>
      <c r="AR59" s="130">
        <f t="shared" si="187"/>
        <v>0.55000000000000004</v>
      </c>
      <c r="AS59" s="130">
        <f t="shared" si="187"/>
        <v>0.55000000000000004</v>
      </c>
      <c r="AT59" s="130">
        <f t="shared" si="187"/>
        <v>0.55000000000000004</v>
      </c>
      <c r="AU59" s="130">
        <f t="shared" si="187"/>
        <v>0.55000000000000004</v>
      </c>
      <c r="AV59" s="130">
        <f t="shared" ref="AV59:AX59" si="188">+AV57/AV58</f>
        <v>0.55000000000000004</v>
      </c>
      <c r="AW59" s="130">
        <f t="shared" si="188"/>
        <v>0.55000000000000004</v>
      </c>
      <c r="AX59" s="130">
        <f t="shared" si="188"/>
        <v>0.55000000000000004</v>
      </c>
    </row>
    <row r="60" spans="1:50">
      <c r="A60" s="1"/>
      <c r="B60" s="71"/>
      <c r="C60" s="71"/>
      <c r="D60" s="72"/>
      <c r="F60" s="72"/>
      <c r="G60" s="72"/>
      <c r="H60" s="72"/>
      <c r="I60" s="72"/>
      <c r="J60" s="72"/>
      <c r="K60" s="72"/>
      <c r="L60" s="72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</row>
    <row r="61" spans="1:50" s="95" customFormat="1">
      <c r="A61" s="98" t="s">
        <v>99</v>
      </c>
      <c r="B61" s="99"/>
      <c r="C61" s="99"/>
      <c r="D61" s="100"/>
      <c r="E61" s="97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>
        <f>+P1</f>
        <v>2023</v>
      </c>
      <c r="Q61" s="100">
        <f t="shared" ref="Q61:AX61" si="189">+Q1</f>
        <v>2024</v>
      </c>
      <c r="R61" s="100">
        <f t="shared" si="189"/>
        <v>2025</v>
      </c>
      <c r="S61" s="100">
        <f t="shared" si="189"/>
        <v>2026</v>
      </c>
      <c r="T61" s="100">
        <f t="shared" si="189"/>
        <v>2027</v>
      </c>
      <c r="U61" s="100">
        <f t="shared" si="189"/>
        <v>2028</v>
      </c>
      <c r="V61" s="100">
        <f t="shared" si="189"/>
        <v>2029</v>
      </c>
      <c r="W61" s="100">
        <f t="shared" si="189"/>
        <v>2030</v>
      </c>
      <c r="X61" s="100">
        <f t="shared" si="189"/>
        <v>2031</v>
      </c>
      <c r="Y61" s="100">
        <f t="shared" si="189"/>
        <v>2032</v>
      </c>
      <c r="Z61" s="100">
        <f t="shared" si="189"/>
        <v>2033</v>
      </c>
      <c r="AA61" s="100">
        <f t="shared" si="189"/>
        <v>2034</v>
      </c>
      <c r="AB61" s="100">
        <f t="shared" si="189"/>
        <v>2035</v>
      </c>
      <c r="AC61" s="100">
        <f t="shared" si="189"/>
        <v>2036</v>
      </c>
      <c r="AD61" s="100">
        <f t="shared" si="189"/>
        <v>2037</v>
      </c>
      <c r="AE61" s="100">
        <f t="shared" si="189"/>
        <v>2038</v>
      </c>
      <c r="AF61" s="100">
        <f t="shared" si="189"/>
        <v>2039</v>
      </c>
      <c r="AG61" s="100">
        <f t="shared" si="189"/>
        <v>2040</v>
      </c>
      <c r="AH61" s="100">
        <f t="shared" si="189"/>
        <v>2041</v>
      </c>
      <c r="AI61" s="100">
        <f t="shared" si="189"/>
        <v>2042</v>
      </c>
      <c r="AJ61" s="100">
        <f t="shared" si="189"/>
        <v>2043</v>
      </c>
      <c r="AK61" s="100">
        <f t="shared" si="189"/>
        <v>2044</v>
      </c>
      <c r="AL61" s="100">
        <f t="shared" si="189"/>
        <v>2045</v>
      </c>
      <c r="AM61" s="100">
        <f t="shared" si="189"/>
        <v>2046</v>
      </c>
      <c r="AN61" s="100">
        <f t="shared" si="189"/>
        <v>2047</v>
      </c>
      <c r="AO61" s="100">
        <f t="shared" si="189"/>
        <v>2048</v>
      </c>
      <c r="AP61" s="100">
        <f t="shared" si="189"/>
        <v>2049</v>
      </c>
      <c r="AQ61" s="100">
        <f t="shared" si="189"/>
        <v>2050</v>
      </c>
      <c r="AR61" s="100">
        <f t="shared" si="189"/>
        <v>2051</v>
      </c>
      <c r="AS61" s="100">
        <f t="shared" si="189"/>
        <v>2052</v>
      </c>
      <c r="AT61" s="100">
        <f t="shared" si="189"/>
        <v>2053</v>
      </c>
      <c r="AU61" s="100">
        <f t="shared" si="189"/>
        <v>2054</v>
      </c>
      <c r="AV61" s="100">
        <f t="shared" si="189"/>
        <v>2055</v>
      </c>
      <c r="AW61" s="100">
        <f t="shared" si="189"/>
        <v>2056</v>
      </c>
      <c r="AX61" s="100">
        <f t="shared" si="189"/>
        <v>2057</v>
      </c>
    </row>
    <row r="62" spans="1:50">
      <c r="A62" s="1" t="s">
        <v>93</v>
      </c>
      <c r="B62" s="71"/>
      <c r="C62" s="71"/>
      <c r="D62" s="72"/>
      <c r="F62" s="72"/>
      <c r="G62" s="72"/>
      <c r="H62" s="72"/>
      <c r="I62" s="72"/>
      <c r="J62" s="72"/>
      <c r="K62" s="72"/>
      <c r="L62" s="72"/>
      <c r="O62" s="142" t="str">
        <f>+A62</f>
        <v>FFO Interest Cover</v>
      </c>
      <c r="P62" s="127">
        <f t="shared" ref="P62:U62" si="190">+P37</f>
        <v>5.0220438053618768</v>
      </c>
      <c r="Q62" s="127">
        <f t="shared" si="190"/>
        <v>4.1799046557199731</v>
      </c>
      <c r="R62" s="127">
        <f t="shared" si="190"/>
        <v>3.845741049020361</v>
      </c>
      <c r="S62" s="127">
        <f t="shared" si="190"/>
        <v>3.4546940303875595</v>
      </c>
      <c r="T62" s="127">
        <f t="shared" si="190"/>
        <v>3.1679500997555747</v>
      </c>
      <c r="U62" s="127">
        <f t="shared" si="190"/>
        <v>2.9232543262841602</v>
      </c>
      <c r="V62" s="127">
        <f t="shared" ref="V62:AU62" si="191">+V37</f>
        <v>3.0087467134467287</v>
      </c>
      <c r="W62" s="127">
        <f t="shared" si="191"/>
        <v>3.1290114080088123</v>
      </c>
      <c r="X62" s="127">
        <f t="shared" si="191"/>
        <v>3.2238480296428551</v>
      </c>
      <c r="Y62" s="127">
        <f t="shared" si="191"/>
        <v>3.3023579217277863</v>
      </c>
      <c r="Z62" s="127">
        <f t="shared" si="191"/>
        <v>3.3502420901553411</v>
      </c>
      <c r="AA62" s="127">
        <f t="shared" si="191"/>
        <v>3.4052115095978563</v>
      </c>
      <c r="AB62" s="127">
        <f t="shared" si="191"/>
        <v>3.3167750637421163</v>
      </c>
      <c r="AC62" s="127">
        <f t="shared" si="191"/>
        <v>3.3290596383196513</v>
      </c>
      <c r="AD62" s="127">
        <f t="shared" si="191"/>
        <v>3.3404789587670667</v>
      </c>
      <c r="AE62" s="127">
        <f t="shared" si="191"/>
        <v>3.370466423156798</v>
      </c>
      <c r="AF62" s="127">
        <f t="shared" si="191"/>
        <v>3.4172934882820951</v>
      </c>
      <c r="AG62" s="127">
        <f t="shared" si="191"/>
        <v>3.4694911950505229</v>
      </c>
      <c r="AH62" s="127">
        <f t="shared" si="191"/>
        <v>3.5256480757800239</v>
      </c>
      <c r="AI62" s="127">
        <f t="shared" si="191"/>
        <v>3.5793300304730091</v>
      </c>
      <c r="AJ62" s="127">
        <f t="shared" si="191"/>
        <v>3.6178415501447794</v>
      </c>
      <c r="AK62" s="127">
        <f t="shared" si="191"/>
        <v>3.6713908266623259</v>
      </c>
      <c r="AL62" s="127">
        <f t="shared" si="191"/>
        <v>3.7164657067331319</v>
      </c>
      <c r="AM62" s="127">
        <f t="shared" si="191"/>
        <v>3.7689259659712842</v>
      </c>
      <c r="AN62" s="127">
        <f t="shared" si="191"/>
        <v>3.8056626651022833</v>
      </c>
      <c r="AO62" s="127">
        <f t="shared" si="191"/>
        <v>3.8600461729087931</v>
      </c>
      <c r="AP62" s="127">
        <f t="shared" si="191"/>
        <v>3.8760847403639982</v>
      </c>
      <c r="AQ62" s="127">
        <f t="shared" si="191"/>
        <v>3.8980600875788016</v>
      </c>
      <c r="AR62" s="127">
        <f t="shared" si="191"/>
        <v>3.9134410648369484</v>
      </c>
      <c r="AS62" s="127">
        <f t="shared" si="191"/>
        <v>3.9336883343200868</v>
      </c>
      <c r="AT62" s="127">
        <f t="shared" si="191"/>
        <v>3.9283621121731991</v>
      </c>
      <c r="AU62" s="127">
        <f t="shared" si="191"/>
        <v>3.9236814596027361</v>
      </c>
      <c r="AV62" s="127">
        <f t="shared" ref="AV62:AX62" si="192">+AV37</f>
        <v>3.905772859121095</v>
      </c>
      <c r="AW62" s="127">
        <f t="shared" si="192"/>
        <v>3.885305347999839</v>
      </c>
      <c r="AX62" s="127">
        <f t="shared" si="192"/>
        <v>3.8184560990569909</v>
      </c>
    </row>
    <row r="63" spans="1:50">
      <c r="A63" s="1" t="s">
        <v>23</v>
      </c>
      <c r="B63" s="71"/>
      <c r="C63" s="71"/>
      <c r="D63" s="72"/>
      <c r="F63" s="72"/>
      <c r="G63" s="72"/>
      <c r="H63" s="72"/>
      <c r="I63" s="72"/>
      <c r="J63" s="72"/>
      <c r="K63" s="72"/>
      <c r="L63" s="72"/>
      <c r="O63" s="142" t="str">
        <f t="shared" ref="O63:O66" si="193">+A63</f>
        <v>PMICR</v>
      </c>
      <c r="P63" s="127">
        <f t="shared" ref="P63:U63" si="194">+P45</f>
        <v>0.77944734296926932</v>
      </c>
      <c r="Q63" s="127">
        <f t="shared" si="194"/>
        <v>1.5947105330745057</v>
      </c>
      <c r="R63" s="127">
        <f t="shared" si="194"/>
        <v>1.8113394169825314</v>
      </c>
      <c r="S63" s="127">
        <f t="shared" si="194"/>
        <v>1.5344113903229271</v>
      </c>
      <c r="T63" s="127">
        <f t="shared" si="194"/>
        <v>1.4934369548511703</v>
      </c>
      <c r="U63" s="127">
        <f t="shared" si="194"/>
        <v>1.4573786561399324</v>
      </c>
      <c r="V63" s="127">
        <f t="shared" ref="V63:AU63" si="195">+V45</f>
        <v>1.4578667822205891</v>
      </c>
      <c r="W63" s="127">
        <f t="shared" si="195"/>
        <v>1.4579349224960092</v>
      </c>
      <c r="X63" s="127">
        <f t="shared" si="195"/>
        <v>1.457962787475892</v>
      </c>
      <c r="Y63" s="127">
        <f t="shared" si="195"/>
        <v>1.4579867449326391</v>
      </c>
      <c r="Z63" s="127">
        <f t="shared" si="195"/>
        <v>1.4579949135417802</v>
      </c>
      <c r="AA63" s="127">
        <f t="shared" si="195"/>
        <v>1.4580028251849244</v>
      </c>
      <c r="AB63" s="127">
        <f t="shared" si="195"/>
        <v>1.457978218493881</v>
      </c>
      <c r="AC63" s="127">
        <f t="shared" si="195"/>
        <v>1.4579626429502424</v>
      </c>
      <c r="AD63" s="127">
        <f t="shared" si="195"/>
        <v>1.4579484592910354</v>
      </c>
      <c r="AE63" s="127">
        <f t="shared" si="195"/>
        <v>1.4579442847528015</v>
      </c>
      <c r="AF63" s="127">
        <f t="shared" si="195"/>
        <v>1.4578755389337315</v>
      </c>
      <c r="AG63" s="127">
        <f t="shared" si="195"/>
        <v>1.4579642069514289</v>
      </c>
      <c r="AH63" s="127">
        <f t="shared" si="195"/>
        <v>1.4579583232219233</v>
      </c>
      <c r="AI63" s="127">
        <f t="shared" si="195"/>
        <v>1.4579795546895351</v>
      </c>
      <c r="AJ63" s="127">
        <f t="shared" si="195"/>
        <v>1.4579859606417274</v>
      </c>
      <c r="AK63" s="127">
        <f t="shared" si="195"/>
        <v>1.457997929829197</v>
      </c>
      <c r="AL63" s="127">
        <f t="shared" si="195"/>
        <v>1.4580055366034055</v>
      </c>
      <c r="AM63" s="127">
        <f t="shared" si="195"/>
        <v>1.4580006707885824</v>
      </c>
      <c r="AN63" s="127">
        <f t="shared" si="195"/>
        <v>1.4580101913132366</v>
      </c>
      <c r="AO63" s="127">
        <f t="shared" si="195"/>
        <v>1.4580102466437521</v>
      </c>
      <c r="AP63" s="127">
        <f t="shared" si="195"/>
        <v>1.4580162871426499</v>
      </c>
      <c r="AQ63" s="127">
        <f t="shared" si="195"/>
        <v>1.4580235454422545</v>
      </c>
      <c r="AR63" s="127">
        <f t="shared" si="195"/>
        <v>1.4580101237549135</v>
      </c>
      <c r="AS63" s="127">
        <f t="shared" si="195"/>
        <v>1.4580058689208126</v>
      </c>
      <c r="AT63" s="127">
        <f t="shared" si="195"/>
        <v>1.4580068156818273</v>
      </c>
      <c r="AU63" s="127">
        <f t="shared" si="195"/>
        <v>1.4579999072801673</v>
      </c>
      <c r="AV63" s="127">
        <f t="shared" ref="AV63:AX63" si="196">+AV45</f>
        <v>1.457981993569526</v>
      </c>
      <c r="AW63" s="127">
        <f t="shared" si="196"/>
        <v>1.4579633719278442</v>
      </c>
      <c r="AX63" s="127">
        <f t="shared" si="196"/>
        <v>1.4579288307770644</v>
      </c>
    </row>
    <row r="64" spans="1:50" s="111" customFormat="1">
      <c r="A64" s="106" t="s">
        <v>215</v>
      </c>
      <c r="B64" s="108"/>
      <c r="C64" s="108"/>
      <c r="D64" s="109"/>
      <c r="E64" s="93"/>
      <c r="F64" s="109"/>
      <c r="G64" s="109"/>
      <c r="H64" s="109"/>
      <c r="I64" s="109"/>
      <c r="J64" s="109"/>
      <c r="K64" s="109"/>
      <c r="L64" s="109"/>
      <c r="M64" s="110"/>
      <c r="N64" s="110"/>
      <c r="O64" s="142" t="str">
        <f t="shared" si="193"/>
        <v>Nominal PMICR</v>
      </c>
      <c r="P64" s="137">
        <f>+P51</f>
        <v>3.5381622062845999</v>
      </c>
      <c r="Q64" s="137">
        <f t="shared" ref="Q64:U64" si="197">+Q51</f>
        <v>2.6382303794911981</v>
      </c>
      <c r="R64" s="137">
        <f t="shared" si="197"/>
        <v>2.2651839323301326</v>
      </c>
      <c r="S64" s="137">
        <f t="shared" si="197"/>
        <v>2.3279824664250821</v>
      </c>
      <c r="T64" s="137">
        <f t="shared" si="197"/>
        <v>2.2507385962117463</v>
      </c>
      <c r="U64" s="137">
        <f t="shared" si="197"/>
        <v>2.1594109371029475</v>
      </c>
      <c r="V64" s="137">
        <f t="shared" ref="V64:AU64" si="198">+V51</f>
        <v>2.1834664365765928</v>
      </c>
      <c r="W64" s="137">
        <f t="shared" si="198"/>
        <v>2.1868244795589269</v>
      </c>
      <c r="X64" s="137">
        <f t="shared" si="198"/>
        <v>2.1881977026570443</v>
      </c>
      <c r="Y64" s="137">
        <f t="shared" si="198"/>
        <v>2.1893783578422723</v>
      </c>
      <c r="Z64" s="137">
        <f t="shared" si="198"/>
        <v>2.1897809177152197</v>
      </c>
      <c r="AA64" s="137">
        <f t="shared" si="198"/>
        <v>2.1901708139635208</v>
      </c>
      <c r="AB64" s="137">
        <f t="shared" si="198"/>
        <v>2.1889704043178022</v>
      </c>
      <c r="AC64" s="137">
        <f t="shared" si="198"/>
        <v>2.1881916308334652</v>
      </c>
      <c r="AD64" s="137">
        <f t="shared" si="198"/>
        <v>2.1874926718317216</v>
      </c>
      <c r="AE64" s="137">
        <f t="shared" si="198"/>
        <v>2.1872869756589099</v>
      </c>
      <c r="AF64" s="137">
        <f t="shared" si="198"/>
        <v>2.1838991155619607</v>
      </c>
      <c r="AG64" s="137">
        <f t="shared" si="198"/>
        <v>2.1882688203100193</v>
      </c>
      <c r="AH64" s="137">
        <f t="shared" si="198"/>
        <v>2.1879788937918199</v>
      </c>
      <c r="AI64" s="137">
        <f t="shared" si="198"/>
        <v>2.1890252425973733</v>
      </c>
      <c r="AJ64" s="137">
        <f t="shared" si="198"/>
        <v>2.1893409731546649</v>
      </c>
      <c r="AK64" s="137">
        <f t="shared" si="198"/>
        <v>2.1899308709650946</v>
      </c>
      <c r="AL64" s="137">
        <f t="shared" si="198"/>
        <v>2.1903057827156616</v>
      </c>
      <c r="AM64" s="137">
        <f t="shared" si="198"/>
        <v>2.1900660310037057</v>
      </c>
      <c r="AN64" s="137">
        <f t="shared" si="198"/>
        <v>2.1905352584888718</v>
      </c>
      <c r="AO64" s="137">
        <f t="shared" si="198"/>
        <v>2.19053803198033</v>
      </c>
      <c r="AP64" s="137">
        <f t="shared" si="198"/>
        <v>2.1908357611664138</v>
      </c>
      <c r="AQ64" s="137">
        <f t="shared" si="198"/>
        <v>2.1911935091640831</v>
      </c>
      <c r="AR64" s="137">
        <f t="shared" si="198"/>
        <v>2.1905321208194479</v>
      </c>
      <c r="AS64" s="137">
        <f t="shared" si="198"/>
        <v>2.1903224882504886</v>
      </c>
      <c r="AT64" s="137">
        <f t="shared" si="198"/>
        <v>2.1903691944760819</v>
      </c>
      <c r="AU64" s="137">
        <f t="shared" si="198"/>
        <v>2.1900287895603192</v>
      </c>
      <c r="AV64" s="137">
        <f t="shared" ref="AV64:AX64" si="199">+AV51</f>
        <v>2.1891460265235771</v>
      </c>
      <c r="AW64" s="137">
        <f t="shared" si="199"/>
        <v>2.1882283739283062</v>
      </c>
      <c r="AX64" s="137">
        <f t="shared" si="199"/>
        <v>2.1865261772178437</v>
      </c>
    </row>
    <row r="65" spans="1:50">
      <c r="A65" s="1" t="s">
        <v>96</v>
      </c>
      <c r="B65" s="71"/>
      <c r="C65" s="71"/>
      <c r="D65" s="72"/>
      <c r="F65" s="72"/>
      <c r="G65" s="72"/>
      <c r="H65" s="72"/>
      <c r="I65" s="72"/>
      <c r="J65" s="72"/>
      <c r="K65" s="72"/>
      <c r="L65" s="72"/>
      <c r="M65" s="73"/>
      <c r="N65" s="73"/>
      <c r="O65" s="142" t="str">
        <f t="shared" si="193"/>
        <v>FFO / Net Debt</v>
      </c>
      <c r="P65" s="131">
        <f t="shared" ref="P65:U65" si="200">+P55</f>
        <v>0.13956492004605714</v>
      </c>
      <c r="Q65" s="131">
        <f t="shared" si="200"/>
        <v>0.12147235784850297</v>
      </c>
      <c r="R65" s="131">
        <f t="shared" si="200"/>
        <v>0.11866740174414905</v>
      </c>
      <c r="S65" s="131">
        <f t="shared" si="200"/>
        <v>0.1109521701735177</v>
      </c>
      <c r="T65" s="131">
        <f t="shared" si="200"/>
        <v>0.10557916985809648</v>
      </c>
      <c r="U65" s="131">
        <f t="shared" si="200"/>
        <v>0.10039387583203316</v>
      </c>
      <c r="V65" s="131">
        <f t="shared" ref="V65:AU65" si="201">+V55</f>
        <v>0.10485657844191922</v>
      </c>
      <c r="W65" s="131">
        <f t="shared" si="201"/>
        <v>0.11113439549805999</v>
      </c>
      <c r="X65" s="131">
        <f t="shared" si="201"/>
        <v>0.11608486714735701</v>
      </c>
      <c r="Y65" s="131">
        <f t="shared" si="201"/>
        <v>0.12018308351419044</v>
      </c>
      <c r="Z65" s="131">
        <f t="shared" si="201"/>
        <v>0.1226826371061088</v>
      </c>
      <c r="AA65" s="131">
        <f t="shared" si="201"/>
        <v>0.1255520408010081</v>
      </c>
      <c r="AB65" s="131">
        <f t="shared" si="201"/>
        <v>0.12093565832733846</v>
      </c>
      <c r="AC65" s="131">
        <f t="shared" si="201"/>
        <v>0.12157691312028579</v>
      </c>
      <c r="AD65" s="131">
        <f t="shared" si="201"/>
        <v>0.12217300164764086</v>
      </c>
      <c r="AE65" s="131">
        <f t="shared" si="201"/>
        <v>0.12373834728878486</v>
      </c>
      <c r="AF65" s="131">
        <f t="shared" si="201"/>
        <v>0.12618272008832535</v>
      </c>
      <c r="AG65" s="131">
        <f t="shared" si="201"/>
        <v>0.12890744038163729</v>
      </c>
      <c r="AH65" s="131">
        <f t="shared" si="201"/>
        <v>0.13183882955571724</v>
      </c>
      <c r="AI65" s="131">
        <f t="shared" si="201"/>
        <v>0.13464102759069108</v>
      </c>
      <c r="AJ65" s="131">
        <f t="shared" si="201"/>
        <v>0.13665132891755749</v>
      </c>
      <c r="AK65" s="131">
        <f t="shared" si="201"/>
        <v>0.1394466011517734</v>
      </c>
      <c r="AL65" s="131">
        <f t="shared" si="201"/>
        <v>0.14179950989146947</v>
      </c>
      <c r="AM65" s="131">
        <f t="shared" si="201"/>
        <v>0.14453793542370102</v>
      </c>
      <c r="AN65" s="131">
        <f t="shared" si="201"/>
        <v>0.14645559111833917</v>
      </c>
      <c r="AO65" s="131">
        <f t="shared" si="201"/>
        <v>0.14929441022583897</v>
      </c>
      <c r="AP65" s="131">
        <f t="shared" si="201"/>
        <v>0.15013162344700068</v>
      </c>
      <c r="AQ65" s="131">
        <f t="shared" si="201"/>
        <v>0.15127873657161342</v>
      </c>
      <c r="AR65" s="131">
        <f t="shared" si="201"/>
        <v>0.15208162358448868</v>
      </c>
      <c r="AS65" s="131">
        <f t="shared" si="201"/>
        <v>0.15313853105150851</v>
      </c>
      <c r="AT65" s="131">
        <f t="shared" si="201"/>
        <v>0.15286050225544096</v>
      </c>
      <c r="AU65" s="131">
        <f t="shared" si="201"/>
        <v>0.15261617219126283</v>
      </c>
      <c r="AV65" s="131">
        <f t="shared" ref="AV65:AX65" si="202">+AV55</f>
        <v>0.15168134324612115</v>
      </c>
      <c r="AW65" s="131">
        <f t="shared" si="202"/>
        <v>0.1506129391655916</v>
      </c>
      <c r="AX65" s="131">
        <f t="shared" si="202"/>
        <v>0.14712340837077492</v>
      </c>
    </row>
    <row r="66" spans="1:50">
      <c r="A66" s="1" t="s">
        <v>98</v>
      </c>
      <c r="B66" s="71"/>
      <c r="C66" s="71"/>
      <c r="D66" s="72"/>
      <c r="F66" s="72"/>
      <c r="G66" s="72"/>
      <c r="H66" s="72"/>
      <c r="I66" s="72"/>
      <c r="J66" s="72"/>
      <c r="K66" s="72"/>
      <c r="L66" s="72"/>
      <c r="M66" s="73"/>
      <c r="N66" s="73"/>
      <c r="O66" s="142" t="str">
        <f t="shared" si="193"/>
        <v>Gearing</v>
      </c>
      <c r="P66" s="131">
        <f t="shared" ref="P66:U66" si="203">+P59</f>
        <v>0.55000000000000004</v>
      </c>
      <c r="Q66" s="131">
        <f t="shared" si="203"/>
        <v>0.55000000000000004</v>
      </c>
      <c r="R66" s="131">
        <f t="shared" si="203"/>
        <v>0.55000000000000004</v>
      </c>
      <c r="S66" s="131">
        <f t="shared" si="203"/>
        <v>0.55000000000000004</v>
      </c>
      <c r="T66" s="131">
        <f t="shared" si="203"/>
        <v>0.55000000000000004</v>
      </c>
      <c r="U66" s="131">
        <f t="shared" si="203"/>
        <v>0.55000000000000004</v>
      </c>
      <c r="V66" s="131">
        <f t="shared" ref="V66:AU66" si="204">+V59</f>
        <v>0.55000000000000004</v>
      </c>
      <c r="W66" s="131">
        <f t="shared" si="204"/>
        <v>0.55000000000000004</v>
      </c>
      <c r="X66" s="131">
        <f t="shared" si="204"/>
        <v>0.55000000000000004</v>
      </c>
      <c r="Y66" s="131">
        <f t="shared" si="204"/>
        <v>0.55000000000000004</v>
      </c>
      <c r="Z66" s="131">
        <f t="shared" si="204"/>
        <v>0.55000000000000004</v>
      </c>
      <c r="AA66" s="131">
        <f t="shared" si="204"/>
        <v>0.55000000000000004</v>
      </c>
      <c r="AB66" s="131">
        <f t="shared" si="204"/>
        <v>0.55000000000000004</v>
      </c>
      <c r="AC66" s="131">
        <f t="shared" si="204"/>
        <v>0.55000000000000004</v>
      </c>
      <c r="AD66" s="131">
        <f t="shared" si="204"/>
        <v>0.55000000000000004</v>
      </c>
      <c r="AE66" s="131">
        <f t="shared" si="204"/>
        <v>0.55000000000000004</v>
      </c>
      <c r="AF66" s="131">
        <f t="shared" si="204"/>
        <v>0.55000000000000004</v>
      </c>
      <c r="AG66" s="131">
        <f t="shared" si="204"/>
        <v>0.55000000000000004</v>
      </c>
      <c r="AH66" s="131">
        <f t="shared" si="204"/>
        <v>0.55000000000000004</v>
      </c>
      <c r="AI66" s="131">
        <f t="shared" si="204"/>
        <v>0.55000000000000004</v>
      </c>
      <c r="AJ66" s="131">
        <f t="shared" si="204"/>
        <v>0.55000000000000004</v>
      </c>
      <c r="AK66" s="131">
        <f t="shared" si="204"/>
        <v>0.55000000000000004</v>
      </c>
      <c r="AL66" s="131">
        <f t="shared" si="204"/>
        <v>0.55000000000000004</v>
      </c>
      <c r="AM66" s="131">
        <f t="shared" si="204"/>
        <v>0.55000000000000004</v>
      </c>
      <c r="AN66" s="131">
        <f t="shared" si="204"/>
        <v>0.55000000000000004</v>
      </c>
      <c r="AO66" s="131">
        <f t="shared" si="204"/>
        <v>0.55000000000000004</v>
      </c>
      <c r="AP66" s="131">
        <f t="shared" si="204"/>
        <v>0.55000000000000004</v>
      </c>
      <c r="AQ66" s="131">
        <f t="shared" si="204"/>
        <v>0.55000000000000004</v>
      </c>
      <c r="AR66" s="131">
        <f t="shared" si="204"/>
        <v>0.55000000000000004</v>
      </c>
      <c r="AS66" s="131">
        <f t="shared" si="204"/>
        <v>0.55000000000000004</v>
      </c>
      <c r="AT66" s="131">
        <f t="shared" si="204"/>
        <v>0.55000000000000004</v>
      </c>
      <c r="AU66" s="131">
        <f t="shared" si="204"/>
        <v>0.55000000000000004</v>
      </c>
      <c r="AV66" s="131">
        <f t="shared" ref="AV66:AX66" si="205">+AV59</f>
        <v>0.55000000000000004</v>
      </c>
      <c r="AW66" s="131">
        <f t="shared" si="205"/>
        <v>0.55000000000000004</v>
      </c>
      <c r="AX66" s="131">
        <f t="shared" si="205"/>
        <v>0.55000000000000004</v>
      </c>
    </row>
    <row r="68" spans="1:50">
      <c r="U68" s="140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</row>
    <row r="69" spans="1:50">
      <c r="A69" s="1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</row>
    <row r="70" spans="1:50">
      <c r="A70" s="1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</row>
    <row r="71" spans="1:50">
      <c r="A71" s="1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</row>
    <row r="72" spans="1:50">
      <c r="A72" s="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</row>
    <row r="73" spans="1:50">
      <c r="A73" s="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43"/>
  <sheetViews>
    <sheetView zoomScaleNormal="100" workbookViewId="0">
      <pane xSplit="15" ySplit="1" topLeftCell="P2" activePane="bottomRight" state="frozen"/>
      <selection pane="topRight" activeCell="P1" sqref="P1"/>
      <selection pane="bottomLeft" activeCell="A2" sqref="A2"/>
      <selection pane="bottomRight" activeCell="V9" sqref="V9"/>
    </sheetView>
  </sheetViews>
  <sheetFormatPr defaultColWidth="8.6328125" defaultRowHeight="13"/>
  <cols>
    <col min="1" max="1" width="19.6328125" style="102" bestFit="1" customWidth="1"/>
    <col min="2" max="2" width="18.6328125" style="102" bestFit="1" customWidth="1"/>
    <col min="3" max="3" width="4.36328125" style="103" bestFit="1" customWidth="1"/>
    <col min="4" max="15" width="4.36328125" style="93" hidden="1" customWidth="1"/>
    <col min="16" max="21" width="5.6328125" style="93" bestFit="1" customWidth="1"/>
    <col min="22" max="50" width="5.6328125" style="102" bestFit="1" customWidth="1"/>
    <col min="51" max="16384" width="8.6328125" style="102"/>
  </cols>
  <sheetData>
    <row r="1" spans="1:22" s="92" customFormat="1">
      <c r="B1" s="32"/>
      <c r="V1" s="36"/>
    </row>
    <row r="2" spans="1:22">
      <c r="B2" s="28"/>
      <c r="C2" s="29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2">
      <c r="A3" s="92" t="s">
        <v>239</v>
      </c>
      <c r="B3" s="92" t="s">
        <v>145</v>
      </c>
      <c r="C3" s="30" t="s">
        <v>300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6">
        <f>+Inputs!P1</f>
        <v>2023</v>
      </c>
      <c r="Q3" s="36">
        <f>+Inputs!Q1</f>
        <v>2024</v>
      </c>
      <c r="R3" s="36">
        <f>+Inputs!R1</f>
        <v>2025</v>
      </c>
      <c r="S3" s="36">
        <f>+Inputs!S1</f>
        <v>2026</v>
      </c>
      <c r="T3" s="36">
        <f>+Inputs!T1</f>
        <v>2027</v>
      </c>
      <c r="U3" s="36">
        <f>+Inputs!U1</f>
        <v>2028</v>
      </c>
    </row>
    <row r="4" spans="1:22" ht="15">
      <c r="A4" s="93" t="s">
        <v>240</v>
      </c>
      <c r="B4" s="134" t="s">
        <v>251</v>
      </c>
      <c r="P4" s="132">
        <f>+'Pi''s Calc'!P3</f>
        <v>1.46E-2</v>
      </c>
      <c r="Q4" s="132">
        <f>+'Pi''s Calc'!Q3</f>
        <v>3.3700000000000001E-2</v>
      </c>
      <c r="R4" s="132">
        <f>+'Pi''s Calc'!R3</f>
        <v>4.2199999999999994E-2</v>
      </c>
      <c r="S4" s="132">
        <f>+'Pi''s Calc'!S3</f>
        <v>3.85E-2</v>
      </c>
      <c r="T4" s="132">
        <f>+'Pi''s Calc'!T3</f>
        <v>4.0399999999999998E-2</v>
      </c>
      <c r="U4" s="132">
        <f>+'Pi''s Calc'!U3</f>
        <v>4.2300000000000004E-2</v>
      </c>
    </row>
    <row r="5" spans="1:22">
      <c r="A5" s="93" t="s">
        <v>241</v>
      </c>
      <c r="B5" s="134" t="s">
        <v>142</v>
      </c>
      <c r="C5" s="93">
        <f>+'Pi''s Calc'!U1</f>
        <v>2028</v>
      </c>
    </row>
    <row r="6" spans="1:22">
      <c r="A6" s="93" t="s">
        <v>242</v>
      </c>
      <c r="B6" s="134" t="s">
        <v>141</v>
      </c>
      <c r="C6" s="93">
        <f>+'Pi''s Calc'!O1</f>
        <v>2022</v>
      </c>
    </row>
    <row r="7" spans="1:22">
      <c r="A7" s="93" t="s">
        <v>243</v>
      </c>
      <c r="B7" s="134" t="s">
        <v>143</v>
      </c>
      <c r="C7" s="93">
        <f>+'Pi''s Calc'!AX1</f>
        <v>2057</v>
      </c>
    </row>
    <row r="8" spans="1:22">
      <c r="A8" s="93" t="s">
        <v>244</v>
      </c>
      <c r="B8" s="134" t="s">
        <v>237</v>
      </c>
      <c r="C8" s="133">
        <f>+Inputs!M32</f>
        <v>108.9</v>
      </c>
    </row>
    <row r="9" spans="1:22" ht="15">
      <c r="A9" s="93" t="s">
        <v>245</v>
      </c>
      <c r="B9" s="135" t="s">
        <v>252</v>
      </c>
      <c r="C9" s="133">
        <v>0.5</v>
      </c>
    </row>
    <row r="10" spans="1:22">
      <c r="A10" s="93" t="s">
        <v>246</v>
      </c>
      <c r="B10" s="135" t="s">
        <v>253</v>
      </c>
      <c r="C10" s="93">
        <v>5</v>
      </c>
    </row>
    <row r="11" spans="1:22">
      <c r="A11" s="102" t="s">
        <v>247</v>
      </c>
      <c r="B11" s="135" t="s">
        <v>254</v>
      </c>
      <c r="C11" s="93">
        <v>0</v>
      </c>
    </row>
    <row r="12" spans="1:22">
      <c r="A12" s="102" t="s">
        <v>248</v>
      </c>
      <c r="B12" s="135" t="s">
        <v>255</v>
      </c>
      <c r="C12" s="93">
        <v>0</v>
      </c>
    </row>
    <row r="13" spans="1:22">
      <c r="A13" s="93" t="s">
        <v>249</v>
      </c>
      <c r="B13" s="135" t="s">
        <v>256</v>
      </c>
      <c r="C13" s="93">
        <v>0</v>
      </c>
    </row>
    <row r="14" spans="1:22">
      <c r="A14" s="93" t="s">
        <v>250</v>
      </c>
      <c r="B14" s="135" t="s">
        <v>257</v>
      </c>
      <c r="C14" s="93">
        <v>33</v>
      </c>
    </row>
    <row r="15" spans="1:22" ht="15">
      <c r="A15" s="102" t="s">
        <v>262</v>
      </c>
      <c r="B15" s="135" t="s">
        <v>259</v>
      </c>
      <c r="C15" s="93">
        <v>0</v>
      </c>
    </row>
    <row r="16" spans="1:22" ht="15">
      <c r="A16" s="102" t="s">
        <v>262</v>
      </c>
      <c r="B16" s="134" t="s">
        <v>260</v>
      </c>
      <c r="C16" s="93">
        <v>0</v>
      </c>
    </row>
    <row r="17" spans="1:51" ht="15">
      <c r="A17" s="102" t="s">
        <v>262</v>
      </c>
      <c r="B17" s="134" t="s">
        <v>261</v>
      </c>
      <c r="C17" s="93">
        <v>0</v>
      </c>
    </row>
    <row r="18" spans="1:51" ht="15">
      <c r="A18" s="102" t="s">
        <v>262</v>
      </c>
      <c r="B18" s="135" t="s">
        <v>258</v>
      </c>
      <c r="C18" s="133">
        <v>0.4</v>
      </c>
    </row>
    <row r="19" spans="1:51">
      <c r="P19" s="133"/>
    </row>
    <row r="20" spans="1:51">
      <c r="B20" s="92" t="s">
        <v>146</v>
      </c>
      <c r="C20" s="30" t="s">
        <v>151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>
        <f>+Inputs!P1</f>
        <v>2023</v>
      </c>
      <c r="Q20" s="36">
        <f>+Inputs!Q1</f>
        <v>2024</v>
      </c>
      <c r="R20" s="36">
        <f>+Inputs!R1</f>
        <v>2025</v>
      </c>
      <c r="S20" s="36">
        <f>+Inputs!S1</f>
        <v>2026</v>
      </c>
      <c r="T20" s="36">
        <f>+Inputs!T1</f>
        <v>2027</v>
      </c>
      <c r="U20" s="36">
        <f>+Inputs!U1</f>
        <v>2028</v>
      </c>
      <c r="V20" s="36">
        <f>+Inputs!V1</f>
        <v>2029</v>
      </c>
      <c r="W20" s="36">
        <f>+Inputs!W1</f>
        <v>2030</v>
      </c>
      <c r="X20" s="36">
        <f>+Inputs!X1</f>
        <v>2031</v>
      </c>
      <c r="Y20" s="36">
        <f>+Inputs!Y1</f>
        <v>2032</v>
      </c>
      <c r="Z20" s="36">
        <f>+Inputs!Z1</f>
        <v>2033</v>
      </c>
      <c r="AA20" s="36">
        <f>+Inputs!AA1</f>
        <v>2034</v>
      </c>
      <c r="AB20" s="36">
        <f>+Inputs!AB1</f>
        <v>2035</v>
      </c>
      <c r="AC20" s="36">
        <f>+Inputs!AC1</f>
        <v>2036</v>
      </c>
      <c r="AD20" s="36">
        <f>+Inputs!AD1</f>
        <v>2037</v>
      </c>
      <c r="AE20" s="36">
        <f>+Inputs!AE1</f>
        <v>2038</v>
      </c>
      <c r="AF20" s="36">
        <f>+Inputs!AF1</f>
        <v>2039</v>
      </c>
      <c r="AG20" s="36">
        <f>+Inputs!AG1</f>
        <v>2040</v>
      </c>
      <c r="AH20" s="36">
        <f>+Inputs!AH1</f>
        <v>2041</v>
      </c>
      <c r="AI20" s="36">
        <f>+Inputs!AI1</f>
        <v>2042</v>
      </c>
      <c r="AJ20" s="36">
        <f>+Inputs!AJ1</f>
        <v>2043</v>
      </c>
      <c r="AK20" s="36">
        <f>+Inputs!AK1</f>
        <v>2044</v>
      </c>
      <c r="AL20" s="36">
        <f>+Inputs!AL1</f>
        <v>2045</v>
      </c>
      <c r="AM20" s="36">
        <f>+Inputs!AM1</f>
        <v>2046</v>
      </c>
      <c r="AN20" s="36">
        <f>+Inputs!AN1</f>
        <v>2047</v>
      </c>
      <c r="AO20" s="36">
        <f>+Inputs!AO1</f>
        <v>2048</v>
      </c>
      <c r="AP20" s="36">
        <f>+Inputs!AP1</f>
        <v>2049</v>
      </c>
      <c r="AQ20" s="36">
        <f>+Inputs!AQ1</f>
        <v>2050</v>
      </c>
      <c r="AR20" s="36">
        <f>+Inputs!AR1</f>
        <v>2051</v>
      </c>
      <c r="AS20" s="36">
        <f>+Inputs!AS1</f>
        <v>2052</v>
      </c>
      <c r="AT20" s="36">
        <f>+Inputs!AT1</f>
        <v>2053</v>
      </c>
      <c r="AU20" s="36">
        <f>+Inputs!AU1</f>
        <v>2054</v>
      </c>
      <c r="AV20" s="36">
        <f>+Inputs!AV1</f>
        <v>2055</v>
      </c>
      <c r="AW20" s="36">
        <f>+Inputs!AW1</f>
        <v>2056</v>
      </c>
      <c r="AX20" s="36">
        <f>+Inputs!AX1</f>
        <v>2057</v>
      </c>
      <c r="AY20" s="36"/>
    </row>
    <row r="21" spans="1:51" ht="15">
      <c r="A21" s="102" t="s">
        <v>263</v>
      </c>
      <c r="B21" s="134" t="s">
        <v>264</v>
      </c>
      <c r="C21" s="135" t="s">
        <v>147</v>
      </c>
      <c r="P21" s="93">
        <f>+'Pi''s Calc'!P10</f>
        <v>1071.1012499999999</v>
      </c>
      <c r="Q21" s="93">
        <f>+'Pi''s Calc'!Q10</f>
        <v>1273.6179</v>
      </c>
      <c r="R21" s="93">
        <f>+'Pi''s Calc'!R10</f>
        <v>1576.2671639999994</v>
      </c>
      <c r="S21" s="93">
        <f>+'Pi''s Calc'!S10</f>
        <v>1924.0857599999993</v>
      </c>
      <c r="T21" s="93">
        <f>+'Pi''s Calc'!T10</f>
        <v>2248.4471999999987</v>
      </c>
      <c r="U21" s="93">
        <f>+'Pi''s Calc'!U10</f>
        <v>2567.0246582399973</v>
      </c>
      <c r="V21" s="93">
        <f>+'Pi''s Calc'!V10</f>
        <v>2848.5541422206875</v>
      </c>
      <c r="W21" s="93">
        <f>+'Pi''s Calc'!W10</f>
        <v>3070.0778648275864</v>
      </c>
      <c r="X21" s="93">
        <f>+'Pi''s Calc'!X10</f>
        <v>3259.608910344828</v>
      </c>
      <c r="Y21" s="93">
        <f>+'Pi''s Calc'!Y10</f>
        <v>3438.6694179310343</v>
      </c>
      <c r="Z21" s="93">
        <f>+'Pi''s Calc'!Z10</f>
        <v>3608.7995420689667</v>
      </c>
      <c r="AA21" s="93">
        <f>+'Pi''s Calc'!AA10</f>
        <v>3774.1503724137942</v>
      </c>
      <c r="AB21" s="93">
        <f>+'Pi''s Calc'!AB10</f>
        <v>3935.5203227586221</v>
      </c>
      <c r="AC21" s="93">
        <f>+'Pi''s Calc'!AC10</f>
        <v>4099.8110896551743</v>
      </c>
      <c r="AD21" s="93">
        <f>+'Pi''s Calc'!AD10</f>
        <v>4267.7406041379318</v>
      </c>
      <c r="AE21" s="93">
        <f>+'Pi''s Calc'!AE10</f>
        <v>4425.9481241379326</v>
      </c>
      <c r="AF21" s="93">
        <f>+'Pi''s Calc'!AF10</f>
        <v>4567.9748896551737</v>
      </c>
      <c r="AG21" s="93">
        <f>+'Pi''s Calc'!AG10</f>
        <v>4699.1662675862081</v>
      </c>
      <c r="AH21" s="93">
        <f>+'Pi''s Calc'!AH10</f>
        <v>4821.4727627586217</v>
      </c>
      <c r="AI21" s="93">
        <f>+'Pi''s Calc'!AI10</f>
        <v>4931.3892165517245</v>
      </c>
      <c r="AJ21" s="93">
        <f>+'Pi''s Calc'!AJ10</f>
        <v>5035.2130427586235</v>
      </c>
      <c r="AK21" s="93">
        <f>+'Pi''s Calc'!AK10</f>
        <v>5135.2154482758642</v>
      </c>
      <c r="AL21" s="93">
        <f>+'Pi''s Calc'!AL10</f>
        <v>5224.9690179310364</v>
      </c>
      <c r="AM21" s="93">
        <f>+'Pi''s Calc'!AM10</f>
        <v>5307.1582344827611</v>
      </c>
      <c r="AN21" s="93">
        <f>+'Pi''s Calc'!AN10</f>
        <v>5385.5775393103486</v>
      </c>
      <c r="AO21" s="93">
        <f>+'Pi''s Calc'!AO10</f>
        <v>5459.66327172414</v>
      </c>
      <c r="AP21" s="93">
        <f>+'Pi''s Calc'!AP10</f>
        <v>5530.0032000000028</v>
      </c>
      <c r="AQ21" s="93">
        <f>+'Pi''s Calc'!AQ10</f>
        <v>5597.6649931034499</v>
      </c>
      <c r="AR21" s="93">
        <f>+'Pi''s Calc'!AR10</f>
        <v>5665.2731751724186</v>
      </c>
      <c r="AS21" s="93">
        <f>+'Pi''s Calc'!AS10</f>
        <v>5733.2151393103486</v>
      </c>
      <c r="AT21" s="93">
        <f>+'Pi''s Calc'!AT10</f>
        <v>5796.1262606896598</v>
      </c>
      <c r="AU21" s="93">
        <f>+'Pi''s Calc'!AU10</f>
        <v>5852.9024689655207</v>
      </c>
      <c r="AV21" s="93">
        <f>+'Pi''s Calc'!AV10</f>
        <v>5907.4582303448315</v>
      </c>
      <c r="AW21" s="93">
        <f>+'Pi''s Calc'!AW10</f>
        <v>5960.8618262069012</v>
      </c>
      <c r="AX21" s="93">
        <f>+'Pi''s Calc'!AX10</f>
        <v>6011.1190800000049</v>
      </c>
      <c r="AY21" s="93"/>
    </row>
    <row r="22" spans="1:51" ht="15">
      <c r="A22" s="102" t="s">
        <v>263</v>
      </c>
      <c r="B22" s="134" t="s">
        <v>264</v>
      </c>
      <c r="C22" s="135" t="s">
        <v>148</v>
      </c>
      <c r="P22" s="93">
        <f>+'Pi''s Calc'!P11</f>
        <v>137.91249999999999</v>
      </c>
      <c r="Q22" s="93">
        <f>+'Pi''s Calc'!Q11</f>
        <v>234.267</v>
      </c>
      <c r="R22" s="93">
        <f>+'Pi''s Calc'!R11</f>
        <v>389.19375000000002</v>
      </c>
      <c r="S22" s="93">
        <f>+'Pi''s Calc'!S11</f>
        <v>641.52</v>
      </c>
      <c r="T22" s="93">
        <f>+'Pi''s Calc'!T11</f>
        <v>942.48</v>
      </c>
      <c r="U22" s="93">
        <f>+'Pi''s Calc'!U11</f>
        <v>1227.5999999999999</v>
      </c>
      <c r="V22" s="93">
        <f>+'Pi''s Calc'!V11</f>
        <v>1465.6551724137933</v>
      </c>
      <c r="W22" s="93">
        <f>+'Pi''s Calc'!W11</f>
        <v>1650.0910344827587</v>
      </c>
      <c r="X22" s="93">
        <f>+'Pi''s Calc'!X11</f>
        <v>1779.6331034482762</v>
      </c>
      <c r="Y22" s="93">
        <f>+'Pi''s Calc'!Y11</f>
        <v>1863.2937931034485</v>
      </c>
      <c r="Z22" s="93">
        <f>+'Pi''s Calc'!Z11</f>
        <v>1927.4958620689658</v>
      </c>
      <c r="AA22" s="93">
        <f>+'Pi''s Calc'!AA11</f>
        <v>1982.7310344827592</v>
      </c>
      <c r="AB22" s="93">
        <f>+'Pi''s Calc'!AB11</f>
        <v>2034.16551724138</v>
      </c>
      <c r="AC22" s="93">
        <f>+'Pi''s Calc'!AC11</f>
        <v>2084.3255172413801</v>
      </c>
      <c r="AD22" s="93">
        <f>+'Pi''s Calc'!AD11</f>
        <v>2133.2110344827593</v>
      </c>
      <c r="AE22" s="93">
        <f>+'Pi''s Calc'!AE11</f>
        <v>2180.8220689655182</v>
      </c>
      <c r="AF22" s="93">
        <f>+'Pi''s Calc'!AF11</f>
        <v>2227.1586206896563</v>
      </c>
      <c r="AG22" s="93">
        <f>+'Pi''s Calc'!AG11</f>
        <v>2272.2206896551734</v>
      </c>
      <c r="AH22" s="93">
        <f>+'Pi''s Calc'!AH11</f>
        <v>2316.0082758620701</v>
      </c>
      <c r="AI22" s="93">
        <f>+'Pi''s Calc'!AI11</f>
        <v>2358.5213793103462</v>
      </c>
      <c r="AJ22" s="93">
        <f>+'Pi''s Calc'!AJ11</f>
        <v>2399.7600000000016</v>
      </c>
      <c r="AK22" s="93">
        <f>+'Pi''s Calc'!AK11</f>
        <v>2439.7241379310362</v>
      </c>
      <c r="AL22" s="93">
        <f>+'Pi''s Calc'!AL11</f>
        <v>2478.4137931034502</v>
      </c>
      <c r="AM22" s="93">
        <f>+'Pi''s Calc'!AM11</f>
        <v>2515.8289655172434</v>
      </c>
      <c r="AN22" s="93">
        <f>+'Pi''s Calc'!AN11</f>
        <v>2551.969655172416</v>
      </c>
      <c r="AO22" s="93">
        <f>+'Pi''s Calc'!AO11</f>
        <v>2586.8358620689678</v>
      </c>
      <c r="AP22" s="93">
        <f>+'Pi''s Calc'!AP11</f>
        <v>2620.4275862068989</v>
      </c>
      <c r="AQ22" s="93">
        <f>+'Pi''s Calc'!AQ11</f>
        <v>2652.7448275862098</v>
      </c>
      <c r="AR22" s="93">
        <f>+'Pi''s Calc'!AR11</f>
        <v>2683.7875862068995</v>
      </c>
      <c r="AS22" s="93">
        <f>+'Pi''s Calc'!AS11</f>
        <v>2713.555862068969</v>
      </c>
      <c r="AT22" s="93">
        <f>+'Pi''s Calc'!AT11</f>
        <v>2742.0496551724168</v>
      </c>
      <c r="AU22" s="93">
        <f>+'Pi''s Calc'!AU11</f>
        <v>2769.2689655172449</v>
      </c>
      <c r="AV22" s="93">
        <f>+'Pi''s Calc'!AV11</f>
        <v>2795.2137931034517</v>
      </c>
      <c r="AW22" s="93">
        <f>+'Pi''s Calc'!AW11</f>
        <v>2819.8841379310388</v>
      </c>
      <c r="AX22" s="93">
        <f>+'Pi''s Calc'!AX11</f>
        <v>2843.2800000000043</v>
      </c>
      <c r="AY22" s="93"/>
    </row>
    <row r="23" spans="1:51" ht="15">
      <c r="A23" s="102" t="s">
        <v>263</v>
      </c>
      <c r="B23" s="134" t="s">
        <v>264</v>
      </c>
      <c r="C23" s="135" t="s">
        <v>149</v>
      </c>
      <c r="P23" s="93">
        <f>+'Pi''s Calc'!P12</f>
        <v>439.47723519051891</v>
      </c>
      <c r="Q23" s="93">
        <f>+'Pi''s Calc'!Q12</f>
        <v>557.76293116685054</v>
      </c>
      <c r="R23" s="93">
        <f>+'Pi''s Calc'!R12</f>
        <v>626.25808192815771</v>
      </c>
      <c r="S23" s="93">
        <f>+'Pi''s Calc'!S12</f>
        <v>729.98430134022874</v>
      </c>
      <c r="T23" s="93">
        <f>+'Pi''s Calc'!T12</f>
        <v>854.58789335400184</v>
      </c>
      <c r="U23" s="93">
        <f>+'Pi''s Calc'!U12</f>
        <v>878.56369780514603</v>
      </c>
      <c r="V23" s="93">
        <f>+'Pi''s Calc'!V12</f>
        <v>868.6101190731822</v>
      </c>
      <c r="W23" s="93">
        <f>+'Pi''s Calc'!W12</f>
        <v>861.05698760298071</v>
      </c>
      <c r="X23" s="93">
        <f>+'Pi''s Calc'!X12</f>
        <v>853.50385613277911</v>
      </c>
      <c r="Y23" s="93">
        <f>+'Pi''s Calc'!Y12</f>
        <v>848.26839788083078</v>
      </c>
      <c r="Z23" s="93">
        <f>+'Pi''s Calc'!Z12</f>
        <v>838.39759319237601</v>
      </c>
      <c r="AA23" s="93">
        <f>+'Pi''s Calc'!AA12</f>
        <v>830.8444617221744</v>
      </c>
      <c r="AB23" s="93">
        <f>+'Pi''s Calc'!AB12</f>
        <v>823.29133025197291</v>
      </c>
      <c r="AC23" s="93">
        <f>+'Pi''s Calc'!AC12</f>
        <v>817.97309795651552</v>
      </c>
      <c r="AD23" s="93">
        <f>+'Pi''s Calc'!AD12</f>
        <v>808.18506731156981</v>
      </c>
      <c r="AE23" s="93">
        <f>+'Pi''s Calc'!AE12</f>
        <v>800.63193584136832</v>
      </c>
      <c r="AF23" s="93">
        <f>+'Pi''s Calc'!AF12</f>
        <v>793.07880437116671</v>
      </c>
      <c r="AG23" s="93">
        <f>+'Pi''s Calc'!AG12</f>
        <v>787.67779803220026</v>
      </c>
      <c r="AH23" s="93">
        <f>+'Pi''s Calc'!AH12</f>
        <v>777.9725414307635</v>
      </c>
      <c r="AI23" s="93">
        <f>+'Pi''s Calc'!AI12</f>
        <v>770.41940996056201</v>
      </c>
      <c r="AJ23" s="93">
        <f>+'Pi''s Calc'!AJ12</f>
        <v>762.86627849036051</v>
      </c>
      <c r="AK23" s="93">
        <f>+'Pi''s Calc'!AK12</f>
        <v>757.382498107885</v>
      </c>
      <c r="AL23" s="93">
        <f>+'Pi''s Calc'!AL12</f>
        <v>747.76001554995742</v>
      </c>
      <c r="AM23" s="93">
        <f>+'Pi''s Calc'!AM12</f>
        <v>740.20688407975581</v>
      </c>
      <c r="AN23" s="93">
        <f>+'Pi''s Calc'!AN12</f>
        <v>732.65375260955432</v>
      </c>
      <c r="AO23" s="93">
        <f>+'Pi''s Calc'!AO12</f>
        <v>727.08719818356985</v>
      </c>
      <c r="AP23" s="93">
        <f>+'Pi''s Calc'!AP12</f>
        <v>717.54748966915122</v>
      </c>
      <c r="AQ23" s="93">
        <f>+'Pi''s Calc'!AQ12</f>
        <v>709.99435819894961</v>
      </c>
      <c r="AR23" s="93">
        <f>+'Pi''s Calc'!AR12</f>
        <v>702.44122672874812</v>
      </c>
      <c r="AS23" s="93">
        <f>+'Pi''s Calc'!AS12</f>
        <v>696.79189825925448</v>
      </c>
      <c r="AT23" s="93">
        <f>+'Pi''s Calc'!AT12</f>
        <v>687.33496378834502</v>
      </c>
      <c r="AU23" s="93">
        <f>+'Pi''s Calc'!AU12</f>
        <v>679.78183231814342</v>
      </c>
      <c r="AV23" s="93">
        <f>+'Pi''s Calc'!AV12</f>
        <v>672.22870084794192</v>
      </c>
      <c r="AW23" s="93">
        <f>+'Pi''s Calc'!AW12</f>
        <v>666.49659833493934</v>
      </c>
      <c r="AX23" s="93">
        <f>+'Pi''s Calc'!AX12</f>
        <v>657.12243790753882</v>
      </c>
      <c r="AY23" s="93"/>
    </row>
    <row r="24" spans="1:51" ht="15">
      <c r="A24" s="102" t="s">
        <v>263</v>
      </c>
      <c r="B24" s="134" t="s">
        <v>264</v>
      </c>
      <c r="C24" s="135" t="s">
        <v>150</v>
      </c>
      <c r="P24" s="93">
        <f>+'Pi''s Calc'!P13</f>
        <v>285.66528247421269</v>
      </c>
      <c r="Q24" s="93">
        <f>+'Pi''s Calc'!Q13</f>
        <v>286.44792708373114</v>
      </c>
      <c r="R24" s="93">
        <f>+'Pi''s Calc'!R13</f>
        <v>285.66528247421269</v>
      </c>
      <c r="S24" s="93">
        <f>+'Pi''s Calc'!S13</f>
        <v>285.66528247421269</v>
      </c>
      <c r="T24" s="93">
        <f>+'Pi''s Calc'!T13</f>
        <v>285.66528247421269</v>
      </c>
      <c r="U24" s="93">
        <f>+'Pi''s Calc'!U13</f>
        <v>286.44792708373114</v>
      </c>
      <c r="V24" s="93">
        <f>+'Pi''s Calc'!V13</f>
        <v>283.20265072874537</v>
      </c>
      <c r="W24" s="93">
        <f>+'Pi''s Calc'!W13</f>
        <v>280.74001898327799</v>
      </c>
      <c r="X24" s="93">
        <f>+'Pi''s Calc'!X13</f>
        <v>278.27738723781073</v>
      </c>
      <c r="Y24" s="93">
        <f>+'Pi''s Calc'!Y13</f>
        <v>276.57041235670602</v>
      </c>
      <c r="Z24" s="93">
        <f>+'Pi''s Calc'!Z13</f>
        <v>273.35212374687603</v>
      </c>
      <c r="AA24" s="93">
        <f>+'Pi''s Calc'!AA13</f>
        <v>270.88949200140866</v>
      </c>
      <c r="AB24" s="93">
        <f>+'Pi''s Calc'!AB13</f>
        <v>268.42686025594134</v>
      </c>
      <c r="AC24" s="93">
        <f>+'Pi''s Calc'!AC13</f>
        <v>266.69289762968083</v>
      </c>
      <c r="AD24" s="93">
        <f>+'Pi''s Calc'!AD13</f>
        <v>263.50159676500664</v>
      </c>
      <c r="AE24" s="93">
        <f>+'Pi''s Calc'!AE13</f>
        <v>261.03896501953926</v>
      </c>
      <c r="AF24" s="93">
        <f>+'Pi''s Calc'!AF13</f>
        <v>258.57633327407194</v>
      </c>
      <c r="AG24" s="93">
        <f>+'Pi''s Calc'!AG13</f>
        <v>256.81538290265564</v>
      </c>
      <c r="AH24" s="93">
        <f>+'Pi''s Calc'!AH13</f>
        <v>253.65106978313727</v>
      </c>
      <c r="AI24" s="93">
        <f>+'Pi''s Calc'!AI13</f>
        <v>251.18843803766993</v>
      </c>
      <c r="AJ24" s="93">
        <f>+'Pi''s Calc'!AJ13</f>
        <v>248.72580629220258</v>
      </c>
      <c r="AK24" s="93">
        <f>+'Pi''s Calc'!AK13</f>
        <v>246.93786817563048</v>
      </c>
      <c r="AL24" s="93">
        <f>+'Pi''s Calc'!AL13</f>
        <v>243.80054280126794</v>
      </c>
      <c r="AM24" s="93">
        <f>+'Pi''s Calc'!AM13</f>
        <v>241.33791105580059</v>
      </c>
      <c r="AN24" s="93">
        <f>+'Pi''s Calc'!AN13</f>
        <v>238.87527931033324</v>
      </c>
      <c r="AO24" s="93">
        <f>+'Pi''s Calc'!AO13</f>
        <v>237.0603534486053</v>
      </c>
      <c r="AP24" s="93">
        <f>+'Pi''s Calc'!AP13</f>
        <v>233.95001581939857</v>
      </c>
      <c r="AQ24" s="93">
        <f>+'Pi''s Calc'!AQ13</f>
        <v>231.48738407393122</v>
      </c>
      <c r="AR24" s="93">
        <f>+'Pi''s Calc'!AR13</f>
        <v>229.02475232846388</v>
      </c>
      <c r="AS24" s="93">
        <f>+'Pi''s Calc'!AS13</f>
        <v>227.18283872158017</v>
      </c>
      <c r="AT24" s="93">
        <f>+'Pi''s Calc'!AT13</f>
        <v>224.09948883752921</v>
      </c>
      <c r="AU24" s="93">
        <f>+'Pi''s Calc'!AU13</f>
        <v>221.63685709206186</v>
      </c>
      <c r="AV24" s="93">
        <f>+'Pi''s Calc'!AV13</f>
        <v>219.17422534659451</v>
      </c>
      <c r="AW24" s="93">
        <f>+'Pi''s Calc'!AW13</f>
        <v>217.30532399455498</v>
      </c>
      <c r="AX24" s="93">
        <f>+'Pi''s Calc'!AX13</f>
        <v>214.24896185565984</v>
      </c>
      <c r="AY24" s="93"/>
    </row>
    <row r="25" spans="1:51" ht="15">
      <c r="A25" s="102" t="s">
        <v>263</v>
      </c>
      <c r="B25" s="134" t="s">
        <v>264</v>
      </c>
      <c r="C25" s="135" t="s">
        <v>274</v>
      </c>
      <c r="P25" s="93">
        <f>+'Pi''s Calc'!P14</f>
        <v>12038.204325914199</v>
      </c>
      <c r="Q25" s="93">
        <f>+'Pi''s Calc'!Q14</f>
        <v>12196.340819885476</v>
      </c>
      <c r="R25" s="93">
        <f>+'Pi''s Calc'!R14</f>
        <v>12993.602907762361</v>
      </c>
      <c r="S25" s="93">
        <f>+'Pi''s Calc'!S14</f>
        <v>13504.379928413251</v>
      </c>
      <c r="T25" s="93">
        <f>+'Pi''s Calc'!T14</f>
        <v>13504.379928413251</v>
      </c>
      <c r="U25" s="93">
        <f>+'Pi''s Calc'!U14</f>
        <v>13541.378229586982</v>
      </c>
      <c r="V25" s="93">
        <f>+'Pi''s Calc'!V14</f>
        <v>13387.962860064863</v>
      </c>
      <c r="W25" s="93">
        <f>+'Pi''s Calc'!W14</f>
        <v>13271.545791716473</v>
      </c>
      <c r="X25" s="93">
        <f>+'Pi''s Calc'!X14</f>
        <v>13155.128723368081</v>
      </c>
      <c r="Y25" s="93">
        <f>+'Pi''s Calc'!Y14</f>
        <v>13074.434152704674</v>
      </c>
      <c r="Z25" s="93">
        <f>+'Pi''s Calc'!Z14</f>
        <v>12922.294586671303</v>
      </c>
      <c r="AA25" s="93">
        <f>+'Pi''s Calc'!AA14</f>
        <v>12805.877518322915</v>
      </c>
      <c r="AB25" s="93">
        <f>+'Pi''s Calc'!AB14</f>
        <v>12689.460449974524</v>
      </c>
      <c r="AC25" s="93">
        <f>+'Pi''s Calc'!AC14</f>
        <v>12607.490075822368</v>
      </c>
      <c r="AD25" s="93">
        <f>+'Pi''s Calc'!AD14</f>
        <v>12456.626313277746</v>
      </c>
      <c r="AE25" s="93">
        <f>+'Pi''s Calc'!AE14</f>
        <v>12340.209244929356</v>
      </c>
      <c r="AF25" s="93">
        <f>+'Pi''s Calc'!AF14</f>
        <v>12223.792176580966</v>
      </c>
      <c r="AG25" s="93">
        <f>+'Pi''s Calc'!AG14</f>
        <v>12140.545998940061</v>
      </c>
      <c r="AH25" s="93">
        <f>+'Pi''s Calc'!AH14</f>
        <v>11990.958039884188</v>
      </c>
      <c r="AI25" s="93">
        <f>+'Pi''s Calc'!AI14</f>
        <v>11874.540971535798</v>
      </c>
      <c r="AJ25" s="93">
        <f>+'Pi''s Calc'!AJ14</f>
        <v>11758.123903187407</v>
      </c>
      <c r="AK25" s="93">
        <f>+'Pi''s Calc'!AK14</f>
        <v>11673.601922057751</v>
      </c>
      <c r="AL25" s="93">
        <f>+'Pi''s Calc'!AL14</f>
        <v>11525.289766490629</v>
      </c>
      <c r="AM25" s="93">
        <f>+'Pi''s Calc'!AM14</f>
        <v>11408.872698142241</v>
      </c>
      <c r="AN25" s="93">
        <f>+'Pi''s Calc'!AN14</f>
        <v>11292.455629793849</v>
      </c>
      <c r="AO25" s="93">
        <f>+'Pi''s Calc'!AO14</f>
        <v>11206.657845175445</v>
      </c>
      <c r="AP25" s="93">
        <f>+'Pi''s Calc'!AP14</f>
        <v>11059.621493097071</v>
      </c>
      <c r="AQ25" s="93">
        <f>+'Pi''s Calc'!AQ14</f>
        <v>10943.204424748681</v>
      </c>
      <c r="AR25" s="93">
        <f>+'Pi''s Calc'!AR14</f>
        <v>10826.787356400291</v>
      </c>
      <c r="AS25" s="93">
        <f>+'Pi''s Calc'!AS14</f>
        <v>10739.713768293137</v>
      </c>
      <c r="AT25" s="93">
        <f>+'Pi''s Calc'!AT14</f>
        <v>10593.953219703511</v>
      </c>
      <c r="AU25" s="93">
        <f>+'Pi''s Calc'!AU14</f>
        <v>10477.536151355123</v>
      </c>
      <c r="AV25" s="93">
        <f>+'Pi''s Calc'!AV14</f>
        <v>10361.119083006732</v>
      </c>
      <c r="AW25" s="93">
        <f>+'Pi''s Calc'!AW14</f>
        <v>10272.769691410829</v>
      </c>
      <c r="AX25" s="93">
        <f>+'Pi''s Calc'!AX14</f>
        <v>10128.284946309954</v>
      </c>
      <c r="AY25" s="93"/>
    </row>
    <row r="26" spans="1:51" ht="15">
      <c r="A26" s="102" t="s">
        <v>263</v>
      </c>
      <c r="B26" s="134" t="s">
        <v>264</v>
      </c>
      <c r="C26" s="135" t="s">
        <v>275</v>
      </c>
      <c r="P26" s="93">
        <f>+'Pi''s Calc'!P15</f>
        <v>0</v>
      </c>
      <c r="Q26" s="93">
        <f>+'Pi''s Calc'!Q15</f>
        <v>0</v>
      </c>
      <c r="R26" s="93">
        <f>+'Pi''s Calc'!R15</f>
        <v>0</v>
      </c>
      <c r="S26" s="93">
        <f>+'Pi''s Calc'!S15</f>
        <v>0</v>
      </c>
      <c r="T26" s="93">
        <f>+'Pi''s Calc'!T15</f>
        <v>0</v>
      </c>
      <c r="U26" s="93">
        <f>+'Pi''s Calc'!U15</f>
        <v>0</v>
      </c>
      <c r="V26" s="93">
        <f>+'Pi''s Calc'!V15</f>
        <v>0</v>
      </c>
      <c r="W26" s="93">
        <f>+'Pi''s Calc'!W15</f>
        <v>0</v>
      </c>
      <c r="X26" s="93">
        <f>+'Pi''s Calc'!X15</f>
        <v>0</v>
      </c>
      <c r="Y26" s="93">
        <f>+'Pi''s Calc'!Y15</f>
        <v>0</v>
      </c>
      <c r="Z26" s="93">
        <f>+'Pi''s Calc'!Z15</f>
        <v>0</v>
      </c>
      <c r="AA26" s="93">
        <f>+'Pi''s Calc'!AA15</f>
        <v>0</v>
      </c>
      <c r="AB26" s="93">
        <f>+'Pi''s Calc'!AB15</f>
        <v>0</v>
      </c>
      <c r="AC26" s="93">
        <f>+'Pi''s Calc'!AC15</f>
        <v>0</v>
      </c>
      <c r="AD26" s="93">
        <f>+'Pi''s Calc'!AD15</f>
        <v>0</v>
      </c>
      <c r="AE26" s="93">
        <f>+'Pi''s Calc'!AE15</f>
        <v>0</v>
      </c>
      <c r="AF26" s="93">
        <f>+'Pi''s Calc'!AF15</f>
        <v>0</v>
      </c>
      <c r="AG26" s="93">
        <f>+'Pi''s Calc'!AG15</f>
        <v>0</v>
      </c>
      <c r="AH26" s="93">
        <f>+'Pi''s Calc'!AH15</f>
        <v>0</v>
      </c>
      <c r="AI26" s="93">
        <f>+'Pi''s Calc'!AI15</f>
        <v>0</v>
      </c>
      <c r="AJ26" s="93">
        <f>+'Pi''s Calc'!AJ15</f>
        <v>0</v>
      </c>
      <c r="AK26" s="93">
        <f>+'Pi''s Calc'!AK15</f>
        <v>0</v>
      </c>
      <c r="AL26" s="93">
        <f>+'Pi''s Calc'!AL15</f>
        <v>0</v>
      </c>
      <c r="AM26" s="93">
        <f>+'Pi''s Calc'!AM15</f>
        <v>0</v>
      </c>
      <c r="AN26" s="93">
        <f>+'Pi''s Calc'!AN15</f>
        <v>0</v>
      </c>
      <c r="AO26" s="93">
        <f>+'Pi''s Calc'!AO15</f>
        <v>0</v>
      </c>
      <c r="AP26" s="93">
        <f>+'Pi''s Calc'!AP15</f>
        <v>0</v>
      </c>
      <c r="AQ26" s="93">
        <f>+'Pi''s Calc'!AQ15</f>
        <v>0</v>
      </c>
      <c r="AR26" s="93">
        <f>+'Pi''s Calc'!AR15</f>
        <v>0</v>
      </c>
      <c r="AS26" s="93">
        <f>+'Pi''s Calc'!AS15</f>
        <v>0</v>
      </c>
      <c r="AT26" s="93">
        <f>+'Pi''s Calc'!AT15</f>
        <v>0</v>
      </c>
      <c r="AU26" s="93">
        <f>+'Pi''s Calc'!AU15</f>
        <v>0</v>
      </c>
      <c r="AV26" s="93">
        <f>+'Pi''s Calc'!AV15</f>
        <v>0</v>
      </c>
      <c r="AW26" s="93">
        <f>+'Pi''s Calc'!AW15</f>
        <v>0</v>
      </c>
      <c r="AX26" s="93">
        <f>+'Pi''s Calc'!AX15</f>
        <v>0</v>
      </c>
      <c r="AY26" s="93"/>
    </row>
    <row r="27" spans="1:51" ht="15">
      <c r="A27" s="102" t="s">
        <v>263</v>
      </c>
      <c r="B27" s="134" t="s">
        <v>264</v>
      </c>
      <c r="C27" s="135" t="s">
        <v>276</v>
      </c>
      <c r="P27" s="93">
        <f>+'Pi''s Calc'!P16</f>
        <v>11241.926339692429</v>
      </c>
      <c r="Q27" s="93">
        <f>+'Pi''s Calc'!Q16</f>
        <v>11241.926339692429</v>
      </c>
      <c r="R27" s="93">
        <f>+'Pi''s Calc'!R16</f>
        <v>11241.926339692429</v>
      </c>
      <c r="S27" s="93">
        <f>+'Pi''s Calc'!S16</f>
        <v>11241.926339692429</v>
      </c>
      <c r="T27" s="93">
        <f>+'Pi''s Calc'!T16</f>
        <v>11241.926339692429</v>
      </c>
      <c r="U27" s="93">
        <f>+'Pi''s Calc'!U16</f>
        <v>11241.926339692429</v>
      </c>
      <c r="V27" s="93">
        <f>+'Pi''s Calc'!V16</f>
        <v>11145.013181591632</v>
      </c>
      <c r="W27" s="93">
        <f>+'Pi''s Calc'!W16</f>
        <v>11048.100023490837</v>
      </c>
      <c r="X27" s="93">
        <f>+'Pi''s Calc'!X16</f>
        <v>10951.18686539004</v>
      </c>
      <c r="Y27" s="93">
        <f>+'Pi''s Calc'!Y16</f>
        <v>10854.273707289243</v>
      </c>
      <c r="Z27" s="93">
        <f>+'Pi''s Calc'!Z16</f>
        <v>10757.360549188446</v>
      </c>
      <c r="AA27" s="93">
        <f>+'Pi''s Calc'!AA16</f>
        <v>10660.447391087651</v>
      </c>
      <c r="AB27" s="93">
        <f>+'Pi''s Calc'!AB16</f>
        <v>10563.534232986854</v>
      </c>
      <c r="AC27" s="93">
        <f>+'Pi''s Calc'!AC16</f>
        <v>10466.621074886058</v>
      </c>
      <c r="AD27" s="93">
        <f>+'Pi''s Calc'!AD16</f>
        <v>10369.707916785261</v>
      </c>
      <c r="AE27" s="93">
        <f>+'Pi''s Calc'!AE16</f>
        <v>10272.794758684466</v>
      </c>
      <c r="AF27" s="93">
        <f>+'Pi''s Calc'!AF16</f>
        <v>10175.881600583669</v>
      </c>
      <c r="AG27" s="93">
        <f>+'Pi''s Calc'!AG16</f>
        <v>10078.968442482872</v>
      </c>
      <c r="AH27" s="93">
        <f>+'Pi''s Calc'!AH16</f>
        <v>9982.0552843820751</v>
      </c>
      <c r="AI27" s="93">
        <f>+'Pi''s Calc'!AI16</f>
        <v>9885.1421262812801</v>
      </c>
      <c r="AJ27" s="93">
        <f>+'Pi''s Calc'!AJ16</f>
        <v>9788.2289681804832</v>
      </c>
      <c r="AK27" s="93">
        <f>+'Pi''s Calc'!AK16</f>
        <v>9691.3158100796863</v>
      </c>
      <c r="AL27" s="93">
        <f>+'Pi''s Calc'!AL16</f>
        <v>9594.4026519788913</v>
      </c>
      <c r="AM27" s="93">
        <f>+'Pi''s Calc'!AM16</f>
        <v>9497.4894938780944</v>
      </c>
      <c r="AN27" s="93">
        <f>+'Pi''s Calc'!AN16</f>
        <v>9400.5763357772976</v>
      </c>
      <c r="AO27" s="93">
        <f>+'Pi''s Calc'!AO16</f>
        <v>9303.6631776765007</v>
      </c>
      <c r="AP27" s="93">
        <f>+'Pi''s Calc'!AP16</f>
        <v>9206.7500195757057</v>
      </c>
      <c r="AQ27" s="93">
        <f>+'Pi''s Calc'!AQ16</f>
        <v>9109.8368614749088</v>
      </c>
      <c r="AR27" s="93">
        <f>+'Pi''s Calc'!AR16</f>
        <v>9012.9237033741119</v>
      </c>
      <c r="AS27" s="93">
        <f>+'Pi''s Calc'!AS16</f>
        <v>8916.0105452733151</v>
      </c>
      <c r="AT27" s="93">
        <f>+'Pi''s Calc'!AT16</f>
        <v>8819.09738717252</v>
      </c>
      <c r="AU27" s="93">
        <f>+'Pi''s Calc'!AU16</f>
        <v>8722.1842290717232</v>
      </c>
      <c r="AV27" s="93">
        <f>+'Pi''s Calc'!AV16</f>
        <v>8625.2710709709263</v>
      </c>
      <c r="AW27" s="93">
        <f>+'Pi''s Calc'!AW16</f>
        <v>8528.3579128701294</v>
      </c>
      <c r="AX27" s="93">
        <f>+'Pi''s Calc'!AX16</f>
        <v>8431.4447547693344</v>
      </c>
      <c r="AY27" s="93"/>
    </row>
    <row r="28" spans="1:51" ht="15">
      <c r="A28" s="102" t="s">
        <v>265</v>
      </c>
      <c r="B28" s="134" t="s">
        <v>266</v>
      </c>
      <c r="P28" s="93">
        <f>+'Pi''s Calc'!P7</f>
        <v>4217.9400843879648</v>
      </c>
      <c r="Q28" s="93">
        <f>+'Pi''s Calc'!Q7</f>
        <v>3758.006338977033</v>
      </c>
      <c r="R28" s="93">
        <f>+'Pi''s Calc'!R7</f>
        <v>4677.375816999298</v>
      </c>
      <c r="S28" s="93">
        <f>+'Pi''s Calc'!S7</f>
        <v>5626.0419469285698</v>
      </c>
      <c r="T28" s="93">
        <f>+'Pi''s Calc'!T7</f>
        <v>3572.0569356295427</v>
      </c>
      <c r="U28" s="93">
        <f>+'Pi''s Calc'!U7</f>
        <v>4169.2738282653008</v>
      </c>
      <c r="V28" s="93">
        <f>+'Pi''s Calc'!V7</f>
        <v>1375.3154206352608</v>
      </c>
      <c r="W28" s="93">
        <f>+'Pi''s Calc'!W7</f>
        <v>1095.8996413116524</v>
      </c>
      <c r="X28" s="93">
        <f>+'Pi''s Calc'!X7</f>
        <v>1024.6360425663386</v>
      </c>
      <c r="Y28" s="93">
        <f>+'Pi''s Calc'!Y7</f>
        <v>955.28374867795935</v>
      </c>
      <c r="Z28" s="93">
        <f>+'Pi''s Calc'!Z7</f>
        <v>937.95983231835885</v>
      </c>
      <c r="AA28" s="93">
        <f>+'Pi''s Calc'!AA7</f>
        <v>929.29787413855865</v>
      </c>
      <c r="AB28" s="93">
        <f>+'Pi''s Calc'!AB7</f>
        <v>929.29787413855865</v>
      </c>
      <c r="AC28" s="93">
        <f>+'Pi''s Calc'!AC7</f>
        <v>996.47418171071683</v>
      </c>
      <c r="AD28" s="93">
        <f>+'Pi''s Calc'!AD7</f>
        <v>1052.4798504215169</v>
      </c>
      <c r="AE28" s="93">
        <f>+'Pi''s Calc'!AE7</f>
        <v>1077.452222164708</v>
      </c>
      <c r="AF28" s="93">
        <f>+'Pi''s Calc'!AF7</f>
        <v>1425.6225275963816</v>
      </c>
      <c r="AG28" s="93">
        <f>+'Pi''s Calc'!AG7</f>
        <v>1039.9436375457813</v>
      </c>
      <c r="AH28" s="93">
        <f>+'Pi''s Calc'!AH7</f>
        <v>1092.5857976382329</v>
      </c>
      <c r="AI28" s="93">
        <f>+'Pi''s Calc'!AI7</f>
        <v>1020.383366929987</v>
      </c>
      <c r="AJ28" s="93">
        <f>+'Pi''s Calc'!AJ7</f>
        <v>998.43258002732227</v>
      </c>
      <c r="AK28" s="93">
        <f>+'Pi''s Calc'!AK7</f>
        <v>966.11726845079693</v>
      </c>
      <c r="AL28" s="93">
        <f>+'Pi''s Calc'!AL7</f>
        <v>943.72785259161196</v>
      </c>
      <c r="AM28" s="93">
        <f>+'Pi''s Calc'!AM7</f>
        <v>975.55780653348017</v>
      </c>
      <c r="AN28" s="93">
        <f>+'Pi''s Calc'!AN7</f>
        <v>938.15484701761045</v>
      </c>
      <c r="AO28" s="93">
        <f>+'Pi''s Calc'!AO7</f>
        <v>949.16750025536021</v>
      </c>
      <c r="AP28" s="93">
        <f>+'Pi''s Calc'!AP7</f>
        <v>908.74108363708956</v>
      </c>
      <c r="AQ28" s="93">
        <f>+'Pi''s Calc'!AQ7</f>
        <v>869.36320290632614</v>
      </c>
      <c r="AR28" s="93">
        <f>+'Pi''s Calc'!AR7</f>
        <v>894.46030829464621</v>
      </c>
      <c r="AS28" s="93">
        <f>+'Pi''s Calc'!AS7</f>
        <v>892.46961092623428</v>
      </c>
      <c r="AT28" s="93">
        <f>+'Pi''s Calc'!AT7</f>
        <v>857.41991819622694</v>
      </c>
      <c r="AU28" s="93">
        <f>+'Pi''s Calc'!AU7</f>
        <v>847.54173662933044</v>
      </c>
      <c r="AV28" s="93">
        <f>+'Pi''s Calc'!AV7</f>
        <v>862.12042465562854</v>
      </c>
      <c r="AW28" s="93">
        <f>+'Pi''s Calc'!AW7</f>
        <v>877.61400946138053</v>
      </c>
      <c r="AX28" s="93">
        <f>+'Pi''s Calc'!AX7</f>
        <v>910.92717750896384</v>
      </c>
      <c r="AY28" s="93"/>
    </row>
    <row r="29" spans="1:51" ht="15">
      <c r="A29" s="102" t="s">
        <v>267</v>
      </c>
      <c r="B29" s="134" t="s">
        <v>268</v>
      </c>
      <c r="P29" s="93">
        <f>'Pi''s Calc'!P8</f>
        <v>3068.7589143826945</v>
      </c>
      <c r="Q29" s="93">
        <f>'Pi''s Calc'!Q8</f>
        <v>3367.4568702166835</v>
      </c>
      <c r="R29" s="93">
        <f>'Pi''s Calc'!R8</f>
        <v>3576.7605681749073</v>
      </c>
      <c r="S29" s="93">
        <f>'Pi''s Calc'!S8</f>
        <v>3855.3560758678741</v>
      </c>
      <c r="T29" s="93">
        <f>'Pi''s Calc'!T8</f>
        <v>4022.9638464735658</v>
      </c>
      <c r="U29" s="93">
        <f>'Pi''s Calc'!U8</f>
        <v>4203.1916331894672</v>
      </c>
      <c r="V29" s="93">
        <f>'Pi''s Calc'!V8</f>
        <v>4205.0809917086299</v>
      </c>
      <c r="W29" s="93">
        <f>'Pi''s Calc'!W8</f>
        <v>4261.3442862327356</v>
      </c>
      <c r="X29" s="93">
        <f>'Pi''s Calc'!X8</f>
        <v>4338.8843436145789</v>
      </c>
      <c r="Y29" s="93">
        <f>'Pi''s Calc'!Y8</f>
        <v>4437.5754439206112</v>
      </c>
      <c r="Z29" s="93">
        <f>'Pi''s Calc'!Z8</f>
        <v>4548.7759253482463</v>
      </c>
      <c r="AA29" s="93">
        <f>'Pi''s Calc'!AA8</f>
        <v>4659.7982854257334</v>
      </c>
      <c r="AB29" s="93">
        <f>'Pi''s Calc'!AB8</f>
        <v>4775.2466170745547</v>
      </c>
      <c r="AC29" s="93">
        <f>'Pi''s Calc'!AC8</f>
        <v>4895.5432138829328</v>
      </c>
      <c r="AD29" s="93">
        <f>'Pi''s Calc'!AD8</f>
        <v>5007.5968120495063</v>
      </c>
      <c r="AE29" s="93">
        <f>'Pi''s Calc'!AE8</f>
        <v>5096.2859556802459</v>
      </c>
      <c r="AF29" s="93">
        <f>'Pi''s Calc'!AF8</f>
        <v>5142.9343794044589</v>
      </c>
      <c r="AG29" s="93">
        <f>'Pi''s Calc'!AG8</f>
        <v>5187.9158997382592</v>
      </c>
      <c r="AH29" s="93">
        <f>'Pi''s Calc'!AH8</f>
        <v>5228.6746301999146</v>
      </c>
      <c r="AI29" s="93">
        <f>'Pi''s Calc'!AI8</f>
        <v>5280.2530357965288</v>
      </c>
      <c r="AJ29" s="93">
        <f>'Pi''s Calc'!AJ8</f>
        <v>5353.5539881922959</v>
      </c>
      <c r="AK29" s="93">
        <f>'Pi''s Calc'!AK8</f>
        <v>5421.8482406865096</v>
      </c>
      <c r="AL29" s="93">
        <f>'Pi''s Calc'!AL8</f>
        <v>5480.3441191368083</v>
      </c>
      <c r="AM29" s="93">
        <f>'Pi''s Calc'!AM8</f>
        <v>5537.8809300652574</v>
      </c>
      <c r="AN29" s="93">
        <f>'Pi''s Calc'!AN8</f>
        <v>5609.4487599280983</v>
      </c>
      <c r="AO29" s="93">
        <f>'Pi''s Calc'!AO8</f>
        <v>5672.3574525035783</v>
      </c>
      <c r="AP29" s="93">
        <f>'Pi''s Calc'!AP8</f>
        <v>5751.198703887595</v>
      </c>
      <c r="AQ29" s="93">
        <f>'Pi''s Calc'!AQ8</f>
        <v>5832.0504720092586</v>
      </c>
      <c r="AR29" s="93">
        <f>'Pi''s Calc'!AR8</f>
        <v>5915.1709622771277</v>
      </c>
      <c r="AS29" s="93">
        <f>'Pi''s Calc'!AS8</f>
        <v>5996.5249594701527</v>
      </c>
      <c r="AT29" s="93">
        <f>'Pi''s Calc'!AT8</f>
        <v>6075.3111779838391</v>
      </c>
      <c r="AU29" s="93">
        <f>'Pi''s Calc'!AU8</f>
        <v>6154.4942613035064</v>
      </c>
      <c r="AV29" s="93">
        <f>'Pi''s Calc'!AV8</f>
        <v>6234.873607169885</v>
      </c>
      <c r="AW29" s="93">
        <f>'Pi''s Calc'!AW8</f>
        <v>6314.8879101639686</v>
      </c>
      <c r="AX29" s="93">
        <f>'Pi''s Calc'!AX8</f>
        <v>6398.1774866229462</v>
      </c>
      <c r="AY29" s="93"/>
    </row>
    <row r="30" spans="1:51" ht="15">
      <c r="A30" s="102" t="s">
        <v>269</v>
      </c>
      <c r="B30" s="134" t="s">
        <v>270</v>
      </c>
      <c r="P30" s="93">
        <f>+'DAV Pi'!P59</f>
        <v>1615.5694518493642</v>
      </c>
      <c r="Q30" s="93">
        <f>+'DAV Pi'!Q59</f>
        <v>1638.7577105098619</v>
      </c>
      <c r="R30" s="93">
        <f>+'DAV Pi'!R59</f>
        <v>1686.8096176460731</v>
      </c>
      <c r="S30" s="93">
        <f>+'DAV Pi'!S59</f>
        <v>1764.0886645687453</v>
      </c>
      <c r="T30" s="93">
        <f>+'DAV Pi'!T59</f>
        <v>1789.0485264579588</v>
      </c>
      <c r="U30" s="93">
        <f>+'DAV Pi'!U59</f>
        <v>1908.0212011872475</v>
      </c>
      <c r="V30" s="93">
        <f>+'DAV Pi'!V59</f>
        <v>1949.0280889320313</v>
      </c>
      <c r="W30" s="93">
        <f>+'DAV Pi'!W59</f>
        <v>1980.1853371826087</v>
      </c>
      <c r="X30" s="93">
        <f>+'DAV Pi'!X59</f>
        <v>2007.982582173049</v>
      </c>
      <c r="Y30" s="93">
        <f>+'DAV Pi'!Y59</f>
        <v>2032.7957877653935</v>
      </c>
      <c r="Z30" s="93">
        <f>+'DAV Pi'!Z59</f>
        <v>2043.6954078856429</v>
      </c>
      <c r="AA30" s="93">
        <f>+'DAV Pi'!AA59</f>
        <v>2028.628812035392</v>
      </c>
      <c r="AB30" s="93">
        <f>+'DAV Pi'!AB59</f>
        <v>2022.7723197938431</v>
      </c>
      <c r="AC30" s="93">
        <f>+'DAV Pi'!AC59</f>
        <v>1992.7173514300639</v>
      </c>
      <c r="AD30" s="93">
        <f>+'DAV Pi'!AD59</f>
        <v>1990.9473990715442</v>
      </c>
      <c r="AE30" s="93">
        <f>+'DAV Pi'!AE59</f>
        <v>2007.6812784587723</v>
      </c>
      <c r="AF30" s="93">
        <f>+'DAV Pi'!AF59</f>
        <v>2032.558809131438</v>
      </c>
      <c r="AG30" s="93">
        <f>+'DAV Pi'!AG59</f>
        <v>2049.5938108355758</v>
      </c>
      <c r="AH30" s="93">
        <f>+'DAV Pi'!AH59</f>
        <v>2063.460247719745</v>
      </c>
      <c r="AI30" s="93">
        <f>+'DAV Pi'!AI59</f>
        <v>2076.8230044556781</v>
      </c>
      <c r="AJ30" s="93">
        <f>+'DAV Pi'!AJ59</f>
        <v>2089.1378845441941</v>
      </c>
      <c r="AK30" s="93">
        <f>+'DAV Pi'!AK59</f>
        <v>2105.296837045827</v>
      </c>
      <c r="AL30" s="93">
        <f>+'DAV Pi'!AL59</f>
        <v>2126.0105806571714</v>
      </c>
      <c r="AM30" s="93">
        <f>+'DAV Pi'!AM59</f>
        <v>2151.4514890702212</v>
      </c>
      <c r="AN30" s="93">
        <f>+'DAV Pi'!AN59</f>
        <v>2176.5885585942174</v>
      </c>
      <c r="AO30" s="93">
        <f>+'DAV Pi'!AO59</f>
        <v>2203.2983655217095</v>
      </c>
      <c r="AP30" s="93">
        <f>+'DAV Pi'!AP59</f>
        <v>2227.5564206839504</v>
      </c>
      <c r="AQ30" s="93">
        <f>+'DAV Pi'!AQ59</f>
        <v>2249.1888942101473</v>
      </c>
      <c r="AR30" s="93">
        <f>+'DAV Pi'!AR59</f>
        <v>2270.6826163337178</v>
      </c>
      <c r="AS30" s="93">
        <f>+'DAV Pi'!AS59</f>
        <v>2291.4665521640941</v>
      </c>
      <c r="AT30" s="93">
        <f>+'DAV Pi'!AT59</f>
        <v>2306.9471636809158</v>
      </c>
      <c r="AU30" s="93">
        <f>+'DAV Pi'!AU59</f>
        <v>2322.8737308439777</v>
      </c>
      <c r="AV30" s="93">
        <f>+'DAV Pi'!AV59</f>
        <v>2333.2730243169681</v>
      </c>
      <c r="AW30" s="93">
        <f>+'DAV Pi'!AW59</f>
        <v>2339.1296487490054</v>
      </c>
      <c r="AX30" s="93">
        <f>+'DAV Pi'!AX59</f>
        <v>2347.736639183197</v>
      </c>
      <c r="AY30" s="93"/>
    </row>
    <row r="31" spans="1:51" ht="15">
      <c r="A31" s="102" t="s">
        <v>24</v>
      </c>
      <c r="B31" s="134" t="s">
        <v>284</v>
      </c>
      <c r="P31" s="93">
        <f>-'Pi''s Calc'!P31</f>
        <v>0</v>
      </c>
      <c r="Q31" s="93">
        <f>-'Pi''s Calc'!Q31</f>
        <v>0</v>
      </c>
      <c r="R31" s="93">
        <f>-'Pi''s Calc'!R31</f>
        <v>0</v>
      </c>
      <c r="S31" s="93">
        <f>-'Pi''s Calc'!S31</f>
        <v>0</v>
      </c>
      <c r="T31" s="93">
        <f>-'Pi''s Calc'!T31</f>
        <v>0</v>
      </c>
      <c r="U31" s="93">
        <f>-'Pi''s Calc'!U31</f>
        <v>0</v>
      </c>
      <c r="V31" s="93">
        <f>-'Pi''s Calc'!V31</f>
        <v>0</v>
      </c>
      <c r="W31" s="93">
        <f>-'Pi''s Calc'!W31</f>
        <v>0</v>
      </c>
      <c r="X31" s="93">
        <f>-'Pi''s Calc'!X31</f>
        <v>0</v>
      </c>
      <c r="Y31" s="93">
        <f>-'Pi''s Calc'!Y31</f>
        <v>0</v>
      </c>
      <c r="Z31" s="93">
        <f>-'Pi''s Calc'!Z31</f>
        <v>0</v>
      </c>
      <c r="AA31" s="93">
        <f>-'Pi''s Calc'!AA31</f>
        <v>0</v>
      </c>
      <c r="AB31" s="93">
        <f>-'Pi''s Calc'!AB31</f>
        <v>146.7790155643375</v>
      </c>
      <c r="AC31" s="93">
        <f>-'Pi''s Calc'!AC31</f>
        <v>172.33139532560395</v>
      </c>
      <c r="AD31" s="93">
        <f>-'Pi''s Calc'!AD31</f>
        <v>178.88852562871296</v>
      </c>
      <c r="AE31" s="93">
        <f>-'Pi''s Calc'!AE31</f>
        <v>188.8033764965615</v>
      </c>
      <c r="AF31" s="93">
        <f>-'Pi''s Calc'!AF31</f>
        <v>198.56592797385264</v>
      </c>
      <c r="AG31" s="93">
        <f>-'Pi''s Calc'!AG31</f>
        <v>213.77449051605606</v>
      </c>
      <c r="AH31" s="93">
        <f>-'Pi''s Calc'!AH31</f>
        <v>224.38152301848453</v>
      </c>
      <c r="AI31" s="93">
        <f>-'Pi''s Calc'!AI31</f>
        <v>233.62503852616399</v>
      </c>
      <c r="AJ31" s="93">
        <f>-'Pi''s Calc'!AJ31</f>
        <v>237.64204598498631</v>
      </c>
      <c r="AK31" s="93">
        <f>-'Pi''s Calc'!AK31</f>
        <v>243.55209820016762</v>
      </c>
      <c r="AL31" s="93">
        <f>-'Pi''s Calc'!AL31</f>
        <v>246.26897182075015</v>
      </c>
      <c r="AM31" s="93">
        <f>-'Pi''s Calc'!AM31</f>
        <v>248.86628648070635</v>
      </c>
      <c r="AN31" s="93">
        <f>-'Pi''s Calc'!AN31</f>
        <v>248.05099856066505</v>
      </c>
      <c r="AO31" s="93">
        <f>-'Pi''s Calc'!AO31</f>
        <v>249.2463818979455</v>
      </c>
      <c r="AP31" s="93">
        <f>-'Pi''s Calc'!AP31</f>
        <v>243.3873523325133</v>
      </c>
      <c r="AQ31" s="93">
        <f>-'Pi''s Calc'!AQ31</f>
        <v>238.38970826875141</v>
      </c>
      <c r="AR31" s="93">
        <f>-'Pi''s Calc'!AR31</f>
        <v>231.74981578699163</v>
      </c>
      <c r="AS31" s="93">
        <f>-'Pi''s Calc'!AS31</f>
        <v>226.23673629722259</v>
      </c>
      <c r="AT31" s="93">
        <f>-'Pi''s Calc'!AT31</f>
        <v>217.20659015274589</v>
      </c>
      <c r="AU31" s="93">
        <f>-'Pi''s Calc'!AU31</f>
        <v>208.57349006653899</v>
      </c>
      <c r="AV31" s="93">
        <f>-'Pi''s Calc'!AV31</f>
        <v>198.48319664079895</v>
      </c>
      <c r="AW31" s="93">
        <f>-'Pi''s Calc'!AW31</f>
        <v>188.86856643662398</v>
      </c>
      <c r="AX31" s="93">
        <f>-'Pi''s Calc'!AX31</f>
        <v>173.89548079695018</v>
      </c>
      <c r="AY31" s="93"/>
    </row>
    <row r="32" spans="1:51" ht="15">
      <c r="A32" s="102" t="s">
        <v>35</v>
      </c>
      <c r="B32" s="134" t="s">
        <v>271</v>
      </c>
      <c r="P32" s="93">
        <f>+'Pi''s Calc'!P32</f>
        <v>-1132.3683337952361</v>
      </c>
      <c r="Q32" s="93">
        <f>+'Pi''s Calc'!Q32</f>
        <v>-735.82783935201951</v>
      </c>
      <c r="R32" s="93">
        <f>+'Pi''s Calc'!R32</f>
        <v>-1412.3549636094094</v>
      </c>
      <c r="S32" s="93">
        <f>+'Pi''s Calc'!S32</f>
        <v>-2178.3196973044669</v>
      </c>
      <c r="T32" s="93">
        <f>+'Pi''s Calc'!T32</f>
        <v>58.606518281613262</v>
      </c>
      <c r="U32" s="93">
        <f>+'Pi''s Calc'!U32</f>
        <v>-414.38302235246647</v>
      </c>
      <c r="V32" s="93">
        <f>+'Pi''s Calc'!V32</f>
        <v>2557.9523034961467</v>
      </c>
      <c r="W32" s="93">
        <f>+'Pi''s Calc'!W32</f>
        <v>2918.8143563078611</v>
      </c>
      <c r="X32" s="93">
        <f>+'Pi''s Calc'!X32</f>
        <v>3009.4020420857896</v>
      </c>
      <c r="Y32" s="93">
        <f>+'Pi''s Calc'!Y32</f>
        <v>3060.9204100966099</v>
      </c>
      <c r="Z32" s="93">
        <f>+'Pi''s Calc'!Z32</f>
        <v>3013.5870634141065</v>
      </c>
      <c r="AA32" s="93">
        <f>+'Pi''s Calc'!AA32</f>
        <v>2961.791908204329</v>
      </c>
      <c r="AB32" s="93">
        <f>+'Pi''s Calc'!AB32</f>
        <v>2746.4716833691059</v>
      </c>
      <c r="AC32" s="93">
        <f>+'Pi''s Calc'!AC32</f>
        <v>2591.2371590344774</v>
      </c>
      <c r="AD32" s="93">
        <f>+'Pi''s Calc'!AD32</f>
        <v>2455.3035768478885</v>
      </c>
      <c r="AE32" s="93">
        <f>+'Pi''s Calc'!AE32</f>
        <v>2375.3502638898567</v>
      </c>
      <c r="AF32" s="93">
        <f>+'Pi''s Calc'!AF32</f>
        <v>2006.1863106369703</v>
      </c>
      <c r="AG32" s="93">
        <f>+'Pi''s Calc'!AG32</f>
        <v>2371.1348430637163</v>
      </c>
      <c r="AH32" s="93">
        <f>+'Pi''s Calc'!AH32</f>
        <v>2282.3401945098103</v>
      </c>
      <c r="AI32" s="93">
        <f>+'Pi''s Calc'!AI32</f>
        <v>2312.2455320588938</v>
      </c>
      <c r="AJ32" s="93">
        <f>+'Pi''s Calc'!AJ32</f>
        <v>2271.9399005121272</v>
      </c>
      <c r="AK32" s="93">
        <f>+'Pi''s Calc'!AK32</f>
        <v>2252.0776869632914</v>
      </c>
      <c r="AL32" s="93">
        <f>+'Pi''s Calc'!AL32</f>
        <v>2211.1423499892426</v>
      </c>
      <c r="AM32" s="93">
        <f>+'Pi''s Calc'!AM32</f>
        <v>2122.2719513001239</v>
      </c>
      <c r="AN32" s="93">
        <f>+'Pi''s Calc'!AN32</f>
        <v>2089.6446744129425</v>
      </c>
      <c r="AO32" s="93">
        <f>+'Pi''s Calc'!AO32</f>
        <v>2021.6002927856675</v>
      </c>
      <c r="AP32" s="93">
        <f>+'Pi''s Calc'!AP32</f>
        <v>1975.7840032402241</v>
      </c>
      <c r="AQ32" s="93">
        <f>+'Pi''s Calc'!AQ32</f>
        <v>1933.1755403888224</v>
      </c>
      <c r="AR32" s="93">
        <f>+'Pi''s Calc'!AR32</f>
        <v>1824.8412793617815</v>
      </c>
      <c r="AS32" s="93">
        <f>+'Pi''s Calc'!AS32</f>
        <v>1752.4042384314562</v>
      </c>
      <c r="AT32" s="93">
        <f>+'Pi''s Calc'!AT32</f>
        <v>1698.9229745152215</v>
      </c>
      <c r="AU32" s="93">
        <f>+'Pi''s Calc'!AU32</f>
        <v>1624.6050852328883</v>
      </c>
      <c r="AV32" s="93">
        <f>+'Pi''s Calc'!AV32</f>
        <v>1524.4482869398328</v>
      </c>
      <c r="AW32" s="93">
        <f>+'Pi''s Calc'!AW32</f>
        <v>1430.3627300919634</v>
      </c>
      <c r="AX32" s="93">
        <f>+'Pi''s Calc'!AX32</f>
        <v>1301.9874803354971</v>
      </c>
      <c r="AY32" s="93"/>
    </row>
    <row r="33" spans="1:51" ht="15">
      <c r="A33" s="102" t="s">
        <v>272</v>
      </c>
      <c r="B33" s="134" t="s">
        <v>273</v>
      </c>
      <c r="C33" s="135" t="s">
        <v>147</v>
      </c>
      <c r="P33" s="132">
        <f>+'Pi''s Calc'!P20</f>
        <v>0.47010108141087503</v>
      </c>
      <c r="Q33" s="132">
        <f>+'Pi''s Calc'!Q20</f>
        <v>0.47010108141087503</v>
      </c>
      <c r="R33" s="132">
        <f>+'Pi''s Calc'!R20</f>
        <v>0.47010108141087503</v>
      </c>
      <c r="S33" s="132">
        <f>+'Pi''s Calc'!S20</f>
        <v>0.47010108141087503</v>
      </c>
      <c r="T33" s="132">
        <f>+'Pi''s Calc'!T20</f>
        <v>0.47010108141087503</v>
      </c>
      <c r="U33" s="132">
        <f>+'Pi''s Calc'!U20</f>
        <v>0.47010108141087503</v>
      </c>
      <c r="V33" s="132">
        <f>+'Pi''s Calc'!V20</f>
        <v>0.47010108141087503</v>
      </c>
      <c r="W33" s="132">
        <f>+'Pi''s Calc'!W20</f>
        <v>0.47010108141087503</v>
      </c>
      <c r="X33" s="132">
        <f>+'Pi''s Calc'!X20</f>
        <v>0.47010108141087503</v>
      </c>
      <c r="Y33" s="132">
        <f>+'Pi''s Calc'!Y20</f>
        <v>0.47010108141087503</v>
      </c>
      <c r="Z33" s="132">
        <f>+'Pi''s Calc'!Z20</f>
        <v>0.47010108141087503</v>
      </c>
      <c r="AA33" s="132">
        <f>+'Pi''s Calc'!AA20</f>
        <v>0.47010108141087503</v>
      </c>
      <c r="AB33" s="132">
        <f>+'Pi''s Calc'!AB20</f>
        <v>0.47010108141087503</v>
      </c>
      <c r="AC33" s="132">
        <f>+'Pi''s Calc'!AC20</f>
        <v>0.47010108141087503</v>
      </c>
      <c r="AD33" s="132">
        <f>+'Pi''s Calc'!AD20</f>
        <v>0.47010108141087503</v>
      </c>
      <c r="AE33" s="132">
        <f>+'Pi''s Calc'!AE20</f>
        <v>0.47010108141087503</v>
      </c>
      <c r="AF33" s="132">
        <f>+'Pi''s Calc'!AF20</f>
        <v>0.47010108141087503</v>
      </c>
      <c r="AG33" s="132">
        <f>+'Pi''s Calc'!AG20</f>
        <v>0.47010108141087503</v>
      </c>
      <c r="AH33" s="132">
        <f>+'Pi''s Calc'!AH20</f>
        <v>0.47010108141087503</v>
      </c>
      <c r="AI33" s="132">
        <f>+'Pi''s Calc'!AI20</f>
        <v>0.47010108141087503</v>
      </c>
      <c r="AJ33" s="132">
        <f>+'Pi''s Calc'!AJ20</f>
        <v>0.47010108141087503</v>
      </c>
      <c r="AK33" s="132">
        <f>+'Pi''s Calc'!AK20</f>
        <v>0.47010108141087503</v>
      </c>
      <c r="AL33" s="132">
        <f>+'Pi''s Calc'!AL20</f>
        <v>0.47010108141087503</v>
      </c>
      <c r="AM33" s="132">
        <f>+'Pi''s Calc'!AM20</f>
        <v>0.47010108141087503</v>
      </c>
      <c r="AN33" s="132">
        <f>+'Pi''s Calc'!AN20</f>
        <v>0.47010108141087503</v>
      </c>
      <c r="AO33" s="132">
        <f>+'Pi''s Calc'!AO20</f>
        <v>0.47010108141087503</v>
      </c>
      <c r="AP33" s="132">
        <f>+'Pi''s Calc'!AP20</f>
        <v>0.47010108141087503</v>
      </c>
      <c r="AQ33" s="132">
        <f>+'Pi''s Calc'!AQ20</f>
        <v>0.47010108141087503</v>
      </c>
      <c r="AR33" s="132">
        <f>+'Pi''s Calc'!AR20</f>
        <v>0.47010108141087503</v>
      </c>
      <c r="AS33" s="132">
        <f>+'Pi''s Calc'!AS20</f>
        <v>0.47010108141087503</v>
      </c>
      <c r="AT33" s="132">
        <f>+'Pi''s Calc'!AT20</f>
        <v>0.47010108141087503</v>
      </c>
      <c r="AU33" s="132">
        <f>+'Pi''s Calc'!AU20</f>
        <v>0.47010108141087503</v>
      </c>
      <c r="AV33" s="132">
        <f>+'Pi''s Calc'!AV20</f>
        <v>0.47010108141087503</v>
      </c>
      <c r="AW33" s="132">
        <f>+'Pi''s Calc'!AW20</f>
        <v>0.47010108141087503</v>
      </c>
      <c r="AX33" s="132">
        <f>+'Pi''s Calc'!AX20</f>
        <v>0.47010108141087503</v>
      </c>
      <c r="AY33" s="132"/>
    </row>
    <row r="34" spans="1:51" ht="15">
      <c r="A34" s="102" t="s">
        <v>272</v>
      </c>
      <c r="B34" s="134" t="s">
        <v>273</v>
      </c>
      <c r="C34" s="135" t="s">
        <v>148</v>
      </c>
      <c r="P34" s="132">
        <f>+'Pi''s Calc'!P21</f>
        <v>0.47010108141087503</v>
      </c>
      <c r="Q34" s="132">
        <f>+'Pi''s Calc'!Q21</f>
        <v>0.47010108141087503</v>
      </c>
      <c r="R34" s="132">
        <f>+'Pi''s Calc'!R21</f>
        <v>0.47010108141087503</v>
      </c>
      <c r="S34" s="132">
        <f>+'Pi''s Calc'!S21</f>
        <v>0.47010108141087503</v>
      </c>
      <c r="T34" s="132">
        <f>+'Pi''s Calc'!T21</f>
        <v>0.47010108141087503</v>
      </c>
      <c r="U34" s="132">
        <f>+'Pi''s Calc'!U21</f>
        <v>0.47010108141087503</v>
      </c>
      <c r="V34" s="132">
        <f>+'Pi''s Calc'!V21</f>
        <v>0.47010108141087503</v>
      </c>
      <c r="W34" s="132">
        <f>+'Pi''s Calc'!W21</f>
        <v>0.47010108141087503</v>
      </c>
      <c r="X34" s="132">
        <f>+'Pi''s Calc'!X21</f>
        <v>0.47010108141087503</v>
      </c>
      <c r="Y34" s="132">
        <f>+'Pi''s Calc'!Y21</f>
        <v>0.47010108141087503</v>
      </c>
      <c r="Z34" s="132">
        <f>+'Pi''s Calc'!Z21</f>
        <v>0.47010108141087503</v>
      </c>
      <c r="AA34" s="132">
        <f>+'Pi''s Calc'!AA21</f>
        <v>0.47010108141087503</v>
      </c>
      <c r="AB34" s="132">
        <f>+'Pi''s Calc'!AB21</f>
        <v>0.47010108141087503</v>
      </c>
      <c r="AC34" s="132">
        <f>+'Pi''s Calc'!AC21</f>
        <v>0.47010108141087503</v>
      </c>
      <c r="AD34" s="132">
        <f>+'Pi''s Calc'!AD21</f>
        <v>0.47010108141087503</v>
      </c>
      <c r="AE34" s="132">
        <f>+'Pi''s Calc'!AE21</f>
        <v>0.47010108141087503</v>
      </c>
      <c r="AF34" s="132">
        <f>+'Pi''s Calc'!AF21</f>
        <v>0.47010108141087503</v>
      </c>
      <c r="AG34" s="132">
        <f>+'Pi''s Calc'!AG21</f>
        <v>0.47010108141087503</v>
      </c>
      <c r="AH34" s="132">
        <f>+'Pi''s Calc'!AH21</f>
        <v>0.47010108141087503</v>
      </c>
      <c r="AI34" s="132">
        <f>+'Pi''s Calc'!AI21</f>
        <v>0.47010108141087503</v>
      </c>
      <c r="AJ34" s="132">
        <f>+'Pi''s Calc'!AJ21</f>
        <v>0.47010108141087503</v>
      </c>
      <c r="AK34" s="132">
        <f>+'Pi''s Calc'!AK21</f>
        <v>0.47010108141087503</v>
      </c>
      <c r="AL34" s="132">
        <f>+'Pi''s Calc'!AL21</f>
        <v>0.47010108141087503</v>
      </c>
      <c r="AM34" s="132">
        <f>+'Pi''s Calc'!AM21</f>
        <v>0.47010108141087503</v>
      </c>
      <c r="AN34" s="132">
        <f>+'Pi''s Calc'!AN21</f>
        <v>0.47010108141087503</v>
      </c>
      <c r="AO34" s="132">
        <f>+'Pi''s Calc'!AO21</f>
        <v>0.47010108141087503</v>
      </c>
      <c r="AP34" s="132">
        <f>+'Pi''s Calc'!AP21</f>
        <v>0.47010108141087503</v>
      </c>
      <c r="AQ34" s="132">
        <f>+'Pi''s Calc'!AQ21</f>
        <v>0.47010108141087503</v>
      </c>
      <c r="AR34" s="132">
        <f>+'Pi''s Calc'!AR21</f>
        <v>0.47010108141087503</v>
      </c>
      <c r="AS34" s="132">
        <f>+'Pi''s Calc'!AS21</f>
        <v>0.47010108141087503</v>
      </c>
      <c r="AT34" s="132">
        <f>+'Pi''s Calc'!AT21</f>
        <v>0.47010108141087503</v>
      </c>
      <c r="AU34" s="132">
        <f>+'Pi''s Calc'!AU21</f>
        <v>0.47010108141087503</v>
      </c>
      <c r="AV34" s="132">
        <f>+'Pi''s Calc'!AV21</f>
        <v>0.47010108141087503</v>
      </c>
      <c r="AW34" s="132">
        <f>+'Pi''s Calc'!AW21</f>
        <v>0.47010108141087503</v>
      </c>
      <c r="AX34" s="132">
        <f>+'Pi''s Calc'!AX21</f>
        <v>0.47010108141087503</v>
      </c>
      <c r="AY34" s="132"/>
    </row>
    <row r="35" spans="1:51" ht="15">
      <c r="A35" s="102" t="s">
        <v>272</v>
      </c>
      <c r="B35" s="134" t="s">
        <v>273</v>
      </c>
      <c r="C35" s="135" t="s">
        <v>149</v>
      </c>
      <c r="P35" s="132">
        <f>+'Pi''s Calc'!P22</f>
        <v>0.45411764464290527</v>
      </c>
      <c r="Q35" s="132">
        <f>+'Pi''s Calc'!Q22</f>
        <v>0.45411764464290527</v>
      </c>
      <c r="R35" s="132">
        <f>+'Pi''s Calc'!R22</f>
        <v>0.45411764464290527</v>
      </c>
      <c r="S35" s="132">
        <f>+'Pi''s Calc'!S22</f>
        <v>0.45411764464290527</v>
      </c>
      <c r="T35" s="132">
        <f>+'Pi''s Calc'!T22</f>
        <v>0.45411764464290527</v>
      </c>
      <c r="U35" s="132">
        <f>+'Pi''s Calc'!U22</f>
        <v>0.45411764464290527</v>
      </c>
      <c r="V35" s="132">
        <f>+'Pi''s Calc'!V22</f>
        <v>0.45411764464290527</v>
      </c>
      <c r="W35" s="132">
        <f>+'Pi''s Calc'!W22</f>
        <v>0.45411764464290527</v>
      </c>
      <c r="X35" s="132">
        <f>+'Pi''s Calc'!X22</f>
        <v>0.45411764464290527</v>
      </c>
      <c r="Y35" s="132">
        <f>+'Pi''s Calc'!Y22</f>
        <v>0.45411764464290527</v>
      </c>
      <c r="Z35" s="132">
        <f>+'Pi''s Calc'!Z22</f>
        <v>0.45411764464290527</v>
      </c>
      <c r="AA35" s="132">
        <f>+'Pi''s Calc'!AA22</f>
        <v>0.45411764464290527</v>
      </c>
      <c r="AB35" s="132">
        <f>+'Pi''s Calc'!AB22</f>
        <v>0.45411764464290527</v>
      </c>
      <c r="AC35" s="132">
        <f>+'Pi''s Calc'!AC22</f>
        <v>0.45411764464290527</v>
      </c>
      <c r="AD35" s="132">
        <f>+'Pi''s Calc'!AD22</f>
        <v>0.45411764464290527</v>
      </c>
      <c r="AE35" s="132">
        <f>+'Pi''s Calc'!AE22</f>
        <v>0.45411764464290527</v>
      </c>
      <c r="AF35" s="132">
        <f>+'Pi''s Calc'!AF22</f>
        <v>0.45411764464290527</v>
      </c>
      <c r="AG35" s="132">
        <f>+'Pi''s Calc'!AG22</f>
        <v>0.45411764464290527</v>
      </c>
      <c r="AH35" s="132">
        <f>+'Pi''s Calc'!AH22</f>
        <v>0.45411764464290527</v>
      </c>
      <c r="AI35" s="132">
        <f>+'Pi''s Calc'!AI22</f>
        <v>0.45411764464290527</v>
      </c>
      <c r="AJ35" s="132">
        <f>+'Pi''s Calc'!AJ22</f>
        <v>0.45411764464290527</v>
      </c>
      <c r="AK35" s="132">
        <f>+'Pi''s Calc'!AK22</f>
        <v>0.45411764464290527</v>
      </c>
      <c r="AL35" s="132">
        <f>+'Pi''s Calc'!AL22</f>
        <v>0.45411764464290527</v>
      </c>
      <c r="AM35" s="132">
        <f>+'Pi''s Calc'!AM22</f>
        <v>0.45411764464290527</v>
      </c>
      <c r="AN35" s="132">
        <f>+'Pi''s Calc'!AN22</f>
        <v>0.45411764464290527</v>
      </c>
      <c r="AO35" s="132">
        <f>+'Pi''s Calc'!AO22</f>
        <v>0.45411764464290527</v>
      </c>
      <c r="AP35" s="132">
        <f>+'Pi''s Calc'!AP22</f>
        <v>0.45411764464290527</v>
      </c>
      <c r="AQ35" s="132">
        <f>+'Pi''s Calc'!AQ22</f>
        <v>0.45411764464290527</v>
      </c>
      <c r="AR35" s="132">
        <f>+'Pi''s Calc'!AR22</f>
        <v>0.45411764464290527</v>
      </c>
      <c r="AS35" s="132">
        <f>+'Pi''s Calc'!AS22</f>
        <v>0.45411764464290527</v>
      </c>
      <c r="AT35" s="132">
        <f>+'Pi''s Calc'!AT22</f>
        <v>0.45411764464290527</v>
      </c>
      <c r="AU35" s="132">
        <f>+'Pi''s Calc'!AU22</f>
        <v>0.45411764464290527</v>
      </c>
      <c r="AV35" s="132">
        <f>+'Pi''s Calc'!AV22</f>
        <v>0.45411764464290527</v>
      </c>
      <c r="AW35" s="132">
        <f>+'Pi''s Calc'!AW22</f>
        <v>0.45411764464290527</v>
      </c>
      <c r="AX35" s="132">
        <f>+'Pi''s Calc'!AX22</f>
        <v>0.45411764464290527</v>
      </c>
      <c r="AY35" s="132"/>
    </row>
    <row r="36" spans="1:51" ht="15">
      <c r="A36" s="102" t="s">
        <v>272</v>
      </c>
      <c r="B36" s="134" t="s">
        <v>273</v>
      </c>
      <c r="C36" s="135" t="s">
        <v>150</v>
      </c>
      <c r="P36" s="132">
        <f>+'Pi''s Calc'!P23</f>
        <v>0.25855559477598128</v>
      </c>
      <c r="Q36" s="132">
        <f>+'Pi''s Calc'!Q23</f>
        <v>0.25855559477598128</v>
      </c>
      <c r="R36" s="132">
        <f>+'Pi''s Calc'!R23</f>
        <v>0.25855559477598128</v>
      </c>
      <c r="S36" s="132">
        <f>+'Pi''s Calc'!S23</f>
        <v>0.25855559477598128</v>
      </c>
      <c r="T36" s="132">
        <f>+'Pi''s Calc'!T23</f>
        <v>0.25855559477598128</v>
      </c>
      <c r="U36" s="132">
        <f>+'Pi''s Calc'!U23</f>
        <v>0.25855559477598128</v>
      </c>
      <c r="V36" s="132">
        <f>+'Pi''s Calc'!V23</f>
        <v>0.25855559477598128</v>
      </c>
      <c r="W36" s="132">
        <f>+'Pi''s Calc'!W23</f>
        <v>0.25855559477598128</v>
      </c>
      <c r="X36" s="132">
        <f>+'Pi''s Calc'!X23</f>
        <v>0.25855559477598128</v>
      </c>
      <c r="Y36" s="132">
        <f>+'Pi''s Calc'!Y23</f>
        <v>0.25855559477598128</v>
      </c>
      <c r="Z36" s="132">
        <f>+'Pi''s Calc'!Z23</f>
        <v>0.25855559477598128</v>
      </c>
      <c r="AA36" s="132">
        <f>+'Pi''s Calc'!AA23</f>
        <v>0.25855559477598128</v>
      </c>
      <c r="AB36" s="132">
        <f>+'Pi''s Calc'!AB23</f>
        <v>0.25855559477598128</v>
      </c>
      <c r="AC36" s="132">
        <f>+'Pi''s Calc'!AC23</f>
        <v>0.25855559477598128</v>
      </c>
      <c r="AD36" s="132">
        <f>+'Pi''s Calc'!AD23</f>
        <v>0.25855559477598128</v>
      </c>
      <c r="AE36" s="132">
        <f>+'Pi''s Calc'!AE23</f>
        <v>0.25855559477598128</v>
      </c>
      <c r="AF36" s="132">
        <f>+'Pi''s Calc'!AF23</f>
        <v>0.25855559477598128</v>
      </c>
      <c r="AG36" s="132">
        <f>+'Pi''s Calc'!AG23</f>
        <v>0.25855559477598128</v>
      </c>
      <c r="AH36" s="132">
        <f>+'Pi''s Calc'!AH23</f>
        <v>0.25855559477598128</v>
      </c>
      <c r="AI36" s="132">
        <f>+'Pi''s Calc'!AI23</f>
        <v>0.25855559477598128</v>
      </c>
      <c r="AJ36" s="132">
        <f>+'Pi''s Calc'!AJ23</f>
        <v>0.25855559477598128</v>
      </c>
      <c r="AK36" s="132">
        <f>+'Pi''s Calc'!AK23</f>
        <v>0.25855559477598128</v>
      </c>
      <c r="AL36" s="132">
        <f>+'Pi''s Calc'!AL23</f>
        <v>0.25855559477598128</v>
      </c>
      <c r="AM36" s="132">
        <f>+'Pi''s Calc'!AM23</f>
        <v>0.25855559477598128</v>
      </c>
      <c r="AN36" s="132">
        <f>+'Pi''s Calc'!AN23</f>
        <v>0.25855559477598128</v>
      </c>
      <c r="AO36" s="132">
        <f>+'Pi''s Calc'!AO23</f>
        <v>0.25855559477598128</v>
      </c>
      <c r="AP36" s="132">
        <f>+'Pi''s Calc'!AP23</f>
        <v>0.25855559477598128</v>
      </c>
      <c r="AQ36" s="132">
        <f>+'Pi''s Calc'!AQ23</f>
        <v>0.25855559477598128</v>
      </c>
      <c r="AR36" s="132">
        <f>+'Pi''s Calc'!AR23</f>
        <v>0.25855559477598128</v>
      </c>
      <c r="AS36" s="132">
        <f>+'Pi''s Calc'!AS23</f>
        <v>0.25855559477598128</v>
      </c>
      <c r="AT36" s="132">
        <f>+'Pi''s Calc'!AT23</f>
        <v>0.25855559477598128</v>
      </c>
      <c r="AU36" s="132">
        <f>+'Pi''s Calc'!AU23</f>
        <v>0.25855559477598128</v>
      </c>
      <c r="AV36" s="132">
        <f>+'Pi''s Calc'!AV23</f>
        <v>0.25855559477598128</v>
      </c>
      <c r="AW36" s="132">
        <f>+'Pi''s Calc'!AW23</f>
        <v>0.25855559477598128</v>
      </c>
      <c r="AX36" s="132">
        <f>+'Pi''s Calc'!AX23</f>
        <v>0.25855559477598128</v>
      </c>
      <c r="AY36" s="132"/>
    </row>
    <row r="37" spans="1:51" ht="15">
      <c r="A37" s="102" t="s">
        <v>272</v>
      </c>
      <c r="B37" s="134" t="s">
        <v>273</v>
      </c>
      <c r="C37" s="135" t="s">
        <v>274</v>
      </c>
      <c r="P37" s="132">
        <f>+'Pi''s Calc'!P24</f>
        <v>0.25855559477598128</v>
      </c>
      <c r="Q37" s="132">
        <f>+'Pi''s Calc'!Q24</f>
        <v>0.25855559477598128</v>
      </c>
      <c r="R37" s="132">
        <f>+'Pi''s Calc'!R24</f>
        <v>0.25855559477598128</v>
      </c>
      <c r="S37" s="132">
        <f>+'Pi''s Calc'!S24</f>
        <v>0.25855559477598128</v>
      </c>
      <c r="T37" s="132">
        <f>+'Pi''s Calc'!T24</f>
        <v>0.25855559477598128</v>
      </c>
      <c r="U37" s="132">
        <f>+'Pi''s Calc'!U24</f>
        <v>0.25855559477598128</v>
      </c>
      <c r="V37" s="132">
        <f>+'Pi''s Calc'!V24</f>
        <v>0.25855559477598128</v>
      </c>
      <c r="W37" s="132">
        <f>+'Pi''s Calc'!W24</f>
        <v>0.25855559477598128</v>
      </c>
      <c r="X37" s="132">
        <f>+'Pi''s Calc'!X24</f>
        <v>0.25855559477598128</v>
      </c>
      <c r="Y37" s="132">
        <f>+'Pi''s Calc'!Y24</f>
        <v>0.25855559477598128</v>
      </c>
      <c r="Z37" s="132">
        <f>+'Pi''s Calc'!Z24</f>
        <v>0.25855559477598128</v>
      </c>
      <c r="AA37" s="132">
        <f>+'Pi''s Calc'!AA24</f>
        <v>0.25855559477598128</v>
      </c>
      <c r="AB37" s="132">
        <f>+'Pi''s Calc'!AB24</f>
        <v>0.25855559477598128</v>
      </c>
      <c r="AC37" s="132">
        <f>+'Pi''s Calc'!AC24</f>
        <v>0.25855559477598128</v>
      </c>
      <c r="AD37" s="132">
        <f>+'Pi''s Calc'!AD24</f>
        <v>0.25855559477598128</v>
      </c>
      <c r="AE37" s="132">
        <f>+'Pi''s Calc'!AE24</f>
        <v>0.25855559477598128</v>
      </c>
      <c r="AF37" s="132">
        <f>+'Pi''s Calc'!AF24</f>
        <v>0.25855559477598128</v>
      </c>
      <c r="AG37" s="132">
        <f>+'Pi''s Calc'!AG24</f>
        <v>0.25855559477598128</v>
      </c>
      <c r="AH37" s="132">
        <f>+'Pi''s Calc'!AH24</f>
        <v>0.25855559477598128</v>
      </c>
      <c r="AI37" s="132">
        <f>+'Pi''s Calc'!AI24</f>
        <v>0.25855559477598128</v>
      </c>
      <c r="AJ37" s="132">
        <f>+'Pi''s Calc'!AJ24</f>
        <v>0.25855559477598128</v>
      </c>
      <c r="AK37" s="132">
        <f>+'Pi''s Calc'!AK24</f>
        <v>0.25855559477598128</v>
      </c>
      <c r="AL37" s="132">
        <f>+'Pi''s Calc'!AL24</f>
        <v>0.25855559477598128</v>
      </c>
      <c r="AM37" s="132">
        <f>+'Pi''s Calc'!AM24</f>
        <v>0.25855559477598128</v>
      </c>
      <c r="AN37" s="132">
        <f>+'Pi''s Calc'!AN24</f>
        <v>0.25855559477598128</v>
      </c>
      <c r="AO37" s="132">
        <f>+'Pi''s Calc'!AO24</f>
        <v>0.25855559477598128</v>
      </c>
      <c r="AP37" s="132">
        <f>+'Pi''s Calc'!AP24</f>
        <v>0.25855559477598128</v>
      </c>
      <c r="AQ37" s="132">
        <f>+'Pi''s Calc'!AQ24</f>
        <v>0.25855559477598128</v>
      </c>
      <c r="AR37" s="132">
        <f>+'Pi''s Calc'!AR24</f>
        <v>0.25855559477598128</v>
      </c>
      <c r="AS37" s="132">
        <f>+'Pi''s Calc'!AS24</f>
        <v>0.25855559477598128</v>
      </c>
      <c r="AT37" s="132">
        <f>+'Pi''s Calc'!AT24</f>
        <v>0.25855559477598128</v>
      </c>
      <c r="AU37" s="132">
        <f>+'Pi''s Calc'!AU24</f>
        <v>0.25855559477598128</v>
      </c>
      <c r="AV37" s="132">
        <f>+'Pi''s Calc'!AV24</f>
        <v>0.25855559477598128</v>
      </c>
      <c r="AW37" s="132">
        <f>+'Pi''s Calc'!AW24</f>
        <v>0.25855559477598128</v>
      </c>
      <c r="AX37" s="132">
        <f>+'Pi''s Calc'!AX24</f>
        <v>0.25855559477598128</v>
      </c>
      <c r="AY37" s="132"/>
    </row>
    <row r="38" spans="1:51" ht="15">
      <c r="A38" s="102" t="s">
        <v>272</v>
      </c>
      <c r="B38" s="134" t="s">
        <v>273</v>
      </c>
      <c r="C38" s="135" t="s">
        <v>275</v>
      </c>
      <c r="P38" s="132">
        <f>+'Pi''s Calc'!P25</f>
        <v>0.25855559477598128</v>
      </c>
      <c r="Q38" s="132">
        <f>+'Pi''s Calc'!Q25</f>
        <v>0.25855559477598128</v>
      </c>
      <c r="R38" s="132">
        <f>+'Pi''s Calc'!R25</f>
        <v>0.25855559477598128</v>
      </c>
      <c r="S38" s="132">
        <f>+'Pi''s Calc'!S25</f>
        <v>0.25855559477598128</v>
      </c>
      <c r="T38" s="132">
        <f>+'Pi''s Calc'!T25</f>
        <v>0.25855559477598128</v>
      </c>
      <c r="U38" s="132">
        <f>+'Pi''s Calc'!U25</f>
        <v>0.25855559477598128</v>
      </c>
      <c r="V38" s="132">
        <f>+'Pi''s Calc'!V25</f>
        <v>0.25855559477598128</v>
      </c>
      <c r="W38" s="132">
        <f>+'Pi''s Calc'!W25</f>
        <v>0.25855559477598128</v>
      </c>
      <c r="X38" s="132">
        <f>+'Pi''s Calc'!X25</f>
        <v>0.25855559477598128</v>
      </c>
      <c r="Y38" s="132">
        <f>+'Pi''s Calc'!Y25</f>
        <v>0.25855559477598128</v>
      </c>
      <c r="Z38" s="132">
        <f>+'Pi''s Calc'!Z25</f>
        <v>0.25855559477598128</v>
      </c>
      <c r="AA38" s="132">
        <f>+'Pi''s Calc'!AA25</f>
        <v>0.25855559477598128</v>
      </c>
      <c r="AB38" s="132">
        <f>+'Pi''s Calc'!AB25</f>
        <v>0.25855559477598128</v>
      </c>
      <c r="AC38" s="132">
        <f>+'Pi''s Calc'!AC25</f>
        <v>0.25855559477598128</v>
      </c>
      <c r="AD38" s="132">
        <f>+'Pi''s Calc'!AD25</f>
        <v>0.25855559477598128</v>
      </c>
      <c r="AE38" s="132">
        <f>+'Pi''s Calc'!AE25</f>
        <v>0.25855559477598128</v>
      </c>
      <c r="AF38" s="132">
        <f>+'Pi''s Calc'!AF25</f>
        <v>0.25855559477598128</v>
      </c>
      <c r="AG38" s="132">
        <f>+'Pi''s Calc'!AG25</f>
        <v>0.25855559477598128</v>
      </c>
      <c r="AH38" s="132">
        <f>+'Pi''s Calc'!AH25</f>
        <v>0.25855559477598128</v>
      </c>
      <c r="AI38" s="132">
        <f>+'Pi''s Calc'!AI25</f>
        <v>0.25855559477598128</v>
      </c>
      <c r="AJ38" s="132">
        <f>+'Pi''s Calc'!AJ25</f>
        <v>0.25855559477598128</v>
      </c>
      <c r="AK38" s="132">
        <f>+'Pi''s Calc'!AK25</f>
        <v>0.25855559477598128</v>
      </c>
      <c r="AL38" s="132">
        <f>+'Pi''s Calc'!AL25</f>
        <v>0.25855559477598128</v>
      </c>
      <c r="AM38" s="132">
        <f>+'Pi''s Calc'!AM25</f>
        <v>0.25855559477598128</v>
      </c>
      <c r="AN38" s="132">
        <f>+'Pi''s Calc'!AN25</f>
        <v>0.25855559477598128</v>
      </c>
      <c r="AO38" s="132">
        <f>+'Pi''s Calc'!AO25</f>
        <v>0.25855559477598128</v>
      </c>
      <c r="AP38" s="132">
        <f>+'Pi''s Calc'!AP25</f>
        <v>0.25855559477598128</v>
      </c>
      <c r="AQ38" s="132">
        <f>+'Pi''s Calc'!AQ25</f>
        <v>0.25855559477598128</v>
      </c>
      <c r="AR38" s="132">
        <f>+'Pi''s Calc'!AR25</f>
        <v>0.25855559477598128</v>
      </c>
      <c r="AS38" s="132">
        <f>+'Pi''s Calc'!AS25</f>
        <v>0.25855559477598128</v>
      </c>
      <c r="AT38" s="132">
        <f>+'Pi''s Calc'!AT25</f>
        <v>0.25855559477598128</v>
      </c>
      <c r="AU38" s="132">
        <f>+'Pi''s Calc'!AU25</f>
        <v>0.25855559477598128</v>
      </c>
      <c r="AV38" s="132">
        <f>+'Pi''s Calc'!AV25</f>
        <v>0.25855559477598128</v>
      </c>
      <c r="AW38" s="132">
        <f>+'Pi''s Calc'!AW25</f>
        <v>0.25855559477598128</v>
      </c>
      <c r="AX38" s="132">
        <f>+'Pi''s Calc'!AX25</f>
        <v>0.25855559477598128</v>
      </c>
      <c r="AY38" s="132"/>
    </row>
    <row r="39" spans="1:51" ht="15">
      <c r="A39" s="102" t="s">
        <v>272</v>
      </c>
      <c r="B39" s="134" t="s">
        <v>273</v>
      </c>
      <c r="C39" s="135" t="s">
        <v>276</v>
      </c>
      <c r="P39" s="132">
        <f>+'Pi''s Calc'!P26</f>
        <v>0.19569530378746422</v>
      </c>
      <c r="Q39" s="132">
        <f>+'Pi''s Calc'!Q26</f>
        <v>0.19569530378746422</v>
      </c>
      <c r="R39" s="132">
        <f>+'Pi''s Calc'!R26</f>
        <v>0.19569530378746422</v>
      </c>
      <c r="S39" s="132">
        <f>+'Pi''s Calc'!S26</f>
        <v>0.19569530378746422</v>
      </c>
      <c r="T39" s="132">
        <f>+'Pi''s Calc'!T26</f>
        <v>0.19569530378746422</v>
      </c>
      <c r="U39" s="132">
        <f>+'Pi''s Calc'!U26</f>
        <v>0.19569530378746422</v>
      </c>
      <c r="V39" s="132">
        <f>+'Pi''s Calc'!V26</f>
        <v>0.19569530378746422</v>
      </c>
      <c r="W39" s="132">
        <f>+'Pi''s Calc'!W26</f>
        <v>0.19569530378746422</v>
      </c>
      <c r="X39" s="132">
        <f>+'Pi''s Calc'!X26</f>
        <v>0.19569530378746422</v>
      </c>
      <c r="Y39" s="132">
        <f>+'Pi''s Calc'!Y26</f>
        <v>0.19569530378746422</v>
      </c>
      <c r="Z39" s="132">
        <f>+'Pi''s Calc'!Z26</f>
        <v>0.19569530378746422</v>
      </c>
      <c r="AA39" s="132">
        <f>+'Pi''s Calc'!AA26</f>
        <v>0.19569530378746422</v>
      </c>
      <c r="AB39" s="132">
        <f>+'Pi''s Calc'!AB26</f>
        <v>0.19569530378746422</v>
      </c>
      <c r="AC39" s="132">
        <f>+'Pi''s Calc'!AC26</f>
        <v>0.19569530378746422</v>
      </c>
      <c r="AD39" s="132">
        <f>+'Pi''s Calc'!AD26</f>
        <v>0.19569530378746422</v>
      </c>
      <c r="AE39" s="132">
        <f>+'Pi''s Calc'!AE26</f>
        <v>0.19569530378746422</v>
      </c>
      <c r="AF39" s="132">
        <f>+'Pi''s Calc'!AF26</f>
        <v>0.19569530378746422</v>
      </c>
      <c r="AG39" s="132">
        <f>+'Pi''s Calc'!AG26</f>
        <v>0.19569530378746422</v>
      </c>
      <c r="AH39" s="132">
        <f>+'Pi''s Calc'!AH26</f>
        <v>0.19569530378746422</v>
      </c>
      <c r="AI39" s="132">
        <f>+'Pi''s Calc'!AI26</f>
        <v>0.19569530378746422</v>
      </c>
      <c r="AJ39" s="132">
        <f>+'Pi''s Calc'!AJ26</f>
        <v>0.19569530378746422</v>
      </c>
      <c r="AK39" s="132">
        <f>+'Pi''s Calc'!AK26</f>
        <v>0.19569530378746422</v>
      </c>
      <c r="AL39" s="132">
        <f>+'Pi''s Calc'!AL26</f>
        <v>0.19569530378746422</v>
      </c>
      <c r="AM39" s="132">
        <f>+'Pi''s Calc'!AM26</f>
        <v>0.19569530378746422</v>
      </c>
      <c r="AN39" s="132">
        <f>+'Pi''s Calc'!AN26</f>
        <v>0.19569530378746422</v>
      </c>
      <c r="AO39" s="132">
        <f>+'Pi''s Calc'!AO26</f>
        <v>0.19569530378746422</v>
      </c>
      <c r="AP39" s="132">
        <f>+'Pi''s Calc'!AP26</f>
        <v>0.19569530378746422</v>
      </c>
      <c r="AQ39" s="132">
        <f>+'Pi''s Calc'!AQ26</f>
        <v>0.19569530378746422</v>
      </c>
      <c r="AR39" s="132">
        <f>+'Pi''s Calc'!AR26</f>
        <v>0.19569530378746422</v>
      </c>
      <c r="AS39" s="132">
        <f>+'Pi''s Calc'!AS26</f>
        <v>0.19569530378746422</v>
      </c>
      <c r="AT39" s="132">
        <f>+'Pi''s Calc'!AT26</f>
        <v>0.19569530378746422</v>
      </c>
      <c r="AU39" s="132">
        <f>+'Pi''s Calc'!AU26</f>
        <v>0.19569530378746422</v>
      </c>
      <c r="AV39" s="132">
        <f>+'Pi''s Calc'!AV26</f>
        <v>0.19569530378746422</v>
      </c>
      <c r="AW39" s="132">
        <f>+'Pi''s Calc'!AW26</f>
        <v>0.19569530378746422</v>
      </c>
      <c r="AX39" s="132">
        <f>+'Pi''s Calc'!AX26</f>
        <v>0.19569530378746422</v>
      </c>
      <c r="AY39" s="132"/>
    </row>
    <row r="40" spans="1:51" ht="15">
      <c r="A40" s="102" t="s">
        <v>277</v>
      </c>
      <c r="B40" s="134" t="s">
        <v>278</v>
      </c>
      <c r="P40" s="93">
        <f>+'Pi''s Calc'!P28</f>
        <v>6154.3306649754231</v>
      </c>
      <c r="Q40" s="93">
        <f>+'Pi''s Calc'!Q28</f>
        <v>6389.635369841697</v>
      </c>
      <c r="R40" s="93">
        <f>+'Pi''s Calc'!R28</f>
        <v>6841.7814215647959</v>
      </c>
      <c r="S40" s="93">
        <f>+'Pi''s Calc'!S28</f>
        <v>7303.078325491977</v>
      </c>
      <c r="T40" s="93">
        <f>+'Pi''s Calc'!T28</f>
        <v>7653.6273003847218</v>
      </c>
      <c r="U40" s="93">
        <f>+'Pi''s Calc'!U28</f>
        <v>7958.0824391023016</v>
      </c>
      <c r="V40" s="93">
        <f>+'Pi''s Calc'!V28</f>
        <v>8138.3487158400376</v>
      </c>
      <c r="W40" s="93">
        <f>+'Pi''s Calc'!W28</f>
        <v>8276.0582838522496</v>
      </c>
      <c r="X40" s="93">
        <f>+'Pi''s Calc'!X28</f>
        <v>8372.9224282667074</v>
      </c>
      <c r="Y40" s="93">
        <f>+'Pi''s Calc'!Y28</f>
        <v>8453.7796026951801</v>
      </c>
      <c r="Z40" s="93">
        <f>+'Pi''s Calc'!Z28</f>
        <v>8500.3228210807119</v>
      </c>
      <c r="AA40" s="93">
        <f>+'Pi''s Calc'!AA28</f>
        <v>8550.8880677686211</v>
      </c>
      <c r="AB40" s="93">
        <f>+'Pi''s Calc'!AB28</f>
        <v>8597.7951901465567</v>
      </c>
      <c r="AC40" s="93">
        <f>+'Pi''s Calc'!AC28</f>
        <v>8655.585949953731</v>
      </c>
      <c r="AD40" s="93">
        <f>+'Pi''s Calc'!AD28</f>
        <v>8694.2687649476247</v>
      </c>
      <c r="AE40" s="93">
        <f>+'Pi''s Calc'!AE28</f>
        <v>8737.8918182313719</v>
      </c>
      <c r="AF40" s="93">
        <f>+'Pi''s Calc'!AF28</f>
        <v>8773.3091456116636</v>
      </c>
      <c r="AG40" s="93">
        <f>+'Pi''s Calc'!AG28</f>
        <v>8812.7688708638125</v>
      </c>
      <c r="AH40" s="93">
        <f>+'Pi''s Calc'!AH28</f>
        <v>8827.9821453664426</v>
      </c>
      <c r="AI40" s="93">
        <f>+'Pi''s Calc'!AI28</f>
        <v>8846.5069733115743</v>
      </c>
      <c r="AJ40" s="93">
        <f>+'Pi''s Calc'!AJ28</f>
        <v>8861.5685147167314</v>
      </c>
      <c r="AK40" s="93">
        <f>+'Pi''s Calc'!AK28</f>
        <v>8883.5952943007651</v>
      </c>
      <c r="AL40" s="93">
        <f>+'Pi''s Calc'!AL28</f>
        <v>8881.4832935384129</v>
      </c>
      <c r="AM40" s="93">
        <f>+'Pi''s Calc'!AM28</f>
        <v>8884.5769743795681</v>
      </c>
      <c r="AN40" s="93">
        <f>+'Pi''s Calc'!AN28</f>
        <v>8885.2992799193162</v>
      </c>
      <c r="AO40" s="93">
        <f>+'Pi''s Calc'!AO28</f>
        <v>8892.3716274425515</v>
      </c>
      <c r="AP40" s="93">
        <f>+'Pi''s Calc'!AP28</f>
        <v>8879.1111430974215</v>
      </c>
      <c r="AQ40" s="93">
        <f>+'Pi''s Calc'!AQ28</f>
        <v>8872.9789235731587</v>
      </c>
      <c r="AR40" s="93">
        <f>+'Pi''s Calc'!AR28</f>
        <v>8866.2223657205468</v>
      </c>
      <c r="AS40" s="93">
        <f>+'Pi''s Calc'!AS28</f>
        <v>8867.6355451250656</v>
      </c>
      <c r="AT40" s="93">
        <f>+'Pi''s Calc'!AT28</f>
        <v>8848.8606608480331</v>
      </c>
      <c r="AU40" s="93">
        <f>+'Pi''s Calc'!AU28</f>
        <v>8835.2145732322642</v>
      </c>
      <c r="AV40" s="93">
        <f>+'Pi''s Calc'!AV28</f>
        <v>8819.9255154061448</v>
      </c>
      <c r="AW40" s="93">
        <f>+'Pi''s Calc'!AW28</f>
        <v>8811.7332161539362</v>
      </c>
      <c r="AX40" s="93">
        <f>+'Pi''s Calc'!AX28</f>
        <v>8784.9876252643571</v>
      </c>
      <c r="AY40" s="93"/>
    </row>
    <row r="41" spans="1:51" ht="15">
      <c r="A41" s="102" t="s">
        <v>279</v>
      </c>
      <c r="B41" s="134" t="s">
        <v>280</v>
      </c>
      <c r="P41" s="93">
        <f>+'Pi''s Calc'!P36</f>
        <v>40327.311673865901</v>
      </c>
      <c r="Q41" s="93">
        <f>+'Pi''s Calc'!Q36</f>
        <v>42446.560302333077</v>
      </c>
      <c r="R41" s="93">
        <f>+'Pi''s Calc'!R36</f>
        <v>45437.126501686296</v>
      </c>
      <c r="S41" s="93">
        <f>+'Pi''s Calc'!S36</f>
        <v>49299.079784046124</v>
      </c>
      <c r="T41" s="93">
        <f>+'Pi''s Calc'!T36</f>
        <v>51082.088193217707</v>
      </c>
      <c r="U41" s="93">
        <f>+'Pi''s Calc'!U36</f>
        <v>53343.340820295758</v>
      </c>
      <c r="V41" s="93">
        <f>+'Pi''s Calc'!V36</f>
        <v>52769.628151998986</v>
      </c>
      <c r="W41" s="93">
        <f>+'Pi''s Calc'!W36</f>
        <v>51885.342456128034</v>
      </c>
      <c r="X41" s="93">
        <f>+'Pi''s Calc'!X36</f>
        <v>50901.995916521322</v>
      </c>
      <c r="Y41" s="93">
        <f>+'Pi''s Calc'!Y36</f>
        <v>49824.483877433886</v>
      </c>
      <c r="Z41" s="93">
        <f>+'Pi''s Calc'!Z36</f>
        <v>48718.748301866603</v>
      </c>
      <c r="AA41" s="93">
        <f>+'Pi''s Calc'!AA36</f>
        <v>47619.417363969769</v>
      </c>
      <c r="AB41" s="93">
        <f>+'Pi''s Calc'!AB36</f>
        <v>46525.942918314482</v>
      </c>
      <c r="AC41" s="93">
        <f>+'Pi''s Calc'!AC36</f>
        <v>45529.699748595129</v>
      </c>
      <c r="AD41" s="93">
        <f>+'Pi''s Calc'!AD36</f>
        <v>44591.232199945101</v>
      </c>
      <c r="AE41" s="93">
        <f>+'Pi''s Calc'!AE36</f>
        <v>43661.003143651033</v>
      </c>
      <c r="AF41" s="93">
        <f>+'Pi''s Calc'!AF36</f>
        <v>43054.066862115978</v>
      </c>
      <c r="AG41" s="93">
        <f>+'Pi''s Calc'!AG36</f>
        <v>42044.416688826183</v>
      </c>
      <c r="AH41" s="93">
        <f>+'Pi''s Calc'!AH36</f>
        <v>41073.542238744667</v>
      </c>
      <c r="AI41" s="93">
        <f>+'Pi''s Calc'!AI36</f>
        <v>40017.102601218976</v>
      </c>
      <c r="AJ41" s="93">
        <f>+'Pi''s Calc'!AJ36</f>
        <v>38926.397296702104</v>
      </c>
      <c r="AK41" s="93">
        <f>+'Pi''s Calc'!AK36</f>
        <v>37787.217728107076</v>
      </c>
      <c r="AL41" s="93">
        <f>+'Pi''s Calc'!AL36</f>
        <v>36604.935000041514</v>
      </c>
      <c r="AM41" s="93">
        <f>+'Pi''s Calc'!AM36</f>
        <v>35429.041317504772</v>
      </c>
      <c r="AN41" s="93">
        <f>+'Pi''s Calc'!AN36</f>
        <v>34190.60760592817</v>
      </c>
      <c r="AO41" s="93">
        <f>+'Pi''s Calc'!AO36</f>
        <v>32936.476740661819</v>
      </c>
      <c r="AP41" s="93">
        <f>+'Pi''s Calc'!AP36</f>
        <v>31617.661403614959</v>
      </c>
      <c r="AQ41" s="93">
        <f>+'Pi''s Calc'!AQ36</f>
        <v>30237.835712311138</v>
      </c>
      <c r="AR41" s="93">
        <f>+'Pi''s Calc'!AR36</f>
        <v>28861.613404272066</v>
      </c>
      <c r="AS41" s="93">
        <f>+'Pi''s Calc'!AS36</f>
        <v>27462.616463034206</v>
      </c>
      <c r="AT41" s="93">
        <f>+'Pi''s Calc'!AT36</f>
        <v>26013.089217549517</v>
      </c>
      <c r="AU41" s="93">
        <f>+'Pi''s Calc'!AU36</f>
        <v>24537.757223334869</v>
      </c>
      <c r="AV41" s="93">
        <f>+'Pi''s Calc'!AV36</f>
        <v>23066.604623673531</v>
      </c>
      <c r="AW41" s="93">
        <f>+'Pi''s Calc'!AW36</f>
        <v>21605.088984385904</v>
      </c>
      <c r="AX41" s="93">
        <f>+'Pi''s Calc'!AX36</f>
        <v>20168.279522711673</v>
      </c>
      <c r="AY41" s="93"/>
    </row>
    <row r="42" spans="1:51" ht="15">
      <c r="A42" s="102" t="s">
        <v>281</v>
      </c>
      <c r="B42" s="134" t="s">
        <v>282</v>
      </c>
      <c r="U42" s="93">
        <f>+'Pi''s Calc'!U42</f>
        <v>46334.220846650969</v>
      </c>
      <c r="V42" s="93"/>
      <c r="W42" s="93"/>
      <c r="X42" s="93"/>
      <c r="Y42" s="93"/>
      <c r="Z42" s="93"/>
      <c r="AA42" s="93">
        <f>+'Pi''s Calc'!AA42</f>
        <v>39571.441957653944</v>
      </c>
      <c r="AB42" s="93"/>
      <c r="AC42" s="93"/>
      <c r="AD42" s="93"/>
      <c r="AE42" s="93"/>
      <c r="AF42" s="93"/>
      <c r="AG42" s="93">
        <f>+'Pi''s Calc'!AG42</f>
        <v>34134.795604258412</v>
      </c>
      <c r="AH42" s="93"/>
      <c r="AI42" s="93"/>
      <c r="AJ42" s="93"/>
      <c r="AK42" s="93"/>
      <c r="AL42" s="93"/>
      <c r="AM42" s="93">
        <f>+'Pi''s Calc'!AM42</f>
        <v>28467.952438109085</v>
      </c>
      <c r="AN42" s="93"/>
      <c r="AO42" s="93"/>
      <c r="AP42" s="93"/>
      <c r="AQ42" s="93"/>
      <c r="AR42" s="93"/>
      <c r="AS42" s="93">
        <f>+'Pi''s Calc'!AS42</f>
        <v>23279.333053103481</v>
      </c>
      <c r="AT42" s="93"/>
      <c r="AU42" s="93"/>
      <c r="AV42" s="93"/>
      <c r="AW42" s="93"/>
      <c r="AX42" s="93">
        <f>+'Pi''s Calc'!AX42</f>
        <v>20168.279522711717</v>
      </c>
      <c r="AY42" s="93"/>
    </row>
    <row r="43" spans="1:51" ht="15">
      <c r="A43" s="102" t="s">
        <v>228</v>
      </c>
      <c r="B43" s="134" t="s">
        <v>283</v>
      </c>
      <c r="U43" s="93">
        <f>+'Pi''s Calc'!U47</f>
        <v>-7009.1199736447888</v>
      </c>
      <c r="V43" s="93"/>
      <c r="W43" s="93"/>
      <c r="X43" s="93"/>
      <c r="Y43" s="93"/>
      <c r="Z43" s="93"/>
      <c r="AA43" s="93">
        <f>+'Pi''s Calc'!AA47</f>
        <v>-8047.9754063158252</v>
      </c>
      <c r="AB43" s="93"/>
      <c r="AC43" s="93"/>
      <c r="AD43" s="93"/>
      <c r="AE43" s="93"/>
      <c r="AF43" s="93"/>
      <c r="AG43" s="93">
        <f>+'Pi''s Calc'!AG47</f>
        <v>-7909.6210845677706</v>
      </c>
      <c r="AH43" s="93"/>
      <c r="AI43" s="93"/>
      <c r="AJ43" s="93"/>
      <c r="AK43" s="93"/>
      <c r="AL43" s="93"/>
      <c r="AM43" s="93">
        <f>+'Pi''s Calc'!AM47</f>
        <v>-6961.0888793956874</v>
      </c>
      <c r="AN43" s="93"/>
      <c r="AO43" s="93"/>
      <c r="AP43" s="93"/>
      <c r="AQ43" s="93"/>
      <c r="AR43" s="93"/>
      <c r="AS43" s="93">
        <f>+'Pi''s Calc'!AS47</f>
        <v>-4183.2834099307256</v>
      </c>
      <c r="AT43" s="93"/>
      <c r="AU43" s="93"/>
      <c r="AV43" s="93"/>
      <c r="AW43" s="93"/>
      <c r="AX43" s="93">
        <f>+'Pi''s Calc'!AX47</f>
        <v>4.3655745685100555E-11</v>
      </c>
      <c r="AY43" s="93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Title</vt:lpstr>
      <vt:lpstr>Inputs</vt:lpstr>
      <vt:lpstr>DAV Inputs</vt:lpstr>
      <vt:lpstr>DAV Pi</vt:lpstr>
      <vt:lpstr>Pi's Calc</vt:lpstr>
      <vt:lpstr>UR Tax Calculation</vt:lpstr>
      <vt:lpstr>Financeability</vt:lpstr>
      <vt:lpstr>DP &amp; 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Craig, Alan</dc:creator>
  <cp:lastModifiedBy>Maeve McSparron</cp:lastModifiedBy>
  <dcterms:created xsi:type="dcterms:W3CDTF">2021-11-25T17:12:22Z</dcterms:created>
  <dcterms:modified xsi:type="dcterms:W3CDTF">2022-10-26T13:07:38Z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