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F4DD596D-9597-416E-B2FA-F4C89B474412}" xr6:coauthVersionLast="47" xr6:coauthVersionMax="47" xr10:uidLastSave="{00000000-0000-0000-0000-000000000000}"/>
  <bookViews>
    <workbookView xWindow="-110" yWindow="-110" windowWidth="19420" windowHeight="10300" xr2:uid="{00000000-000D-0000-FFFF-FFFF00000000}"/>
  </bookViews>
  <sheets>
    <sheet name="Guidance" sheetId="20" r:id="rId1"/>
    <sheet name="Index" sheetId="12" r:id="rId2"/>
    <sheet name="Main Inputs&gt;&gt;" sheetId="2" r:id="rId3"/>
    <sheet name="Inflation" sheetId="3" r:id="rId4"/>
    <sheet name="FD Allowances" sheetId="11" r:id="rId5"/>
    <sheet name="Post FD Inputs" sheetId="16" r:id="rId6"/>
    <sheet name="RAB Inputs" sheetId="6" r:id="rId7"/>
    <sheet name="Calcs &gt;&gt;" sheetId="4" r:id="rId8"/>
    <sheet name="Cost Sharing" sheetId="17" r:id="rId9"/>
    <sheet name="RAB - NB" sheetId="8" r:id="rId10"/>
    <sheet name="RAB - Build" sheetId="9" r:id="rId11"/>
    <sheet name="Results" sheetId="13" r:id="rId12"/>
    <sheet name="RAB Summary (2020-27)" sheetId="14" r:id="rId13"/>
    <sheet name="RAB Summary (from 2010)" sheetId="19" r:id="rId14"/>
    <sheet name="Return" sheetId="15"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7" l="1"/>
  <c r="G39" i="17"/>
  <c r="K5" i="11" l="1"/>
  <c r="J12" i="15"/>
  <c r="J13" i="15" s="1"/>
  <c r="T12" i="19"/>
  <c r="T5" i="19"/>
  <c r="J43" i="14"/>
  <c r="J36" i="14"/>
  <c r="J29" i="14"/>
  <c r="J19" i="14"/>
  <c r="J12" i="14"/>
  <c r="J5" i="14"/>
  <c r="J132" i="9"/>
  <c r="J122" i="9"/>
  <c r="J124" i="9"/>
  <c r="E74" i="9"/>
  <c r="F74" i="9"/>
  <c r="G74" i="9"/>
  <c r="H74" i="9"/>
  <c r="I74" i="9"/>
  <c r="J74" i="9"/>
  <c r="Z65" i="9"/>
  <c r="Y64" i="9"/>
  <c r="Z64" i="9"/>
  <c r="Z49" i="9"/>
  <c r="Z50" i="9"/>
  <c r="Z51" i="9"/>
  <c r="Z52" i="9"/>
  <c r="Z53" i="9"/>
  <c r="Z54" i="9"/>
  <c r="Z55" i="9"/>
  <c r="Z56" i="9"/>
  <c r="Z57" i="9"/>
  <c r="Z58" i="9"/>
  <c r="Z63" i="9"/>
  <c r="J14" i="9"/>
  <c r="E45" i="9"/>
  <c r="J49" i="9"/>
  <c r="V45" i="9"/>
  <c r="W45" i="9"/>
  <c r="X45" i="9"/>
  <c r="Y45" i="9"/>
  <c r="Z45" i="9"/>
  <c r="X39" i="9"/>
  <c r="Y39" i="9"/>
  <c r="Q10" i="9"/>
  <c r="Q5" i="9"/>
  <c r="J168" i="8"/>
  <c r="J159" i="8"/>
  <c r="J157" i="8"/>
  <c r="E86" i="8"/>
  <c r="F86" i="8"/>
  <c r="E85" i="8"/>
  <c r="F85" i="8"/>
  <c r="E84" i="8"/>
  <c r="F84" i="8"/>
  <c r="G84" i="8"/>
  <c r="H84" i="8"/>
  <c r="I84" i="8"/>
  <c r="J84" i="8"/>
  <c r="D85" i="8"/>
  <c r="D84" i="8"/>
  <c r="Z77" i="8"/>
  <c r="X75" i="8"/>
  <c r="Y76" i="8"/>
  <c r="Z76" i="8" s="1"/>
  <c r="Q10" i="8"/>
  <c r="Q11" i="8" s="1"/>
  <c r="Q5" i="8"/>
  <c r="Q6" i="8" s="1"/>
  <c r="Z73" i="8"/>
  <c r="Z72" i="8"/>
  <c r="Z50" i="8"/>
  <c r="J45" i="17"/>
  <c r="J47" i="17" s="1"/>
  <c r="J46" i="17"/>
  <c r="J39" i="17"/>
  <c r="J41" i="17" s="1"/>
  <c r="J40" i="17"/>
  <c r="K33" i="17"/>
  <c r="K29" i="17"/>
  <c r="J12" i="16"/>
  <c r="J13" i="16" s="1"/>
  <c r="J16" i="16"/>
  <c r="J34" i="17" s="1"/>
  <c r="J33" i="17"/>
  <c r="K22" i="17"/>
  <c r="K24" i="17"/>
  <c r="K21" i="17"/>
  <c r="J21" i="17"/>
  <c r="J24" i="17" s="1"/>
  <c r="J22" i="17"/>
  <c r="K17" i="17"/>
  <c r="K16" i="17"/>
  <c r="K9" i="17"/>
  <c r="K11" i="17"/>
  <c r="K12" i="17"/>
  <c r="K8" i="17"/>
  <c r="J16" i="17"/>
  <c r="J17" i="17"/>
  <c r="J8" i="17"/>
  <c r="J9" i="17"/>
  <c r="J11" i="17"/>
  <c r="J12" i="17"/>
  <c r="J4" i="17"/>
  <c r="K15" i="16"/>
  <c r="K11" i="16"/>
  <c r="K7" i="16"/>
  <c r="K6" i="16"/>
  <c r="K5" i="16"/>
  <c r="J7" i="16"/>
  <c r="K25" i="16"/>
  <c r="K27" i="16"/>
  <c r="K24" i="16"/>
  <c r="J27" i="16"/>
  <c r="K7" i="11"/>
  <c r="K8" i="11"/>
  <c r="K4" i="11"/>
  <c r="T4" i="3"/>
  <c r="I13" i="15"/>
  <c r="I12" i="15"/>
  <c r="I124" i="9"/>
  <c r="P10" i="9"/>
  <c r="P5" i="9"/>
  <c r="I159" i="8"/>
  <c r="Y50" i="8"/>
  <c r="P10" i="8"/>
  <c r="P5" i="8"/>
  <c r="X34" i="8"/>
  <c r="X35" i="8"/>
  <c r="X36" i="8"/>
  <c r="X37" i="8"/>
  <c r="X38" i="8"/>
  <c r="X39" i="8"/>
  <c r="I27" i="16"/>
  <c r="I29" i="17"/>
  <c r="I33" i="17"/>
  <c r="E17" i="17"/>
  <c r="F17" i="17"/>
  <c r="G17" i="17"/>
  <c r="H17" i="17"/>
  <c r="I17" i="17"/>
  <c r="E16" i="17"/>
  <c r="F16" i="17"/>
  <c r="G16" i="17"/>
  <c r="H16" i="17"/>
  <c r="I16" i="17"/>
  <c r="I11" i="17"/>
  <c r="I12" i="17"/>
  <c r="I9" i="17"/>
  <c r="I8" i="17"/>
  <c r="I7" i="16"/>
  <c r="S4" i="3"/>
  <c r="I4" i="17" s="1"/>
  <c r="N8" i="3"/>
  <c r="Y75" i="8" l="1"/>
  <c r="Z75" i="8" s="1"/>
  <c r="Q12" i="8"/>
  <c r="Q7" i="8"/>
  <c r="Y45" i="8" s="1"/>
  <c r="J30" i="17"/>
  <c r="J31" i="17" s="1"/>
  <c r="J35" i="17"/>
  <c r="J17" i="16"/>
  <c r="J19" i="16" s="1"/>
  <c r="I21" i="17"/>
  <c r="I22" i="17"/>
  <c r="L20" i="19"/>
  <c r="M20" i="19"/>
  <c r="Q69" i="6"/>
  <c r="R66" i="6" s="1"/>
  <c r="E8" i="3"/>
  <c r="F8" i="3"/>
  <c r="G8" i="3"/>
  <c r="H8" i="3"/>
  <c r="I8" i="3"/>
  <c r="J8" i="3"/>
  <c r="K8" i="3"/>
  <c r="L8" i="3"/>
  <c r="L18" i="19" s="1"/>
  <c r="M8" i="3"/>
  <c r="D8" i="3"/>
  <c r="D4" i="3"/>
  <c r="I16" i="16" l="1"/>
  <c r="I24" i="17"/>
  <c r="I12" i="16"/>
  <c r="R69" i="6"/>
  <c r="R70" i="6" s="1"/>
  <c r="Q70" i="6"/>
  <c r="I17" i="16" l="1"/>
  <c r="I34" i="17"/>
  <c r="I35" i="17" s="1"/>
  <c r="I40" i="17" s="1"/>
  <c r="I46" i="17" s="1"/>
  <c r="I13" i="16"/>
  <c r="I30" i="17"/>
  <c r="L21" i="19"/>
  <c r="I31" i="17" l="1"/>
  <c r="I19" i="16"/>
  <c r="M18" i="19"/>
  <c r="L22" i="19"/>
  <c r="M21" i="19"/>
  <c r="I39" i="17" l="1"/>
  <c r="M22" i="19"/>
  <c r="I41" i="17" l="1"/>
  <c r="I45" i="17"/>
  <c r="A26" i="9"/>
  <c r="I47" i="17" l="1"/>
  <c r="M34" i="8"/>
  <c r="N34" i="8"/>
  <c r="O34" i="8"/>
  <c r="P34" i="8"/>
  <c r="Q34" i="8"/>
  <c r="R34" i="8"/>
  <c r="S34" i="8"/>
  <c r="T34" i="8"/>
  <c r="U34" i="8"/>
  <c r="V34" i="8"/>
  <c r="W34" i="8"/>
  <c r="M35" i="8"/>
  <c r="N35" i="8"/>
  <c r="O35" i="8"/>
  <c r="P35" i="8"/>
  <c r="Q35" i="8"/>
  <c r="R35" i="8"/>
  <c r="S35" i="8"/>
  <c r="T35" i="8"/>
  <c r="U35" i="8"/>
  <c r="V35" i="8"/>
  <c r="W35" i="8"/>
  <c r="M36" i="8"/>
  <c r="N36" i="8"/>
  <c r="O36" i="8"/>
  <c r="P36" i="8"/>
  <c r="Q36" i="8"/>
  <c r="R36" i="8"/>
  <c r="S36" i="8"/>
  <c r="T36" i="8"/>
  <c r="U36" i="8"/>
  <c r="V36" i="8"/>
  <c r="W36" i="8"/>
  <c r="M37" i="8"/>
  <c r="N37" i="8"/>
  <c r="O37" i="8"/>
  <c r="P37" i="8"/>
  <c r="Q37" i="8"/>
  <c r="R37" i="8"/>
  <c r="S37" i="8"/>
  <c r="T37" i="8"/>
  <c r="U37" i="8"/>
  <c r="V37" i="8"/>
  <c r="W37" i="8"/>
  <c r="M38" i="8"/>
  <c r="N38" i="8"/>
  <c r="O38" i="8"/>
  <c r="P38" i="8"/>
  <c r="Q38" i="8"/>
  <c r="R38" i="8"/>
  <c r="S38" i="8"/>
  <c r="T38" i="8"/>
  <c r="U38" i="8"/>
  <c r="V38" i="8"/>
  <c r="W38" i="8"/>
  <c r="M39" i="8"/>
  <c r="N39" i="8"/>
  <c r="O39" i="8"/>
  <c r="P39" i="8"/>
  <c r="Q39" i="8"/>
  <c r="R39" i="8"/>
  <c r="S39" i="8"/>
  <c r="T39" i="8"/>
  <c r="U39" i="8"/>
  <c r="V39" i="8"/>
  <c r="W39" i="8"/>
  <c r="H34" i="8"/>
  <c r="I34" i="8"/>
  <c r="J34" i="8"/>
  <c r="K34" i="8"/>
  <c r="L34" i="8"/>
  <c r="H35" i="8"/>
  <c r="I35" i="8"/>
  <c r="J35" i="8"/>
  <c r="K35" i="8"/>
  <c r="L35" i="8"/>
  <c r="H36" i="8"/>
  <c r="I36" i="8"/>
  <c r="J36" i="8"/>
  <c r="K36" i="8"/>
  <c r="L36" i="8"/>
  <c r="H37" i="8"/>
  <c r="I37" i="8"/>
  <c r="J37" i="8"/>
  <c r="K37" i="8"/>
  <c r="L37" i="8"/>
  <c r="H38" i="8"/>
  <c r="I38" i="8"/>
  <c r="J38" i="8"/>
  <c r="K38" i="8"/>
  <c r="L38" i="8"/>
  <c r="H39" i="8"/>
  <c r="I39" i="8"/>
  <c r="J39" i="8"/>
  <c r="K39" i="8"/>
  <c r="L39" i="8"/>
  <c r="G34" i="8"/>
  <c r="G35" i="8"/>
  <c r="G36" i="8"/>
  <c r="G37" i="8"/>
  <c r="G38" i="8"/>
  <c r="G39" i="8"/>
  <c r="E34" i="8"/>
  <c r="F34" i="8"/>
  <c r="E35" i="8"/>
  <c r="F35" i="8"/>
  <c r="E36" i="8"/>
  <c r="F36" i="8"/>
  <c r="E37" i="8"/>
  <c r="F37" i="8"/>
  <c r="E38" i="8"/>
  <c r="F38" i="8"/>
  <c r="E39" i="8"/>
  <c r="F39" i="8"/>
  <c r="D35" i="8"/>
  <c r="D36" i="8"/>
  <c r="D37" i="8"/>
  <c r="D38" i="8"/>
  <c r="D39" i="8"/>
  <c r="E109" i="8"/>
  <c r="F109" i="8"/>
  <c r="G109" i="8"/>
  <c r="H109" i="8"/>
  <c r="D109" i="8"/>
  <c r="W18" i="9"/>
  <c r="V18" i="9"/>
  <c r="U18" i="9"/>
  <c r="T18" i="9"/>
  <c r="S18" i="9"/>
  <c r="R18" i="9"/>
  <c r="Q18" i="9"/>
  <c r="P18" i="9"/>
  <c r="O18" i="9"/>
  <c r="N18" i="9"/>
  <c r="M18" i="9"/>
  <c r="L18" i="9"/>
  <c r="K18" i="9"/>
  <c r="J18" i="9"/>
  <c r="I18" i="9"/>
  <c r="H18" i="9"/>
  <c r="G18" i="9"/>
  <c r="F18" i="9"/>
  <c r="E18" i="9"/>
  <c r="A26" i="8"/>
  <c r="D18" i="9"/>
  <c r="E18" i="8"/>
  <c r="F18" i="8"/>
  <c r="G18" i="8"/>
  <c r="H18" i="8"/>
  <c r="I18" i="8"/>
  <c r="J18" i="8"/>
  <c r="K18" i="8"/>
  <c r="L18" i="8"/>
  <c r="M18" i="8"/>
  <c r="N18" i="8"/>
  <c r="O18" i="8"/>
  <c r="P18" i="8"/>
  <c r="Q18" i="8"/>
  <c r="R18" i="8"/>
  <c r="S18" i="8"/>
  <c r="T18" i="8"/>
  <c r="U18" i="8"/>
  <c r="V18" i="8"/>
  <c r="W18" i="8"/>
  <c r="D18" i="8"/>
  <c r="E12" i="15"/>
  <c r="E13" i="15" s="1"/>
  <c r="F12" i="15"/>
  <c r="F13" i="15" s="1"/>
  <c r="G12" i="15"/>
  <c r="G13" i="15" s="1"/>
  <c r="H12" i="15"/>
  <c r="H13" i="15" s="1"/>
  <c r="D12" i="15"/>
  <c r="D13" i="15" s="1"/>
  <c r="E27" i="16" l="1"/>
  <c r="F27" i="16"/>
  <c r="G27" i="16"/>
  <c r="H27" i="16"/>
  <c r="D27" i="16"/>
  <c r="E33" i="17"/>
  <c r="F33" i="17"/>
  <c r="G33" i="17"/>
  <c r="H33" i="17"/>
  <c r="D34" i="17"/>
  <c r="D33" i="17"/>
  <c r="E29" i="17"/>
  <c r="F29" i="17"/>
  <c r="G29" i="17"/>
  <c r="H29" i="17"/>
  <c r="D30" i="17"/>
  <c r="D29" i="17"/>
  <c r="D17" i="17"/>
  <c r="D16" i="17"/>
  <c r="E8" i="17"/>
  <c r="F8" i="17"/>
  <c r="G8" i="17"/>
  <c r="H8" i="17"/>
  <c r="E9" i="17"/>
  <c r="F9" i="17"/>
  <c r="G9" i="17"/>
  <c r="H9" i="17"/>
  <c r="E11" i="17"/>
  <c r="F11" i="17"/>
  <c r="G11" i="17"/>
  <c r="H11" i="17"/>
  <c r="E12" i="17"/>
  <c r="F12" i="17"/>
  <c r="G12" i="17"/>
  <c r="H12" i="17"/>
  <c r="D9" i="17"/>
  <c r="D11" i="17"/>
  <c r="D12" i="17"/>
  <c r="D8" i="17"/>
  <c r="D17" i="16"/>
  <c r="D13" i="16"/>
  <c r="D31" i="17" l="1"/>
  <c r="D35" i="17"/>
  <c r="D19" i="16"/>
  <c r="E7" i="16"/>
  <c r="F7" i="16"/>
  <c r="G7" i="16"/>
  <c r="H7" i="16"/>
  <c r="D7" i="16"/>
  <c r="E4" i="3" l="1"/>
  <c r="F4" i="3"/>
  <c r="G4" i="3"/>
  <c r="H4" i="3"/>
  <c r="I4" i="3"/>
  <c r="J4" i="3"/>
  <c r="K4" i="3"/>
  <c r="M4" i="3"/>
  <c r="L4" i="3"/>
  <c r="I33" i="9" l="1"/>
  <c r="J33" i="9"/>
  <c r="K33" i="9"/>
  <c r="L33" i="9"/>
  <c r="M33" i="9"/>
  <c r="H33" i="9"/>
  <c r="E10" i="9" l="1"/>
  <c r="F10" i="9"/>
  <c r="G10" i="9"/>
  <c r="H10" i="9"/>
  <c r="I10" i="9"/>
  <c r="J10" i="9"/>
  <c r="E5" i="9"/>
  <c r="F5" i="9"/>
  <c r="G5" i="9"/>
  <c r="H5" i="9"/>
  <c r="I5" i="9"/>
  <c r="J5" i="9"/>
  <c r="D10" i="9"/>
  <c r="D5" i="9"/>
  <c r="G101" i="9"/>
  <c r="F101" i="9"/>
  <c r="E101" i="9"/>
  <c r="D101" i="9"/>
  <c r="M99" i="9"/>
  <c r="H12" i="19" s="1"/>
  <c r="L99" i="9"/>
  <c r="G12" i="19" s="1"/>
  <c r="K99" i="9"/>
  <c r="F12" i="19" s="1"/>
  <c r="J99" i="9"/>
  <c r="E12" i="19" s="1"/>
  <c r="I99" i="9"/>
  <c r="D12" i="19" s="1"/>
  <c r="H99" i="9"/>
  <c r="R83" i="9"/>
  <c r="Q83" i="9"/>
  <c r="P83" i="9"/>
  <c r="O83" i="9"/>
  <c r="N83" i="9"/>
  <c r="M83" i="9"/>
  <c r="L83" i="9"/>
  <c r="K83" i="9"/>
  <c r="J83" i="9"/>
  <c r="I83" i="9"/>
  <c r="H83" i="9"/>
  <c r="U45" i="9"/>
  <c r="T45" i="9"/>
  <c r="S45" i="9"/>
  <c r="R45" i="9"/>
  <c r="Q45" i="9"/>
  <c r="P45" i="9"/>
  <c r="O45" i="9"/>
  <c r="N45" i="9"/>
  <c r="M45" i="9"/>
  <c r="L45" i="9"/>
  <c r="K45" i="9"/>
  <c r="J45" i="9"/>
  <c r="I45" i="9"/>
  <c r="H45" i="9"/>
  <c r="G45" i="9"/>
  <c r="F45" i="9"/>
  <c r="P6" i="9" l="1"/>
  <c r="Q6" i="9"/>
  <c r="P11" i="9"/>
  <c r="Q11" i="9"/>
  <c r="D12" i="9"/>
  <c r="P12" i="9"/>
  <c r="Q12" i="9"/>
  <c r="I7" i="9"/>
  <c r="P7" i="9"/>
  <c r="Q7" i="9"/>
  <c r="E7" i="9"/>
  <c r="D7" i="9"/>
  <c r="H7" i="9"/>
  <c r="G7" i="9"/>
  <c r="J7" i="9"/>
  <c r="F7" i="9"/>
  <c r="H11" i="9"/>
  <c r="H12" i="9"/>
  <c r="F26" i="9" s="1"/>
  <c r="I12" i="9"/>
  <c r="G26" i="9" s="1"/>
  <c r="G12" i="9"/>
  <c r="E26" i="9" s="1"/>
  <c r="F12" i="9"/>
  <c r="E12" i="9"/>
  <c r="J6" i="9"/>
  <c r="J12" i="9"/>
  <c r="H26" i="9" s="1"/>
  <c r="G11" i="9"/>
  <c r="I6" i="9"/>
  <c r="E11" i="9"/>
  <c r="D6" i="9"/>
  <c r="H6" i="9"/>
  <c r="G6" i="9"/>
  <c r="F11" i="9"/>
  <c r="F6" i="9"/>
  <c r="J11" i="9"/>
  <c r="E6" i="9"/>
  <c r="I11" i="9"/>
  <c r="D11" i="9"/>
  <c r="N52" i="9"/>
  <c r="N50" i="9"/>
  <c r="N53" i="9"/>
  <c r="O53" i="9" s="1"/>
  <c r="P53" i="9" s="1"/>
  <c r="Q53" i="9" s="1"/>
  <c r="R53" i="9" s="1"/>
  <c r="S53" i="9" s="1"/>
  <c r="M52" i="9"/>
  <c r="M51" i="9"/>
  <c r="M50" i="9"/>
  <c r="M49" i="9"/>
  <c r="I48" i="9"/>
  <c r="H69" i="9" s="1"/>
  <c r="J48" i="9"/>
  <c r="K50" i="9"/>
  <c r="K48" i="9"/>
  <c r="L51" i="9"/>
  <c r="L48" i="9"/>
  <c r="K49" i="9"/>
  <c r="M48" i="9"/>
  <c r="L49" i="9"/>
  <c r="L50" i="9"/>
  <c r="N51" i="9"/>
  <c r="N49" i="9"/>
  <c r="N48" i="9"/>
  <c r="I132" i="9" l="1"/>
  <c r="I122" i="9"/>
  <c r="I36" i="14" s="1"/>
  <c r="D26" i="9"/>
  <c r="D27" i="9" s="1"/>
  <c r="H27" i="9"/>
  <c r="R84" i="9" s="1"/>
  <c r="G27" i="9"/>
  <c r="Q36" i="9" s="1"/>
  <c r="E27" i="9"/>
  <c r="O100" i="9" s="1"/>
  <c r="J12" i="19" s="1"/>
  <c r="F27" i="9"/>
  <c r="P84" i="9" s="1"/>
  <c r="I69" i="9"/>
  <c r="I101" i="9" s="1"/>
  <c r="D13" i="19" s="1"/>
  <c r="K69" i="9"/>
  <c r="K101" i="9" s="1"/>
  <c r="F13" i="19" s="1"/>
  <c r="O52" i="9"/>
  <c r="P52" i="9" s="1"/>
  <c r="Q52" i="9" s="1"/>
  <c r="R52" i="9" s="1"/>
  <c r="S52" i="9" s="1"/>
  <c r="O49" i="9"/>
  <c r="P49" i="9" s="1"/>
  <c r="Q49" i="9" s="1"/>
  <c r="R49" i="9" s="1"/>
  <c r="S49" i="9" s="1"/>
  <c r="O51" i="9"/>
  <c r="P51" i="9" s="1"/>
  <c r="Q51" i="9" s="1"/>
  <c r="R51" i="9" s="1"/>
  <c r="S51" i="9" s="1"/>
  <c r="O50" i="9"/>
  <c r="P50" i="9" s="1"/>
  <c r="Q50" i="9" s="1"/>
  <c r="R50" i="9" s="1"/>
  <c r="S50" i="9" s="1"/>
  <c r="M69" i="9"/>
  <c r="O48" i="9"/>
  <c r="H101" i="9"/>
  <c r="H102" i="9" s="1"/>
  <c r="H85" i="9"/>
  <c r="H86" i="9" s="1"/>
  <c r="J69" i="9"/>
  <c r="L69" i="9"/>
  <c r="S12" i="19" l="1"/>
  <c r="I12" i="14"/>
  <c r="R36" i="9"/>
  <c r="S58" i="9" s="1"/>
  <c r="T58" i="9" s="1"/>
  <c r="U58" i="9" s="1"/>
  <c r="V58" i="9" s="1"/>
  <c r="W58" i="9" s="1"/>
  <c r="X58" i="9" s="1"/>
  <c r="Y58" i="9" s="1"/>
  <c r="T53" i="9"/>
  <c r="U53" i="9" s="1"/>
  <c r="V53" i="9" s="1"/>
  <c r="W53" i="9" s="1"/>
  <c r="X53" i="9" s="1"/>
  <c r="Y53" i="9" s="1"/>
  <c r="K85" i="9"/>
  <c r="P100" i="9"/>
  <c r="K12" i="19" s="1"/>
  <c r="P36" i="9"/>
  <c r="Q56" i="9" s="1"/>
  <c r="Q84" i="9"/>
  <c r="Q100" i="9"/>
  <c r="L12" i="19" s="1"/>
  <c r="O84" i="9"/>
  <c r="O36" i="9"/>
  <c r="P55" i="9" s="1"/>
  <c r="I85" i="9"/>
  <c r="R100" i="9"/>
  <c r="M12" i="19" s="1"/>
  <c r="T50" i="9"/>
  <c r="U50" i="9" s="1"/>
  <c r="V50" i="9" s="1"/>
  <c r="W50" i="9" s="1"/>
  <c r="X50" i="9" s="1"/>
  <c r="Y50" i="9" s="1"/>
  <c r="T51" i="9"/>
  <c r="U51" i="9" s="1"/>
  <c r="V51" i="9" s="1"/>
  <c r="W51" i="9" s="1"/>
  <c r="X51" i="9" s="1"/>
  <c r="Y51" i="9" s="1"/>
  <c r="T49" i="9"/>
  <c r="U49" i="9" s="1"/>
  <c r="V49" i="9" s="1"/>
  <c r="W49" i="9" s="1"/>
  <c r="X49" i="9" s="1"/>
  <c r="Y49" i="9" s="1"/>
  <c r="T52" i="9"/>
  <c r="U52" i="9" s="1"/>
  <c r="V52" i="9" s="1"/>
  <c r="W52" i="9" s="1"/>
  <c r="X52" i="9" s="1"/>
  <c r="Y52" i="9" s="1"/>
  <c r="N82" i="9"/>
  <c r="L101" i="9"/>
  <c r="G13" i="19" s="1"/>
  <c r="L85" i="9"/>
  <c r="J101" i="9"/>
  <c r="E13" i="19" s="1"/>
  <c r="J85" i="9"/>
  <c r="P48" i="9"/>
  <c r="I98" i="9"/>
  <c r="D11" i="19" s="1"/>
  <c r="H103" i="9"/>
  <c r="N100" i="9"/>
  <c r="I12" i="19" s="1"/>
  <c r="N36" i="9"/>
  <c r="N84" i="9"/>
  <c r="I82" i="9"/>
  <c r="H87" i="9"/>
  <c r="S57" i="9"/>
  <c r="T57" i="9" s="1"/>
  <c r="U57" i="9" s="1"/>
  <c r="V57" i="9" s="1"/>
  <c r="W57" i="9" s="1"/>
  <c r="X57" i="9" s="1"/>
  <c r="Y57" i="9" s="1"/>
  <c r="R57" i="9"/>
  <c r="M101" i="9"/>
  <c r="H13" i="19" s="1"/>
  <c r="M85" i="9"/>
  <c r="D14" i="19" l="1"/>
  <c r="R56" i="9"/>
  <c r="S56" i="9"/>
  <c r="T56" i="9" s="1"/>
  <c r="U56" i="9" s="1"/>
  <c r="V56" i="9" s="1"/>
  <c r="W56" i="9" s="1"/>
  <c r="X56" i="9" s="1"/>
  <c r="Y56" i="9" s="1"/>
  <c r="S55" i="9"/>
  <c r="T55" i="9" s="1"/>
  <c r="U55" i="9" s="1"/>
  <c r="V55" i="9" s="1"/>
  <c r="W55" i="9" s="1"/>
  <c r="X55" i="9" s="1"/>
  <c r="Y55" i="9" s="1"/>
  <c r="Q55" i="9"/>
  <c r="R55" i="9"/>
  <c r="S54" i="9"/>
  <c r="T54" i="9" s="1"/>
  <c r="U54" i="9" s="1"/>
  <c r="V54" i="9" s="1"/>
  <c r="W54" i="9" s="1"/>
  <c r="X54" i="9" s="1"/>
  <c r="Y54" i="9" s="1"/>
  <c r="R54" i="9"/>
  <c r="Q54" i="9"/>
  <c r="P54" i="9"/>
  <c r="O69" i="9" s="1"/>
  <c r="O85" i="9" s="1"/>
  <c r="O54" i="9"/>
  <c r="N69" i="9" s="1"/>
  <c r="N85" i="9" s="1"/>
  <c r="I86" i="9"/>
  <c r="J82" i="9" s="1"/>
  <c r="Q48" i="9"/>
  <c r="I102" i="9"/>
  <c r="J98" i="9" s="1"/>
  <c r="D15" i="19" l="1"/>
  <c r="E11" i="19"/>
  <c r="E14" i="19" s="1"/>
  <c r="R48" i="9"/>
  <c r="P69" i="9"/>
  <c r="P85" i="9" s="1"/>
  <c r="J86" i="9"/>
  <c r="K82" i="9" s="1"/>
  <c r="J102" i="9"/>
  <c r="K98" i="9" s="1"/>
  <c r="I87" i="9"/>
  <c r="N86" i="9"/>
  <c r="I103" i="9"/>
  <c r="E15" i="19" l="1"/>
  <c r="F11" i="19"/>
  <c r="F14" i="19" s="1"/>
  <c r="F15" i="19" s="1"/>
  <c r="J87" i="9"/>
  <c r="K86" i="9"/>
  <c r="L82" i="9" s="1"/>
  <c r="K102" i="9"/>
  <c r="L98" i="9" s="1"/>
  <c r="G11" i="19" s="1"/>
  <c r="J103" i="9"/>
  <c r="S48" i="9"/>
  <c r="T48" i="9" s="1"/>
  <c r="D74" i="9" s="1"/>
  <c r="Q69" i="9"/>
  <c r="Q85" i="9" s="1"/>
  <c r="O82" i="9"/>
  <c r="N87" i="9"/>
  <c r="G14" i="19" l="1"/>
  <c r="G15" i="19" s="1"/>
  <c r="O86" i="9"/>
  <c r="P82" i="9" s="1"/>
  <c r="R69" i="9"/>
  <c r="R85" i="9" s="1"/>
  <c r="D107" i="9" s="1"/>
  <c r="L102" i="9"/>
  <c r="M98" i="9" s="1"/>
  <c r="H11" i="19" s="1"/>
  <c r="L86" i="9"/>
  <c r="M82" i="9" s="1"/>
  <c r="K103" i="9"/>
  <c r="K87" i="9"/>
  <c r="H14" i="19" l="1"/>
  <c r="H15" i="19" s="1"/>
  <c r="O87" i="9"/>
  <c r="U48" i="9"/>
  <c r="M86" i="9"/>
  <c r="M87" i="9" s="1"/>
  <c r="L87" i="9"/>
  <c r="P86" i="9"/>
  <c r="Q82" i="9" s="1"/>
  <c r="M102" i="9"/>
  <c r="N98" i="9" s="1"/>
  <c r="I11" i="19" s="1"/>
  <c r="L103" i="9"/>
  <c r="V48" i="9" l="1"/>
  <c r="M103" i="9"/>
  <c r="Q86" i="9"/>
  <c r="R82" i="9" s="1"/>
  <c r="P87" i="9"/>
  <c r="R86" i="9" l="1"/>
  <c r="R87" i="9" s="1"/>
  <c r="Q87" i="9"/>
  <c r="W48" i="9"/>
  <c r="X48" i="9" l="1"/>
  <c r="Y48" i="9" l="1"/>
  <c r="E110" i="8"/>
  <c r="F110" i="8"/>
  <c r="G110" i="8"/>
  <c r="H110" i="8"/>
  <c r="D110" i="8"/>
  <c r="E111" i="8"/>
  <c r="F111" i="8"/>
  <c r="G111" i="8"/>
  <c r="H111" i="8"/>
  <c r="D111" i="8"/>
  <c r="I110" i="8" l="1"/>
  <c r="D93" i="8"/>
  <c r="D81" i="8"/>
  <c r="S79" i="8"/>
  <c r="E79" i="8"/>
  <c r="F79" i="8"/>
  <c r="G79" i="8"/>
  <c r="H79" i="8"/>
  <c r="I79" i="8"/>
  <c r="J79" i="8"/>
  <c r="K79" i="8"/>
  <c r="L79" i="8"/>
  <c r="M79" i="8"/>
  <c r="N79" i="8"/>
  <c r="O79" i="8"/>
  <c r="P79" i="8"/>
  <c r="Q79" i="8"/>
  <c r="R79" i="8"/>
  <c r="D79" i="8"/>
  <c r="D34" i="8"/>
  <c r="E25" i="8"/>
  <c r="F25" i="8"/>
  <c r="G25" i="8"/>
  <c r="H25" i="8"/>
  <c r="D25" i="8"/>
  <c r="E10" i="8"/>
  <c r="F10" i="8"/>
  <c r="G10" i="8"/>
  <c r="H10" i="8"/>
  <c r="I10" i="8"/>
  <c r="J10" i="8"/>
  <c r="P11" i="8" s="1"/>
  <c r="D10" i="8"/>
  <c r="E5" i="8"/>
  <c r="F5" i="8"/>
  <c r="G5" i="8"/>
  <c r="H5" i="8"/>
  <c r="I5" i="8"/>
  <c r="J5" i="8"/>
  <c r="P6" i="8" s="1"/>
  <c r="D5" i="8"/>
  <c r="R133" i="8"/>
  <c r="Q133" i="8"/>
  <c r="P133" i="8"/>
  <c r="O133" i="8"/>
  <c r="N133" i="8"/>
  <c r="H116" i="8"/>
  <c r="G116" i="8"/>
  <c r="R94" i="8"/>
  <c r="Q94" i="8"/>
  <c r="P94" i="8"/>
  <c r="O94" i="8"/>
  <c r="N94" i="8"/>
  <c r="H59" i="8"/>
  <c r="H57" i="8"/>
  <c r="G57" i="8"/>
  <c r="N53" i="8"/>
  <c r="M53" i="8"/>
  <c r="L53" i="8"/>
  <c r="K53" i="8"/>
  <c r="J53" i="8"/>
  <c r="I53" i="8"/>
  <c r="H53" i="8"/>
  <c r="G53" i="8"/>
  <c r="F53" i="8"/>
  <c r="E53" i="8"/>
  <c r="X50" i="8"/>
  <c r="W50" i="8"/>
  <c r="V50" i="8"/>
  <c r="U50" i="8"/>
  <c r="T50" i="8"/>
  <c r="S50" i="8"/>
  <c r="R50" i="8"/>
  <c r="Q50" i="8"/>
  <c r="P50" i="8"/>
  <c r="O50" i="8"/>
  <c r="N50" i="8"/>
  <c r="M50" i="8"/>
  <c r="L50" i="8"/>
  <c r="K50" i="8"/>
  <c r="J50" i="8"/>
  <c r="I50" i="8"/>
  <c r="H50" i="8"/>
  <c r="G50" i="8"/>
  <c r="F50" i="8"/>
  <c r="E50" i="8"/>
  <c r="I7" i="8" l="1"/>
  <c r="P7" i="8"/>
  <c r="X45" i="8" s="1"/>
  <c r="D12" i="8"/>
  <c r="P12" i="8"/>
  <c r="J7" i="8"/>
  <c r="F7" i="8"/>
  <c r="E7" i="8"/>
  <c r="H7" i="8"/>
  <c r="D7" i="8"/>
  <c r="G7" i="8"/>
  <c r="E12" i="8"/>
  <c r="I12" i="8"/>
  <c r="G26" i="8" s="1"/>
  <c r="G12" i="8"/>
  <c r="E26" i="8" s="1"/>
  <c r="H12" i="8"/>
  <c r="F26" i="8" s="1"/>
  <c r="F12" i="8"/>
  <c r="J12" i="8"/>
  <c r="H26" i="8" s="1"/>
  <c r="M58" i="8"/>
  <c r="E6" i="8"/>
  <c r="E11" i="8"/>
  <c r="M54" i="8"/>
  <c r="J11" i="8"/>
  <c r="K14" i="8"/>
  <c r="I11" i="8"/>
  <c r="D11" i="8"/>
  <c r="H11" i="8"/>
  <c r="G11" i="8"/>
  <c r="F11" i="8"/>
  <c r="J6" i="8"/>
  <c r="I6" i="8"/>
  <c r="N57" i="8"/>
  <c r="E54" i="8"/>
  <c r="E81" i="8" s="1"/>
  <c r="G121" i="8"/>
  <c r="G126" i="8" s="1"/>
  <c r="D6" i="8"/>
  <c r="H6" i="8"/>
  <c r="L59" i="8"/>
  <c r="L55" i="8"/>
  <c r="G6" i="8"/>
  <c r="H54" i="8"/>
  <c r="L60" i="8"/>
  <c r="F6" i="8"/>
  <c r="G55" i="8"/>
  <c r="J61" i="8"/>
  <c r="G133" i="8"/>
  <c r="L58" i="8"/>
  <c r="K58" i="8"/>
  <c r="J58" i="8"/>
  <c r="I58" i="8"/>
  <c r="H58" i="8"/>
  <c r="G94" i="8"/>
  <c r="O58" i="8"/>
  <c r="N58" i="8"/>
  <c r="K133" i="8"/>
  <c r="F5" i="19" s="1"/>
  <c r="K94" i="8"/>
  <c r="N63" i="8"/>
  <c r="M63" i="8"/>
  <c r="L63" i="8"/>
  <c r="I109" i="8"/>
  <c r="L54" i="8"/>
  <c r="J55" i="8"/>
  <c r="M133" i="8"/>
  <c r="H5" i="19" s="1"/>
  <c r="N65" i="8"/>
  <c r="O65" i="8" s="1"/>
  <c r="F54" i="8"/>
  <c r="N54" i="8"/>
  <c r="G56" i="8"/>
  <c r="M57" i="8"/>
  <c r="L57" i="8"/>
  <c r="K57" i="8"/>
  <c r="J57" i="8"/>
  <c r="I57" i="8"/>
  <c r="O57" i="8"/>
  <c r="G54" i="8"/>
  <c r="I56" i="8"/>
  <c r="E94" i="8"/>
  <c r="K59" i="8"/>
  <c r="J59" i="8"/>
  <c r="I59" i="8"/>
  <c r="O59" i="8"/>
  <c r="N59" i="8"/>
  <c r="M59" i="8"/>
  <c r="F55" i="8"/>
  <c r="K56" i="8"/>
  <c r="M94" i="8"/>
  <c r="D133" i="8"/>
  <c r="D94" i="8"/>
  <c r="H133" i="8"/>
  <c r="K60" i="8"/>
  <c r="J60" i="8"/>
  <c r="I60" i="8"/>
  <c r="H94" i="8"/>
  <c r="N60" i="8"/>
  <c r="M60" i="8"/>
  <c r="I54" i="8"/>
  <c r="L133" i="8"/>
  <c r="G5" i="19" s="1"/>
  <c r="L94" i="8"/>
  <c r="N64" i="8"/>
  <c r="M64" i="8"/>
  <c r="E133" i="8"/>
  <c r="N55" i="8"/>
  <c r="M55" i="8"/>
  <c r="K55" i="8"/>
  <c r="I133" i="8"/>
  <c r="D5" i="19" s="1"/>
  <c r="I94" i="8"/>
  <c r="N61" i="8"/>
  <c r="M61" i="8"/>
  <c r="L61" i="8"/>
  <c r="K61" i="8"/>
  <c r="J54" i="8"/>
  <c r="H55" i="8"/>
  <c r="F133" i="8"/>
  <c r="N56" i="8"/>
  <c r="M56" i="8"/>
  <c r="L56" i="8"/>
  <c r="J56" i="8"/>
  <c r="F94" i="8"/>
  <c r="H56" i="8"/>
  <c r="J133" i="8"/>
  <c r="E5" i="19" s="1"/>
  <c r="J94" i="8"/>
  <c r="N62" i="8"/>
  <c r="M62" i="8"/>
  <c r="L62" i="8"/>
  <c r="K62" i="8"/>
  <c r="K54" i="8"/>
  <c r="I55" i="8"/>
  <c r="H121" i="8"/>
  <c r="H126" i="8" s="1"/>
  <c r="D116" i="8"/>
  <c r="D121" i="8" s="1"/>
  <c r="D126" i="8" s="1"/>
  <c r="E116" i="8"/>
  <c r="E121" i="8" s="1"/>
  <c r="E126" i="8" s="1"/>
  <c r="F116" i="8"/>
  <c r="F121" i="8" s="1"/>
  <c r="F126" i="8" s="1"/>
  <c r="I111" i="8"/>
  <c r="I157" i="8" l="1"/>
  <c r="I29" i="14" s="1"/>
  <c r="I43" i="14" s="1"/>
  <c r="I168" i="8"/>
  <c r="D26" i="8"/>
  <c r="D27" i="8" s="1"/>
  <c r="D96" i="8"/>
  <c r="D97" i="8" s="1"/>
  <c r="D135" i="8"/>
  <c r="D136" i="8" s="1"/>
  <c r="D115" i="8"/>
  <c r="D114" i="8"/>
  <c r="D119" i="8" s="1"/>
  <c r="D124" i="8" s="1"/>
  <c r="N135" i="8" s="1"/>
  <c r="I6" i="19" s="1"/>
  <c r="F27" i="8"/>
  <c r="P134" i="8" s="1"/>
  <c r="F114" i="8"/>
  <c r="F119" i="8" s="1"/>
  <c r="F115" i="8"/>
  <c r="F120" i="8" s="1"/>
  <c r="F125" i="8" s="1"/>
  <c r="F93" i="9" s="1"/>
  <c r="P101" i="9" s="1"/>
  <c r="K13" i="19" s="1"/>
  <c r="H27" i="8"/>
  <c r="H115" i="8"/>
  <c r="H120" i="8" s="1"/>
  <c r="H125" i="8" s="1"/>
  <c r="H93" i="9" s="1"/>
  <c r="R101" i="9" s="1"/>
  <c r="M13" i="19" s="1"/>
  <c r="H114" i="8"/>
  <c r="H119" i="8" s="1"/>
  <c r="E27" i="8"/>
  <c r="O42" i="8" s="1"/>
  <c r="E115" i="8"/>
  <c r="E120" i="8" s="1"/>
  <c r="E125" i="8" s="1"/>
  <c r="E93" i="9" s="1"/>
  <c r="O101" i="9" s="1"/>
  <c r="J13" i="19" s="1"/>
  <c r="E114" i="8"/>
  <c r="E119" i="8" s="1"/>
  <c r="G81" i="8"/>
  <c r="G27" i="8"/>
  <c r="Q134" i="8" s="1"/>
  <c r="G114" i="8"/>
  <c r="G119" i="8" s="1"/>
  <c r="G115" i="8"/>
  <c r="G120" i="8" s="1"/>
  <c r="G125" i="8" s="1"/>
  <c r="G93" i="9" s="1"/>
  <c r="Q101" i="9" s="1"/>
  <c r="L13" i="19" s="1"/>
  <c r="K81" i="8"/>
  <c r="F81" i="8"/>
  <c r="I81" i="8"/>
  <c r="J81" i="8"/>
  <c r="H81" i="8"/>
  <c r="M81" i="8"/>
  <c r="L81" i="8"/>
  <c r="N81" i="8"/>
  <c r="O63" i="8"/>
  <c r="P63" i="8" s="1"/>
  <c r="Q63" i="8" s="1"/>
  <c r="R63" i="8" s="1"/>
  <c r="P57" i="8"/>
  <c r="O56" i="8"/>
  <c r="P58" i="8"/>
  <c r="O55" i="8"/>
  <c r="I126" i="8"/>
  <c r="P59" i="8"/>
  <c r="O61" i="8"/>
  <c r="P61" i="8" s="1"/>
  <c r="P65" i="8"/>
  <c r="O54" i="8"/>
  <c r="O62" i="8"/>
  <c r="P62" i="8" s="1"/>
  <c r="O60" i="8"/>
  <c r="P60" i="8" s="1"/>
  <c r="I121" i="8"/>
  <c r="I116" i="8"/>
  <c r="O64" i="8"/>
  <c r="P64" i="8" s="1"/>
  <c r="S5" i="19" l="1"/>
  <c r="I5" i="14"/>
  <c r="I19" i="14" s="1"/>
  <c r="K5" i="19"/>
  <c r="L5" i="19"/>
  <c r="O134" i="8"/>
  <c r="P42" i="8"/>
  <c r="Q68" i="8" s="1"/>
  <c r="Q42" i="8"/>
  <c r="R69" i="8" s="1"/>
  <c r="M96" i="8"/>
  <c r="M135" i="8"/>
  <c r="H6" i="19" s="1"/>
  <c r="L96" i="8"/>
  <c r="L135" i="8"/>
  <c r="G6" i="19" s="1"/>
  <c r="K96" i="8"/>
  <c r="K135" i="8"/>
  <c r="F6" i="19" s="1"/>
  <c r="G96" i="8"/>
  <c r="G135" i="8"/>
  <c r="F96" i="8"/>
  <c r="F135" i="8"/>
  <c r="I96" i="8"/>
  <c r="I135" i="8"/>
  <c r="D6" i="19" s="1"/>
  <c r="H96" i="8"/>
  <c r="H135" i="8"/>
  <c r="E96" i="8"/>
  <c r="E135" i="8"/>
  <c r="J96" i="8"/>
  <c r="J135" i="8"/>
  <c r="E6" i="19" s="1"/>
  <c r="F124" i="8"/>
  <c r="P135" i="8" s="1"/>
  <c r="G124" i="8"/>
  <c r="Q135" i="8" s="1"/>
  <c r="E124" i="8"/>
  <c r="O135" i="8" s="1"/>
  <c r="H124" i="8"/>
  <c r="R135" i="8" s="1"/>
  <c r="I115" i="8"/>
  <c r="D120" i="8"/>
  <c r="D125" i="8" s="1"/>
  <c r="Q61" i="8"/>
  <c r="R61" i="8" s="1"/>
  <c r="S61" i="8" s="1"/>
  <c r="O95" i="8"/>
  <c r="P67" i="8"/>
  <c r="Q67" i="8" s="1"/>
  <c r="R134" i="8"/>
  <c r="R42" i="8"/>
  <c r="Q64" i="8"/>
  <c r="R64" i="8" s="1"/>
  <c r="S64" i="8" s="1"/>
  <c r="Q62" i="8"/>
  <c r="R62" i="8" s="1"/>
  <c r="S62" i="8" s="1"/>
  <c r="Q65" i="8"/>
  <c r="R65" i="8" s="1"/>
  <c r="S65" i="8" s="1"/>
  <c r="N134" i="8"/>
  <c r="N42" i="8"/>
  <c r="I114" i="8"/>
  <c r="S63" i="8"/>
  <c r="Q60" i="8"/>
  <c r="E93" i="8"/>
  <c r="D98" i="8"/>
  <c r="I119" i="8"/>
  <c r="E132" i="8"/>
  <c r="D137" i="8"/>
  <c r="K6" i="19" l="1"/>
  <c r="M5" i="19"/>
  <c r="M6" i="19"/>
  <c r="J5" i="19"/>
  <c r="L6" i="19"/>
  <c r="I5" i="19"/>
  <c r="J6" i="19"/>
  <c r="I125" i="8"/>
  <c r="D93" i="9"/>
  <c r="P95" i="8"/>
  <c r="I120" i="8"/>
  <c r="Q95" i="8"/>
  <c r="I124" i="8"/>
  <c r="E141" i="8" s="1"/>
  <c r="R67" i="8"/>
  <c r="E136" i="8"/>
  <c r="F132" i="8" s="1"/>
  <c r="S69" i="8"/>
  <c r="T69" i="8" s="1"/>
  <c r="U69" i="8" s="1"/>
  <c r="V69" i="8" s="1"/>
  <c r="W69" i="8" s="1"/>
  <c r="R68" i="8"/>
  <c r="E97" i="8"/>
  <c r="F93" i="8" s="1"/>
  <c r="R60" i="8"/>
  <c r="R95" i="8"/>
  <c r="S70" i="8"/>
  <c r="T70" i="8" s="1"/>
  <c r="U70" i="8" s="1"/>
  <c r="V70" i="8" s="1"/>
  <c r="W70" i="8" s="1"/>
  <c r="X70" i="8" s="1"/>
  <c r="N95" i="8"/>
  <c r="O66" i="8"/>
  <c r="I93" i="9" l="1"/>
  <c r="E107" i="9" s="1"/>
  <c r="F107" i="9" s="1"/>
  <c r="F110" i="9" s="1"/>
  <c r="N101" i="9"/>
  <c r="I13" i="19" s="1"/>
  <c r="I14" i="19" s="1"/>
  <c r="O81" i="8"/>
  <c r="N96" i="8" s="1"/>
  <c r="F97" i="8"/>
  <c r="G93" i="8" s="1"/>
  <c r="E137" i="8"/>
  <c r="S68" i="8"/>
  <c r="T68" i="8" s="1"/>
  <c r="U68" i="8" s="1"/>
  <c r="V68" i="8" s="1"/>
  <c r="S67" i="8"/>
  <c r="S60" i="8"/>
  <c r="F136" i="8"/>
  <c r="G132" i="8" s="1"/>
  <c r="P66" i="8"/>
  <c r="P81" i="8" s="1"/>
  <c r="O96" i="8" s="1"/>
  <c r="E98" i="8"/>
  <c r="T67" i="8" l="1"/>
  <c r="U67" i="8" s="1"/>
  <c r="I15" i="19"/>
  <c r="E116" i="9"/>
  <c r="E124" i="9" s="1"/>
  <c r="F116" i="9"/>
  <c r="F124" i="9" s="1"/>
  <c r="G116" i="9"/>
  <c r="G124" i="9" s="1"/>
  <c r="H116" i="9"/>
  <c r="H124" i="9" s="1"/>
  <c r="D116" i="9"/>
  <c r="D124" i="9" s="1"/>
  <c r="N102" i="9"/>
  <c r="F137" i="8"/>
  <c r="F98" i="8"/>
  <c r="G136" i="8"/>
  <c r="H132" i="8" s="1"/>
  <c r="G97" i="8"/>
  <c r="H93" i="8" s="1"/>
  <c r="Q66" i="8"/>
  <c r="O98" i="9" l="1"/>
  <c r="J11" i="19" s="1"/>
  <c r="N103" i="9"/>
  <c r="Q81" i="8"/>
  <c r="P96" i="8" s="1"/>
  <c r="G98" i="8"/>
  <c r="R66" i="8"/>
  <c r="H97" i="8"/>
  <c r="I93" i="8" s="1"/>
  <c r="G137" i="8"/>
  <c r="H136" i="8"/>
  <c r="I132" i="8" s="1"/>
  <c r="D4" i="19" s="1"/>
  <c r="J14" i="19" l="1"/>
  <c r="D7" i="19"/>
  <c r="D8" i="19" s="1"/>
  <c r="O102" i="9"/>
  <c r="P98" i="9" s="1"/>
  <c r="K11" i="19" s="1"/>
  <c r="R81" i="8"/>
  <c r="Q96" i="8" s="1"/>
  <c r="H98" i="8"/>
  <c r="S66" i="8"/>
  <c r="S81" i="8" s="1"/>
  <c r="R96" i="8" s="1"/>
  <c r="I136" i="8"/>
  <c r="J132" i="8" s="1"/>
  <c r="E4" i="19" s="1"/>
  <c r="I97" i="8"/>
  <c r="J93" i="8" s="1"/>
  <c r="H137" i="8"/>
  <c r="E7" i="19" l="1"/>
  <c r="E8" i="19" s="1"/>
  <c r="J15" i="19"/>
  <c r="K14" i="19"/>
  <c r="P102" i="9"/>
  <c r="Q98" i="9" s="1"/>
  <c r="L11" i="19" s="1"/>
  <c r="O103" i="9"/>
  <c r="D141" i="8"/>
  <c r="F141" i="8" s="1"/>
  <c r="T66" i="8"/>
  <c r="I137" i="8"/>
  <c r="I98" i="8"/>
  <c r="J136" i="8"/>
  <c r="K132" i="8" s="1"/>
  <c r="F4" i="19" s="1"/>
  <c r="J97" i="8"/>
  <c r="K93" i="8" s="1"/>
  <c r="P103" i="9" l="1"/>
  <c r="F7" i="19"/>
  <c r="F8" i="19" s="1"/>
  <c r="K15" i="19"/>
  <c r="L14" i="19"/>
  <c r="Q102" i="9"/>
  <c r="R98" i="9" s="1"/>
  <c r="M11" i="19" s="1"/>
  <c r="F144" i="8"/>
  <c r="D150" i="8" s="1"/>
  <c r="J98" i="8"/>
  <c r="J137" i="8"/>
  <c r="K136" i="8"/>
  <c r="L132" i="8" s="1"/>
  <c r="G4" i="19" s="1"/>
  <c r="K97" i="8"/>
  <c r="L93" i="8" s="1"/>
  <c r="Q103" i="9" l="1"/>
  <c r="G7" i="19"/>
  <c r="G8" i="19" s="1"/>
  <c r="L15" i="19"/>
  <c r="M14" i="19"/>
  <c r="R102" i="9"/>
  <c r="D121" i="9" s="1"/>
  <c r="D35" i="14" s="1"/>
  <c r="E150" i="8"/>
  <c r="E159" i="8" s="1"/>
  <c r="G150" i="8"/>
  <c r="G159" i="8" s="1"/>
  <c r="H150" i="8"/>
  <c r="H159" i="8" s="1"/>
  <c r="D159" i="8"/>
  <c r="F150" i="8"/>
  <c r="F159" i="8" s="1"/>
  <c r="K98" i="8"/>
  <c r="K137" i="8"/>
  <c r="L97" i="8"/>
  <c r="M93" i="8" s="1"/>
  <c r="L136" i="8"/>
  <c r="M132" i="8" s="1"/>
  <c r="H4" i="19" s="1"/>
  <c r="H7" i="19" l="1"/>
  <c r="H8" i="19" s="1"/>
  <c r="M15" i="19"/>
  <c r="R103" i="9"/>
  <c r="L98" i="8"/>
  <c r="L137" i="8"/>
  <c r="M136" i="8"/>
  <c r="N132" i="8" s="1"/>
  <c r="I4" i="19" s="1"/>
  <c r="M97" i="8"/>
  <c r="I7" i="19" l="1"/>
  <c r="M98" i="8"/>
  <c r="N93" i="8"/>
  <c r="N136" i="8"/>
  <c r="O132" i="8" s="1"/>
  <c r="J4" i="19" s="1"/>
  <c r="M137" i="8"/>
  <c r="I8" i="19" l="1"/>
  <c r="J7" i="19"/>
  <c r="N97" i="8"/>
  <c r="O93" i="8" s="1"/>
  <c r="N137" i="8"/>
  <c r="O136" i="8"/>
  <c r="P132" i="8" s="1"/>
  <c r="K4" i="19" s="1"/>
  <c r="J8" i="19" l="1"/>
  <c r="K7" i="19"/>
  <c r="N98" i="8"/>
  <c r="O97" i="8"/>
  <c r="P93" i="8" s="1"/>
  <c r="O137" i="8"/>
  <c r="P136" i="8"/>
  <c r="Q132" i="8" s="1"/>
  <c r="L4" i="19" s="1"/>
  <c r="K8" i="19" l="1"/>
  <c r="L7" i="19"/>
  <c r="O98" i="8"/>
  <c r="P97" i="8"/>
  <c r="Q93" i="8" s="1"/>
  <c r="Q136" i="8"/>
  <c r="R132" i="8" s="1"/>
  <c r="M4" i="19" s="1"/>
  <c r="P137" i="8"/>
  <c r="L8" i="19" l="1"/>
  <c r="M7" i="19"/>
  <c r="P98" i="8"/>
  <c r="Q97" i="8"/>
  <c r="R93" i="8" s="1"/>
  <c r="R97" i="8" s="1"/>
  <c r="R98" i="8" s="1"/>
  <c r="R136" i="8"/>
  <c r="Q137" i="8"/>
  <c r="M8" i="19" l="1"/>
  <c r="D156" i="8"/>
  <c r="D28" i="14" s="1"/>
  <c r="Q98" i="8"/>
  <c r="R137" i="8"/>
  <c r="K10" i="9" l="1"/>
  <c r="K10" i="8"/>
  <c r="D42" i="14" l="1"/>
  <c r="K12" i="8"/>
  <c r="K11" i="8"/>
  <c r="N4" i="3"/>
  <c r="D4" i="17" s="1"/>
  <c r="D21" i="17" s="1"/>
  <c r="K5" i="9"/>
  <c r="N11" i="19" s="1"/>
  <c r="K5" i="8"/>
  <c r="N4" i="19" s="1"/>
  <c r="L10" i="9"/>
  <c r="L10" i="8"/>
  <c r="K11" i="9"/>
  <c r="K12" i="9"/>
  <c r="I6" i="6"/>
  <c r="I5" i="6"/>
  <c r="I11" i="6"/>
  <c r="D61" i="6"/>
  <c r="C13" i="3"/>
  <c r="D22" i="17" l="1"/>
  <c r="K6" i="8"/>
  <c r="K7" i="8"/>
  <c r="D167" i="8" s="1"/>
  <c r="D4" i="14" s="1"/>
  <c r="K6" i="9"/>
  <c r="K7" i="9"/>
  <c r="D131" i="9" s="1"/>
  <c r="D11" i="14" s="1"/>
  <c r="L11" i="9"/>
  <c r="L12" i="9"/>
  <c r="M10" i="9"/>
  <c r="M10" i="8"/>
  <c r="O4" i="3"/>
  <c r="E4" i="17" s="1"/>
  <c r="L5" i="9"/>
  <c r="L5" i="8"/>
  <c r="L11" i="8"/>
  <c r="L12" i="8"/>
  <c r="E21" i="17" l="1"/>
  <c r="E22" i="17"/>
  <c r="L6" i="8"/>
  <c r="L7" i="8"/>
  <c r="L6" i="9"/>
  <c r="L7" i="9"/>
  <c r="D39" i="17"/>
  <c r="D24" i="17"/>
  <c r="D40" i="17"/>
  <c r="M12" i="8"/>
  <c r="M11" i="8"/>
  <c r="M11" i="9"/>
  <c r="M12" i="9"/>
  <c r="N10" i="9"/>
  <c r="N10" i="8"/>
  <c r="P4" i="3"/>
  <c r="F4" i="17" s="1"/>
  <c r="M5" i="9"/>
  <c r="M5" i="8"/>
  <c r="D46" i="17" l="1"/>
  <c r="F22" i="17"/>
  <c r="F21" i="17"/>
  <c r="F24" i="17" s="1"/>
  <c r="E24" i="17"/>
  <c r="D45" i="17"/>
  <c r="E34" i="17"/>
  <c r="E17" i="16"/>
  <c r="E30" i="17"/>
  <c r="E31" i="17" s="1"/>
  <c r="E39" i="17" s="1"/>
  <c r="E13" i="16"/>
  <c r="S45" i="8"/>
  <c r="M6" i="9"/>
  <c r="M7" i="9"/>
  <c r="M6" i="8"/>
  <c r="M7" i="8"/>
  <c r="D41" i="17"/>
  <c r="D18" i="14"/>
  <c r="N12" i="9"/>
  <c r="N11" i="9"/>
  <c r="N12" i="8"/>
  <c r="N11" i="8"/>
  <c r="Q4" i="3"/>
  <c r="G4" i="17" s="1"/>
  <c r="N5" i="9"/>
  <c r="N5" i="8"/>
  <c r="O10" i="9"/>
  <c r="O10" i="8"/>
  <c r="E35" i="17" l="1"/>
  <c r="G22" i="17"/>
  <c r="G21" i="17"/>
  <c r="G24" i="17" s="1"/>
  <c r="E45" i="17"/>
  <c r="D168" i="8"/>
  <c r="N5" i="19" s="1"/>
  <c r="T71" i="8"/>
  <c r="E19" i="16"/>
  <c r="F34" i="17"/>
  <c r="F17" i="16"/>
  <c r="F13" i="16"/>
  <c r="F30" i="17"/>
  <c r="S39" i="9"/>
  <c r="Z59" i="9" s="1"/>
  <c r="N6" i="8"/>
  <c r="N7" i="8"/>
  <c r="D47" i="17"/>
  <c r="N6" i="9"/>
  <c r="N7" i="9"/>
  <c r="R4" i="3"/>
  <c r="H4" i="17" s="1"/>
  <c r="O5" i="9"/>
  <c r="O5" i="8"/>
  <c r="O12" i="9"/>
  <c r="O11" i="9"/>
  <c r="O12" i="8"/>
  <c r="O11" i="8"/>
  <c r="E40" i="17" l="1"/>
  <c r="H21" i="17"/>
  <c r="H22" i="17"/>
  <c r="H16" i="16" s="1"/>
  <c r="H17" i="16" s="1"/>
  <c r="D5" i="14"/>
  <c r="T45" i="8"/>
  <c r="E168" i="8" s="1"/>
  <c r="E5" i="14" s="1"/>
  <c r="D132" i="9"/>
  <c r="D12" i="14" s="1"/>
  <c r="D19" i="14" s="1"/>
  <c r="Y59" i="9"/>
  <c r="F31" i="17"/>
  <c r="F39" i="17" s="1"/>
  <c r="F19" i="16"/>
  <c r="F35" i="17"/>
  <c r="F40" i="17" s="1"/>
  <c r="F46" i="17" s="1"/>
  <c r="G34" i="17"/>
  <c r="G35" i="17" s="1"/>
  <c r="G46" i="17" s="1"/>
  <c r="G17" i="16"/>
  <c r="O6" i="9"/>
  <c r="O7" i="9"/>
  <c r="H12" i="16"/>
  <c r="O6" i="8"/>
  <c r="O7" i="8"/>
  <c r="K35" i="17" l="1"/>
  <c r="E46" i="17"/>
  <c r="K40" i="17"/>
  <c r="E41" i="17"/>
  <c r="K34" i="17"/>
  <c r="O5" i="19"/>
  <c r="H24" i="17"/>
  <c r="E157" i="8"/>
  <c r="E29" i="14" s="1"/>
  <c r="N12" i="19"/>
  <c r="G13" i="16"/>
  <c r="G19" i="16" s="1"/>
  <c r="K17" i="16"/>
  <c r="U72" i="8"/>
  <c r="V72" i="8" s="1"/>
  <c r="G30" i="17"/>
  <c r="K30" i="17" s="1"/>
  <c r="F45" i="17"/>
  <c r="F41" i="17"/>
  <c r="U39" i="9"/>
  <c r="Z61" i="9" s="1"/>
  <c r="H30" i="17"/>
  <c r="H13" i="16"/>
  <c r="H19" i="16" s="1"/>
  <c r="V39" i="9"/>
  <c r="D122" i="9"/>
  <c r="X59" i="9"/>
  <c r="U59" i="9"/>
  <c r="T59" i="9"/>
  <c r="D75" i="9" s="1"/>
  <c r="V59" i="9"/>
  <c r="W59" i="9"/>
  <c r="D157" i="8"/>
  <c r="U71" i="8"/>
  <c r="Y62" i="9" l="1"/>
  <c r="Z62" i="9"/>
  <c r="K46" i="17"/>
  <c r="T39" i="9"/>
  <c r="E47" i="17"/>
  <c r="G31" i="17"/>
  <c r="K31" i="17" s="1"/>
  <c r="E158" i="8"/>
  <c r="E30" i="14" s="1"/>
  <c r="K16" i="16"/>
  <c r="W72" i="8"/>
  <c r="X72" i="8" s="1"/>
  <c r="K13" i="16"/>
  <c r="K19" i="16"/>
  <c r="K12" i="16"/>
  <c r="F47" i="17"/>
  <c r="U45" i="8"/>
  <c r="V73" i="8" s="1"/>
  <c r="F132" i="9"/>
  <c r="F12" i="14" s="1"/>
  <c r="Y61" i="9"/>
  <c r="D76" i="9"/>
  <c r="D123" i="9" s="1"/>
  <c r="D133" i="9" s="1"/>
  <c r="H31" i="17"/>
  <c r="H39" i="17" s="1"/>
  <c r="H45" i="17" s="1"/>
  <c r="W45" i="8" s="1"/>
  <c r="H34" i="17"/>
  <c r="G132" i="9"/>
  <c r="G12" i="14" s="1"/>
  <c r="X62" i="9"/>
  <c r="G122" i="9"/>
  <c r="G36" i="14" s="1"/>
  <c r="W62" i="9"/>
  <c r="V71" i="8"/>
  <c r="D86" i="8"/>
  <c r="D158" i="8" s="1"/>
  <c r="D29" i="14"/>
  <c r="D36" i="14"/>
  <c r="Z60" i="9" l="1"/>
  <c r="J75" i="9" s="1"/>
  <c r="J76" i="9" s="1"/>
  <c r="J123" i="9" s="1"/>
  <c r="X60" i="9"/>
  <c r="E132" i="9"/>
  <c r="V60" i="9"/>
  <c r="W60" i="9"/>
  <c r="E122" i="9"/>
  <c r="E36" i="14" s="1"/>
  <c r="E43" i="14" s="1"/>
  <c r="Y60" i="9"/>
  <c r="I75" i="9" s="1"/>
  <c r="U60" i="9"/>
  <c r="E75" i="9" s="1"/>
  <c r="E76" i="9" s="1"/>
  <c r="E123" i="9" s="1"/>
  <c r="E37" i="14" s="1"/>
  <c r="G41" i="17"/>
  <c r="K41" i="17" s="1"/>
  <c r="P12" i="19"/>
  <c r="Y72" i="8"/>
  <c r="W71" i="8"/>
  <c r="D37" i="14"/>
  <c r="D38" i="14" s="1"/>
  <c r="D125" i="9"/>
  <c r="E121" i="9" s="1"/>
  <c r="H35" i="17"/>
  <c r="F168" i="8"/>
  <c r="D13" i="14"/>
  <c r="D14" i="14" s="1"/>
  <c r="N13" i="19"/>
  <c r="N14" i="19" s="1"/>
  <c r="O11" i="19" s="1"/>
  <c r="Q12" i="19"/>
  <c r="D134" i="9"/>
  <c r="D160" i="8"/>
  <c r="E156" i="8" s="1"/>
  <c r="D169" i="8"/>
  <c r="D30" i="14"/>
  <c r="D31" i="14" s="1"/>
  <c r="E169" i="8"/>
  <c r="O6" i="19" s="1"/>
  <c r="D43" i="14"/>
  <c r="F157" i="8"/>
  <c r="F29" i="14" s="1"/>
  <c r="X61" i="9"/>
  <c r="W61" i="9"/>
  <c r="V61" i="9"/>
  <c r="F122" i="9"/>
  <c r="F36" i="14" s="1"/>
  <c r="D126" i="9"/>
  <c r="K39" i="17" l="1"/>
  <c r="G45" i="17"/>
  <c r="K45" i="17" s="1"/>
  <c r="E133" i="9"/>
  <c r="E13" i="14" s="1"/>
  <c r="G75" i="9"/>
  <c r="G76" i="9" s="1"/>
  <c r="G123" i="9" s="1"/>
  <c r="F75" i="9"/>
  <c r="E12" i="14"/>
  <c r="E19" i="14" s="1"/>
  <c r="O12" i="19"/>
  <c r="O14" i="19" s="1"/>
  <c r="P11" i="19" s="1"/>
  <c r="H75" i="9"/>
  <c r="J37" i="14"/>
  <c r="J133" i="9"/>
  <c r="O13" i="19"/>
  <c r="F76" i="9"/>
  <c r="F123" i="9" s="1"/>
  <c r="X71" i="8"/>
  <c r="H40" i="17"/>
  <c r="W73" i="8"/>
  <c r="F5" i="14"/>
  <c r="F19" i="14" s="1"/>
  <c r="P5" i="19"/>
  <c r="N15" i="19"/>
  <c r="D45" i="14"/>
  <c r="D6" i="14"/>
  <c r="D20" i="14" s="1"/>
  <c r="N6" i="19"/>
  <c r="D161" i="8"/>
  <c r="E6" i="14"/>
  <c r="D15" i="14"/>
  <c r="D5" i="15" s="1"/>
  <c r="D19" i="15" s="1"/>
  <c r="D27" i="15" s="1"/>
  <c r="F43" i="14"/>
  <c r="E131" i="9"/>
  <c r="E11" i="14" s="1"/>
  <c r="E14" i="14" s="1"/>
  <c r="D135" i="9"/>
  <c r="D44" i="14"/>
  <c r="E44" i="14"/>
  <c r="D170" i="8"/>
  <c r="D32" i="14"/>
  <c r="E160" i="8"/>
  <c r="F156" i="8" s="1"/>
  <c r="E125" i="9"/>
  <c r="F121" i="9" s="1"/>
  <c r="D39" i="14"/>
  <c r="E35" i="14"/>
  <c r="G47" i="17" l="1"/>
  <c r="K47" i="17" s="1"/>
  <c r="V45" i="8"/>
  <c r="J13" i="14"/>
  <c r="T13" i="19"/>
  <c r="F37" i="14"/>
  <c r="F133" i="9"/>
  <c r="F13" i="14" s="1"/>
  <c r="G37" i="14"/>
  <c r="G133" i="9"/>
  <c r="G13" i="14" s="1"/>
  <c r="Y71" i="8"/>
  <c r="G168" i="8"/>
  <c r="W74" i="8"/>
  <c r="G157" i="8"/>
  <c r="G29" i="14" s="1"/>
  <c r="G43" i="14" s="1"/>
  <c r="E38" i="14"/>
  <c r="E39" i="14" s="1"/>
  <c r="H46" i="17"/>
  <c r="H41" i="17"/>
  <c r="F158" i="8"/>
  <c r="F30" i="14" s="1"/>
  <c r="X73" i="8"/>
  <c r="Y73" i="8" s="1"/>
  <c r="D7" i="14"/>
  <c r="N7" i="19"/>
  <c r="N8" i="19" s="1"/>
  <c r="O15" i="19"/>
  <c r="E126" i="9"/>
  <c r="E15" i="14"/>
  <c r="E5" i="15" s="1"/>
  <c r="E19" i="15" s="1"/>
  <c r="E27" i="15" s="1"/>
  <c r="E20" i="14"/>
  <c r="E134" i="9"/>
  <c r="F131" i="9" s="1"/>
  <c r="F11" i="14" s="1"/>
  <c r="E167" i="8"/>
  <c r="E4" i="14" s="1"/>
  <c r="D171" i="8"/>
  <c r="D46" i="14"/>
  <c r="E28" i="14"/>
  <c r="E161" i="8"/>
  <c r="F125" i="9"/>
  <c r="G121" i="9" s="1"/>
  <c r="X74" i="8" l="1"/>
  <c r="H85" i="8" s="1"/>
  <c r="H86" i="8" s="1"/>
  <c r="G85" i="8"/>
  <c r="G86" i="8" s="1"/>
  <c r="P13" i="19"/>
  <c r="P14" i="19" s="1"/>
  <c r="Q11" i="19" s="1"/>
  <c r="Y74" i="8"/>
  <c r="I85" i="8" s="1"/>
  <c r="I86" i="8" s="1"/>
  <c r="I158" i="8" s="1"/>
  <c r="G158" i="8"/>
  <c r="G30" i="14" s="1"/>
  <c r="G44" i="14" s="1"/>
  <c r="G5" i="14"/>
  <c r="G19" i="14" s="1"/>
  <c r="Q5" i="19"/>
  <c r="F35" i="14"/>
  <c r="F38" i="14" s="1"/>
  <c r="H158" i="8"/>
  <c r="H30" i="14" s="1"/>
  <c r="E31" i="14"/>
  <c r="E32" i="14" s="1"/>
  <c r="Q13" i="19"/>
  <c r="F160" i="8"/>
  <c r="G156" i="8" s="1"/>
  <c r="F169" i="8"/>
  <c r="P6" i="19" s="1"/>
  <c r="H47" i="17"/>
  <c r="W39" i="9"/>
  <c r="H157" i="8"/>
  <c r="H29" i="14" s="1"/>
  <c r="H168" i="8"/>
  <c r="D8" i="14"/>
  <c r="D22" i="14" s="1"/>
  <c r="D21" i="14"/>
  <c r="F14" i="14"/>
  <c r="O4" i="19"/>
  <c r="E7" i="14"/>
  <c r="E18" i="14"/>
  <c r="F126" i="9"/>
  <c r="F134" i="9"/>
  <c r="G131" i="9" s="1"/>
  <c r="G11" i="14" s="1"/>
  <c r="E135" i="9"/>
  <c r="E170" i="8"/>
  <c r="F167" i="8" s="1"/>
  <c r="F4" i="14" s="1"/>
  <c r="F44" i="14"/>
  <c r="E42" i="14"/>
  <c r="F161" i="8"/>
  <c r="G125" i="9"/>
  <c r="H121" i="9" s="1"/>
  <c r="Z74" i="8" l="1"/>
  <c r="J85" i="8" s="1"/>
  <c r="J86" i="8" s="1"/>
  <c r="J158" i="8" s="1"/>
  <c r="G169" i="8"/>
  <c r="Q6" i="19" s="1"/>
  <c r="G14" i="14"/>
  <c r="G15" i="14" s="1"/>
  <c r="G5" i="15" s="1"/>
  <c r="G19" i="15" s="1"/>
  <c r="G27" i="15" s="1"/>
  <c r="G160" i="8"/>
  <c r="H156" i="8" s="1"/>
  <c r="H160" i="8" s="1"/>
  <c r="Y63" i="9"/>
  <c r="I76" i="9" s="1"/>
  <c r="I123" i="9" s="1"/>
  <c r="X63" i="9"/>
  <c r="H76" i="9" s="1"/>
  <c r="H123" i="9" s="1"/>
  <c r="H37" i="14" s="1"/>
  <c r="F39" i="14"/>
  <c r="G35" i="14"/>
  <c r="G38" i="14" s="1"/>
  <c r="I30" i="14"/>
  <c r="I169" i="8"/>
  <c r="F6" i="14"/>
  <c r="F20" i="14" s="1"/>
  <c r="E46" i="14"/>
  <c r="F28" i="14"/>
  <c r="D4" i="15"/>
  <c r="D18" i="15" s="1"/>
  <c r="D26" i="15" s="1"/>
  <c r="D28" i="15" s="1"/>
  <c r="H169" i="8"/>
  <c r="R6" i="19" s="1"/>
  <c r="H5" i="14"/>
  <c r="R5" i="19"/>
  <c r="H132" i="9"/>
  <c r="H12" i="14" s="1"/>
  <c r="H122" i="9"/>
  <c r="F15" i="14"/>
  <c r="F5" i="15" s="1"/>
  <c r="F19" i="15" s="1"/>
  <c r="F27" i="15" s="1"/>
  <c r="O7" i="19"/>
  <c r="O8" i="19" s="1"/>
  <c r="Q14" i="19"/>
  <c r="R11" i="19" s="1"/>
  <c r="P15" i="19"/>
  <c r="F135" i="9"/>
  <c r="E21" i="14"/>
  <c r="E8" i="14"/>
  <c r="G134" i="9"/>
  <c r="H131" i="9" s="1"/>
  <c r="H11" i="14" s="1"/>
  <c r="G126" i="9"/>
  <c r="E171" i="8"/>
  <c r="F170" i="8"/>
  <c r="G167" i="8" s="1"/>
  <c r="G4" i="14" s="1"/>
  <c r="E45" i="14"/>
  <c r="J169" i="8" l="1"/>
  <c r="J30" i="14"/>
  <c r="J44" i="14" s="1"/>
  <c r="G6" i="14"/>
  <c r="G20" i="14" s="1"/>
  <c r="D6" i="15"/>
  <c r="G161" i="8"/>
  <c r="S6" i="19"/>
  <c r="I6" i="14"/>
  <c r="G39" i="14"/>
  <c r="H35" i="14"/>
  <c r="H36" i="14"/>
  <c r="H43" i="14" s="1"/>
  <c r="F31" i="14"/>
  <c r="F32" i="14" s="1"/>
  <c r="I133" i="9"/>
  <c r="I37" i="14"/>
  <c r="I44" i="14" s="1"/>
  <c r="H161" i="8"/>
  <c r="I156" i="8"/>
  <c r="H6" i="14"/>
  <c r="R12" i="19"/>
  <c r="H19" i="14"/>
  <c r="H133" i="9"/>
  <c r="H44" i="14"/>
  <c r="H125" i="9"/>
  <c r="P4" i="19"/>
  <c r="Q15" i="19"/>
  <c r="D20" i="15"/>
  <c r="E22" i="14"/>
  <c r="E4" i="15"/>
  <c r="E18" i="15" s="1"/>
  <c r="E26" i="15" s="1"/>
  <c r="E28" i="15" s="1"/>
  <c r="F7" i="14"/>
  <c r="F18" i="14"/>
  <c r="F171" i="8"/>
  <c r="G135" i="9"/>
  <c r="G170" i="8"/>
  <c r="H167" i="8" s="1"/>
  <c r="H4" i="14" s="1"/>
  <c r="H18" i="14" s="1"/>
  <c r="F42" i="14"/>
  <c r="J6" i="14" l="1"/>
  <c r="J20" i="14" s="1"/>
  <c r="T6" i="19"/>
  <c r="G28" i="14"/>
  <c r="G31" i="14" s="1"/>
  <c r="G32" i="14" s="1"/>
  <c r="H38" i="14"/>
  <c r="H39" i="14" s="1"/>
  <c r="H126" i="9"/>
  <c r="I121" i="9"/>
  <c r="I125" i="9" s="1"/>
  <c r="S13" i="19"/>
  <c r="I13" i="14"/>
  <c r="I20" i="14" s="1"/>
  <c r="H134" i="9"/>
  <c r="H13" i="14"/>
  <c r="F8" i="14"/>
  <c r="F4" i="15" s="1"/>
  <c r="F18" i="15" s="1"/>
  <c r="F26" i="15" s="1"/>
  <c r="I160" i="8"/>
  <c r="R13" i="19"/>
  <c r="R14" i="19" s="1"/>
  <c r="P7" i="19"/>
  <c r="P8" i="19" s="1"/>
  <c r="E6" i="15"/>
  <c r="F21" i="14"/>
  <c r="G171" i="8"/>
  <c r="E20" i="15"/>
  <c r="H170" i="8"/>
  <c r="F45" i="14"/>
  <c r="I126" i="9" l="1"/>
  <c r="J121" i="9"/>
  <c r="I161" i="8"/>
  <c r="J156" i="8"/>
  <c r="F22" i="14"/>
  <c r="R15" i="19"/>
  <c r="S11" i="19"/>
  <c r="S14" i="19" s="1"/>
  <c r="H135" i="9"/>
  <c r="I131" i="9"/>
  <c r="I35" i="14"/>
  <c r="I38" i="14" s="1"/>
  <c r="H171" i="8"/>
  <c r="I167" i="8"/>
  <c r="H14" i="14"/>
  <c r="H15" i="14" s="1"/>
  <c r="H5" i="15" s="1"/>
  <c r="H19" i="15" s="1"/>
  <c r="H27" i="15" s="1"/>
  <c r="H20" i="14"/>
  <c r="Q4" i="19"/>
  <c r="G7" i="14"/>
  <c r="G18" i="14"/>
  <c r="F46" i="14"/>
  <c r="G42" i="14"/>
  <c r="S15" i="19" l="1"/>
  <c r="T11" i="19"/>
  <c r="T14" i="19" s="1"/>
  <c r="T15" i="19" s="1"/>
  <c r="I39" i="14"/>
  <c r="J35" i="14"/>
  <c r="J38" i="14" s="1"/>
  <c r="J39" i="14" s="1"/>
  <c r="J125" i="9"/>
  <c r="J126" i="9"/>
  <c r="J160" i="8"/>
  <c r="J161" i="8" s="1"/>
  <c r="I11" i="14"/>
  <c r="I14" i="14" s="1"/>
  <c r="I15" i="14" s="1"/>
  <c r="I5" i="15" s="1"/>
  <c r="I19" i="15" s="1"/>
  <c r="I27" i="15" s="1"/>
  <c r="I134" i="9"/>
  <c r="I4" i="14"/>
  <c r="I170" i="8"/>
  <c r="G46" i="14"/>
  <c r="H28" i="14"/>
  <c r="G8" i="14"/>
  <c r="G22" i="14" s="1"/>
  <c r="Q7" i="19"/>
  <c r="G21" i="14"/>
  <c r="G45" i="14"/>
  <c r="F6" i="15"/>
  <c r="I135" i="9" l="1"/>
  <c r="J131" i="9"/>
  <c r="I171" i="8"/>
  <c r="J167" i="8"/>
  <c r="Q8" i="19"/>
  <c r="R4" i="19"/>
  <c r="H31" i="14"/>
  <c r="I28" i="14" s="1"/>
  <c r="G4" i="15"/>
  <c r="G18" i="15" s="1"/>
  <c r="G26" i="15" s="1"/>
  <c r="I18" i="14"/>
  <c r="I7" i="14"/>
  <c r="I21" i="14" s="1"/>
  <c r="H7" i="14"/>
  <c r="H42" i="14"/>
  <c r="J134" i="9" l="1"/>
  <c r="J135" i="9" s="1"/>
  <c r="J11" i="14"/>
  <c r="J14" i="14" s="1"/>
  <c r="J15" i="14" s="1"/>
  <c r="J5" i="15" s="1"/>
  <c r="J19" i="15" s="1"/>
  <c r="J27" i="15" s="1"/>
  <c r="J170" i="8"/>
  <c r="J171" i="8" s="1"/>
  <c r="J4" i="14"/>
  <c r="H32" i="14"/>
  <c r="I31" i="14"/>
  <c r="I42" i="14"/>
  <c r="G6" i="15"/>
  <c r="I8" i="14"/>
  <c r="H21" i="14"/>
  <c r="R7" i="19"/>
  <c r="S4" i="19" s="1"/>
  <c r="S7" i="19" s="1"/>
  <c r="H8" i="14"/>
  <c r="H22" i="14" s="1"/>
  <c r="H45" i="14"/>
  <c r="F20" i="15"/>
  <c r="F28" i="15"/>
  <c r="I45" i="14" l="1"/>
  <c r="J28" i="14"/>
  <c r="J7" i="14"/>
  <c r="J21" i="14" s="1"/>
  <c r="J18" i="14"/>
  <c r="J8" i="14"/>
  <c r="S8" i="19"/>
  <c r="T4" i="19"/>
  <c r="I32" i="14"/>
  <c r="I46" i="14" s="1"/>
  <c r="I4" i="15"/>
  <c r="I22" i="14"/>
  <c r="R8" i="19"/>
  <c r="H4" i="15"/>
  <c r="H18" i="15" s="1"/>
  <c r="H26" i="15" s="1"/>
  <c r="H46" i="14"/>
  <c r="G20" i="15"/>
  <c r="G28" i="15"/>
  <c r="J4" i="15" l="1"/>
  <c r="J22" i="14"/>
  <c r="J42" i="14"/>
  <c r="J31" i="14"/>
  <c r="J45" i="14" s="1"/>
  <c r="T7" i="19"/>
  <c r="T8" i="19" s="1"/>
  <c r="I18" i="15"/>
  <c r="I6" i="15"/>
  <c r="H6" i="15"/>
  <c r="J32" i="14" l="1"/>
  <c r="J46" i="14" s="1"/>
  <c r="J6" i="15"/>
  <c r="J18" i="15"/>
  <c r="I26" i="15"/>
  <c r="I28" i="15" s="1"/>
  <c r="I20" i="15"/>
  <c r="H20" i="15"/>
  <c r="H28" i="15"/>
  <c r="J20" i="15" l="1"/>
  <c r="J26" i="15"/>
  <c r="J28"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R3" authorId="0" shapeId="0" xr:uid="{244F3DB5-395A-4D54-B716-7427CF7695DF}">
      <text>
        <r>
          <rPr>
            <b/>
            <sz val="9"/>
            <color indexed="81"/>
            <rFont val="Tahoma"/>
            <family val="2"/>
          </rPr>
          <t>Author:</t>
        </r>
        <r>
          <rPr>
            <sz val="9"/>
            <color indexed="81"/>
            <rFont val="Tahoma"/>
            <family val="2"/>
          </rPr>
          <t xml:space="preserve">
Assumed 1.6% in line with SONI tariff submission.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5" authorId="0" shapeId="0" xr:uid="{00000000-0006-0000-0500-000001000000}">
      <text>
        <r>
          <rPr>
            <b/>
            <sz val="9"/>
            <color indexed="81"/>
            <rFont val="Tahoma"/>
            <family val="2"/>
          </rPr>
          <t>Author:</t>
        </r>
        <r>
          <rPr>
            <sz val="9"/>
            <color indexed="81"/>
            <rFont val="Tahoma"/>
            <family val="2"/>
          </rPr>
          <t xml:space="preserve">
Includes metering, FASS (Phase 1), RTUs and physical security.</t>
        </r>
      </text>
    </comment>
    <comment ref="K6" authorId="0" shapeId="0" xr:uid="{6F9EB6E3-981E-46F0-88BE-D3F42B396195}">
      <text>
        <r>
          <rPr>
            <b/>
            <sz val="9"/>
            <color indexed="81"/>
            <rFont val="Tahoma"/>
            <charset val="1"/>
          </rPr>
          <t>Author:</t>
        </r>
        <r>
          <rPr>
            <sz val="9"/>
            <color indexed="81"/>
            <rFont val="Tahoma"/>
            <charset val="1"/>
          </rPr>
          <t xml:space="preserve">
Includes CHCC remediation project.</t>
        </r>
      </text>
    </comment>
    <comment ref="G12" authorId="0" shapeId="0" xr:uid="{3C01F2DC-2839-4642-99E6-C9DE668213AC}">
      <text>
        <r>
          <rPr>
            <b/>
            <sz val="9"/>
            <color indexed="81"/>
            <rFont val="Tahoma"/>
            <charset val="1"/>
          </rPr>
          <t>Author:</t>
        </r>
        <r>
          <rPr>
            <sz val="9"/>
            <color indexed="81"/>
            <rFont val="Tahoma"/>
            <charset val="1"/>
          </rPr>
          <t xml:space="preserve">
Excludes building refurb.</t>
        </r>
      </text>
    </comment>
    <comment ref="K12" authorId="0" shapeId="0" xr:uid="{00000000-0006-0000-0500-000002000000}">
      <text>
        <r>
          <rPr>
            <b/>
            <sz val="9"/>
            <color indexed="81"/>
            <rFont val="Tahoma"/>
            <family val="2"/>
          </rPr>
          <t>Author:</t>
        </r>
        <r>
          <rPr>
            <sz val="9"/>
            <color indexed="81"/>
            <rFont val="Tahoma"/>
            <family val="2"/>
          </rPr>
          <t xml:space="preserve">
Assume actual spend is the same as allowances so there is no inappropriate cost sharing in tariffs.
Also includes price control enhancement and uncertainty mechanism Vt spend.</t>
        </r>
      </text>
    </comment>
    <comment ref="G16" authorId="0" shapeId="0" xr:uid="{E702B959-A14A-4ED1-A7C5-29ACD322609E}">
      <text>
        <r>
          <rPr>
            <b/>
            <sz val="9"/>
            <color indexed="81"/>
            <rFont val="Tahoma"/>
            <charset val="1"/>
          </rPr>
          <t>Author:</t>
        </r>
        <r>
          <rPr>
            <sz val="9"/>
            <color indexed="81"/>
            <rFont val="Tahoma"/>
            <charset val="1"/>
          </rPr>
          <t xml:space="preserve">
Includes building refurb.</t>
        </r>
      </text>
    </comment>
  </commentList>
</comments>
</file>

<file path=xl/sharedStrings.xml><?xml version="1.0" encoding="utf-8"?>
<sst xmlns="http://schemas.openxmlformats.org/spreadsheetml/2006/main" count="1467" uniqueCount="288">
  <si>
    <t>Index of tabs</t>
  </si>
  <si>
    <t>Category</t>
  </si>
  <si>
    <t>Tab name</t>
  </si>
  <si>
    <t>Overview of contents</t>
  </si>
  <si>
    <t>Main inputs</t>
  </si>
  <si>
    <t>Inflation</t>
  </si>
  <si>
    <t>RAB inputs</t>
  </si>
  <si>
    <t>Calcs</t>
  </si>
  <si>
    <t>Return</t>
  </si>
  <si>
    <t>Results</t>
  </si>
  <si>
    <t>Unit</t>
  </si>
  <si>
    <t>Index</t>
  </si>
  <si>
    <t>Inflation indices</t>
  </si>
  <si>
    <t>Reported CPIH in April of the year (e.g. April 2019 for 2018/19)</t>
  </si>
  <si>
    <t>Reported RPI in April of the year (e.g. April 2014 for 2013/14)</t>
  </si>
  <si>
    <t>2010/11</t>
  </si>
  <si>
    <t>2011/12</t>
  </si>
  <si>
    <t>2012/13</t>
  </si>
  <si>
    <t>2013/14</t>
  </si>
  <si>
    <t>2014/15</t>
  </si>
  <si>
    <t>2015/16</t>
  </si>
  <si>
    <t>2016/17</t>
  </si>
  <si>
    <t>2017/18</t>
  </si>
  <si>
    <t>2018/19</t>
  </si>
  <si>
    <t>2019/20</t>
  </si>
  <si>
    <t>%</t>
  </si>
  <si>
    <t>2020/21</t>
  </si>
  <si>
    <t>2021/22</t>
  </si>
  <si>
    <t>2022/23</t>
  </si>
  <si>
    <t>2023/24</t>
  </si>
  <si>
    <t>Transition of RAB indexation from 2014 RPI to 2019 CPIH</t>
  </si>
  <si>
    <t>RAB calculations</t>
  </si>
  <si>
    <t>Indexation</t>
  </si>
  <si>
    <t>Units</t>
  </si>
  <si>
    <t>2024/25</t>
  </si>
  <si>
    <t>CPIH conversion factor from nominal to base year 2018/19 (historical)</t>
  </si>
  <si>
    <t>Factor</t>
  </si>
  <si>
    <t>Uplift to be applied to 2019/20 RAB (in RPI) to calculate 2020/21 RAB (in CPIH)</t>
  </si>
  <si>
    <t>Asset life assumptions for regulatory depreciation</t>
  </si>
  <si>
    <t>In period ending</t>
  </si>
  <si>
    <t>Non-building assets</t>
  </si>
  <si>
    <t>Years</t>
  </si>
  <si>
    <t>Building assets</t>
  </si>
  <si>
    <t>Capital expenditure reported by SONI for the 2015-20 period</t>
  </si>
  <si>
    <t>Price base</t>
  </si>
  <si>
    <t>Total</t>
  </si>
  <si>
    <t>£000s</t>
  </si>
  <si>
    <t>April 2014 RPI</t>
  </si>
  <si>
    <t>Non-Building assets - Application of 50% cost sharing for the 2015-20 period</t>
  </si>
  <si>
    <t>Start date</t>
  </si>
  <si>
    <t>End date</t>
  </si>
  <si>
    <t>Allowed RAB additions for 01/10/2015 to 30/09/2020</t>
  </si>
  <si>
    <t>RAB: Non-Building assets</t>
  </si>
  <si>
    <t>Legacy (pre-2015) additions and depreciation</t>
  </si>
  <si>
    <t xml:space="preserve">Additions before 31/03/2010 </t>
  </si>
  <si>
    <t>DT additions before 31/03/2010</t>
  </si>
  <si>
    <t>Allowed RAB additions for 01/04/2010 to 30/09/2015</t>
  </si>
  <si>
    <t>Hardcoded depreciation allowances for pre-2007 assets</t>
  </si>
  <si>
    <t>Hardcoded depreciation allowances for assets funded through Dt (1)</t>
  </si>
  <si>
    <t>Hardcoded depreciation allowances for assets funded through Dt (2)</t>
  </si>
  <si>
    <t>April 2019 CPIH</t>
  </si>
  <si>
    <t>Depreciation calculations</t>
  </si>
  <si>
    <t>–</t>
  </si>
  <si>
    <t>Period ending</t>
  </si>
  <si>
    <t>Months in period</t>
  </si>
  <si>
    <t>For RAB additions in period ending</t>
  </si>
  <si>
    <t>pre 1/11/07</t>
  </si>
  <si>
    <t>30/09/2009 (Dt)</t>
  </si>
  <si>
    <t>30/03/2010 (Dt)</t>
  </si>
  <si>
    <t>Modelled depreciation on pre-2020 assets</t>
  </si>
  <si>
    <t>Modelled depreciation on post-2020 assets</t>
  </si>
  <si>
    <t>RAB: Building assets</t>
  </si>
  <si>
    <t>Opening RAB</t>
  </si>
  <si>
    <t>Depreciation</t>
  </si>
  <si>
    <t>Closing RAB</t>
  </si>
  <si>
    <t>Average RAB</t>
  </si>
  <si>
    <t>Modelled RAB up to 30 September 2020</t>
  </si>
  <si>
    <t>Additions (allowed)</t>
  </si>
  <si>
    <t>Additions (50% cost sharing during 2015-20 period)</t>
  </si>
  <si>
    <t>Modelled depreciaton</t>
  </si>
  <si>
    <t>Non-Building assets</t>
  </si>
  <si>
    <t>Capex overspend for 2010-15</t>
  </si>
  <si>
    <t>Building</t>
  </si>
  <si>
    <t>Allowed additions</t>
  </si>
  <si>
    <t>Modelled depreciation</t>
  </si>
  <si>
    <t>Nominal</t>
  </si>
  <si>
    <t>Inputs from the post-CMA financial model for 2015-20</t>
  </si>
  <si>
    <t>Opening value on 1 November 2007</t>
  </si>
  <si>
    <t>Legacy (pre-2015) RAB additions and depreciation</t>
  </si>
  <si>
    <t>Dt additions before 31/03/2010</t>
  </si>
  <si>
    <t>Additions in the price control for 01/04/2010 to 30/09/2015</t>
  </si>
  <si>
    <t>2015-20 RAB additions and depreciation in the post-CMA model</t>
  </si>
  <si>
    <t>Depreciation allowance for 01/10/2015 to 30/09/2020</t>
  </si>
  <si>
    <t>Opening value on 1 October 2010</t>
  </si>
  <si>
    <t>Allowed additions for 01/04/2010 to 30/09/2015</t>
  </si>
  <si>
    <t>Forecast RAB additions for 01/10/2015 to 30/09/2020</t>
  </si>
  <si>
    <t>Allowances for Capex overspends in the 2010-15 period</t>
  </si>
  <si>
    <t>Allowed RAB additions</t>
  </si>
  <si>
    <t>Allowed depreciation</t>
  </si>
  <si>
    <t>Split between Non-building and building RABs</t>
  </si>
  <si>
    <t>Reported overspends by SONI during 2010-15</t>
  </si>
  <si>
    <t>Split</t>
  </si>
  <si>
    <t>Non-building</t>
  </si>
  <si>
    <t>Conversion from April 2019 CPIH to nominal</t>
  </si>
  <si>
    <t>RPI conversion factor to real (April 2020 RPI)</t>
  </si>
  <si>
    <t>RPI conversion factor to nominal from (April 2014 RPI)</t>
  </si>
  <si>
    <t>In April 2014 RPI terms</t>
  </si>
  <si>
    <t>Modelled depreciation (2015-20)</t>
  </si>
  <si>
    <t>Difference</t>
  </si>
  <si>
    <t>Non-Building</t>
  </si>
  <si>
    <t>In April 2019 CPIH terms</t>
  </si>
  <si>
    <t>Adjustment to depreciation during the 2020-25 period</t>
  </si>
  <si>
    <t>Profile (for building and non-building RAB)</t>
  </si>
  <si>
    <t>Building assets - Application of 50% cost sharing for the 2015-20 period</t>
  </si>
  <si>
    <t>Legacy (pre-2015) additions</t>
  </si>
  <si>
    <t>Allowed RAB additions 1/04/2010 to 30/09/2015</t>
  </si>
  <si>
    <t>RAB Summary (April 2019 CPIH indexed)</t>
  </si>
  <si>
    <t>RAB returns</t>
  </si>
  <si>
    <t>Total return on RAB</t>
  </si>
  <si>
    <t>WACC Calculations</t>
  </si>
  <si>
    <t>Pre-tax WACC</t>
  </si>
  <si>
    <t>Additional Allowances (in period)</t>
  </si>
  <si>
    <t>Capex allowances subject to cost-sharing</t>
  </si>
  <si>
    <t xml:space="preserve">Total Allowances </t>
  </si>
  <si>
    <t>Actual Expenditure (Nominal)</t>
  </si>
  <si>
    <t>RAB Summary (Nominal)</t>
  </si>
  <si>
    <t>Return on RAB (Nominal)</t>
  </si>
  <si>
    <t>RAB - NB</t>
  </si>
  <si>
    <t>RAB - Build</t>
  </si>
  <si>
    <t>The sheet illustrates the return from the buildings &amp; non-building RAB which should be recovered from customers.</t>
  </si>
  <si>
    <t>Final Determinations</t>
  </si>
  <si>
    <r>
      <t xml:space="preserve">Ex ante allowances for RAB additions: Non-building RAB (subject to mechanistic cost sharing) - </t>
    </r>
    <r>
      <rPr>
        <b/>
        <sz val="10"/>
        <color theme="1"/>
        <rFont val="Arial"/>
        <family val="2"/>
      </rPr>
      <t>[UC_NBt]</t>
    </r>
  </si>
  <si>
    <r>
      <t xml:space="preserve">Ex ante allowances for RAB additions: Non-building RAB (subject to conditional cost sharing) - </t>
    </r>
    <r>
      <rPr>
        <b/>
        <sz val="10"/>
        <color theme="1"/>
        <rFont val="Arial"/>
        <family val="2"/>
      </rPr>
      <t>[BC_NBt]</t>
    </r>
  </si>
  <si>
    <r>
      <t xml:space="preserve">Ex ante allowances for RAB additions: Building RAB (subject to conditional cost sharing) - </t>
    </r>
    <r>
      <rPr>
        <b/>
        <sz val="10"/>
        <color theme="1"/>
        <rFont val="Arial"/>
        <family val="2"/>
      </rPr>
      <t>[BC_BDt]</t>
    </r>
  </si>
  <si>
    <r>
      <t xml:space="preserve">Ex ante allowances for RAB additions: Building RAB (subject to mechanistic cost sharing) - </t>
    </r>
    <r>
      <rPr>
        <b/>
        <sz val="10"/>
        <color theme="1"/>
        <rFont val="Arial"/>
        <family val="2"/>
      </rPr>
      <t>[UC_BDt]</t>
    </r>
  </si>
  <si>
    <t>Post FD Inputs</t>
  </si>
  <si>
    <r>
      <t xml:space="preserve">Actual Spend on Non-building RAB (subject to conditional cost sharing) - </t>
    </r>
    <r>
      <rPr>
        <b/>
        <sz val="10"/>
        <color theme="1"/>
        <rFont val="Arial"/>
        <family val="2"/>
      </rPr>
      <t>[AC_NBt]</t>
    </r>
  </si>
  <si>
    <r>
      <t xml:space="preserve">Actual Spend on Non-building RAB (subject to mechanistic cost sharing) - </t>
    </r>
    <r>
      <rPr>
        <b/>
        <sz val="10"/>
        <color theme="1"/>
        <rFont val="Arial"/>
        <family val="2"/>
      </rPr>
      <t>[AC_NBt]</t>
    </r>
  </si>
  <si>
    <r>
      <t>Actual Spend on Building RAB (subject to conditional cost sharing)</t>
    </r>
    <r>
      <rPr>
        <b/>
        <sz val="10"/>
        <color theme="1"/>
        <rFont val="Arial"/>
        <family val="2"/>
      </rPr>
      <t xml:space="preserve"> - [AC_BDt]</t>
    </r>
  </si>
  <si>
    <r>
      <t>Actual Spend on Building RAB (subject to mechanistic cost sharing)</t>
    </r>
    <r>
      <rPr>
        <b/>
        <sz val="10"/>
        <color theme="1"/>
        <rFont val="Arial"/>
        <family val="2"/>
      </rPr>
      <t xml:space="preserve"> - [AC_BDt]</t>
    </r>
  </si>
  <si>
    <t>Cost Sharing Calculations</t>
  </si>
  <si>
    <t>Additional UR Allowances (in period)</t>
  </si>
  <si>
    <t>Actual SONI Expenditure (Nominal)</t>
  </si>
  <si>
    <t>Total Allowance: Non-building RAB - [C_NBt]</t>
  </si>
  <si>
    <t>Total Allowance: Building RAB - [C_BDt]</t>
  </si>
  <si>
    <t>Total actual capital spend for buildings and non-buildings RAB - [AC_Rt]</t>
  </si>
  <si>
    <t>Total Spend: Non-building RAB - [AC_NBt]</t>
  </si>
  <si>
    <t>Total Spend: Building RAB - [AC_BDt]</t>
  </si>
  <si>
    <t>UR Decisions on Conditional Cost Sharing</t>
  </si>
  <si>
    <t>Total additional capex allowance for buildings and non-buildings RAB - [V_Rt]</t>
  </si>
  <si>
    <t>Total actual capital spend for non-buildings RAB - [AC_NBt]</t>
  </si>
  <si>
    <t>Total actual capital spend for buildings RAB - [AC_BDt]</t>
  </si>
  <si>
    <r>
      <t xml:space="preserve">UR decision on Non-building RAB conditional cost sharing adjustment - </t>
    </r>
    <r>
      <rPr>
        <b/>
        <sz val="10"/>
        <color theme="1"/>
        <rFont val="Arial"/>
        <family val="2"/>
      </rPr>
      <t>[CSCA_NBt]</t>
    </r>
  </si>
  <si>
    <r>
      <t>UR decision on Building RAB conditional cost sharing adjustment</t>
    </r>
    <r>
      <rPr>
        <b/>
        <sz val="10"/>
        <color theme="1"/>
        <rFont val="Arial"/>
        <family val="2"/>
      </rPr>
      <t xml:space="preserve"> - [CSCA_BDt]</t>
    </r>
  </si>
  <si>
    <t>Total buildings and non-buildings RAB conditional cost sharing adjustment - [CSCA_Rt]</t>
  </si>
  <si>
    <r>
      <t>Non-Building RAB</t>
    </r>
    <r>
      <rPr>
        <b/>
        <sz val="10"/>
        <color theme="1"/>
        <rFont val="Arial"/>
        <family val="2"/>
      </rPr>
      <t xml:space="preserve"> - [CSC_NBt]</t>
    </r>
  </si>
  <si>
    <t>Cost Sharing RAB Additions</t>
  </si>
  <si>
    <t>RAB Additions</t>
  </si>
  <si>
    <r>
      <t>Non-Building RAB</t>
    </r>
    <r>
      <rPr>
        <b/>
        <sz val="10"/>
        <color theme="1"/>
        <rFont val="Arial"/>
        <family val="2"/>
      </rPr>
      <t xml:space="preserve"> - [C_NBt + CSC_NBt]</t>
    </r>
  </si>
  <si>
    <t>FD Allowances</t>
  </si>
  <si>
    <t>This sheet sets out the price control capex allowances for the buildings and non-buildings RAB.</t>
  </si>
  <si>
    <t>Cost Sharing</t>
  </si>
  <si>
    <t>This sheet calculates the additions to the RAB as a result of mechanistic and conditional cost sharing.</t>
  </si>
  <si>
    <r>
      <t>Buildings RAB</t>
    </r>
    <r>
      <rPr>
        <b/>
        <sz val="10"/>
        <color theme="1"/>
        <rFont val="Arial"/>
        <family val="2"/>
      </rPr>
      <t xml:space="preserve"> - [C_BDt + CSC_BDt]</t>
    </r>
  </si>
  <si>
    <r>
      <t xml:space="preserve">Opening RAB - </t>
    </r>
    <r>
      <rPr>
        <b/>
        <sz val="10"/>
        <color theme="1"/>
        <rFont val="Arial"/>
        <family val="2"/>
      </rPr>
      <t>[ORAB_NBt]</t>
    </r>
  </si>
  <si>
    <r>
      <t xml:space="preserve">Allowed additions - </t>
    </r>
    <r>
      <rPr>
        <b/>
        <sz val="10"/>
        <color theme="1"/>
        <rFont val="Arial"/>
        <family val="2"/>
      </rPr>
      <t>[C_NBt + CSC_NBt]</t>
    </r>
  </si>
  <si>
    <r>
      <t xml:space="preserve">Closing RAB - </t>
    </r>
    <r>
      <rPr>
        <b/>
        <sz val="10"/>
        <color theme="1"/>
        <rFont val="Arial"/>
        <family val="2"/>
      </rPr>
      <t>[CRAB_NBt]</t>
    </r>
  </si>
  <si>
    <t>CPIH conversion factor from base year (2018/19) to nominal</t>
  </si>
  <si>
    <r>
      <t xml:space="preserve">Opening RAB - </t>
    </r>
    <r>
      <rPr>
        <b/>
        <sz val="10"/>
        <color theme="1"/>
        <rFont val="Arial"/>
        <family val="2"/>
      </rPr>
      <t>[ORAB_BDt]</t>
    </r>
  </si>
  <si>
    <r>
      <t xml:space="preserve">Allowed additions - </t>
    </r>
    <r>
      <rPr>
        <b/>
        <sz val="10"/>
        <color theme="1"/>
        <rFont val="Arial"/>
        <family val="2"/>
      </rPr>
      <t>[C_BDt + CSC_BDt]</t>
    </r>
  </si>
  <si>
    <r>
      <t xml:space="preserve">Closing RAB - </t>
    </r>
    <r>
      <rPr>
        <b/>
        <sz val="10"/>
        <color theme="1"/>
        <rFont val="Arial"/>
        <family val="2"/>
      </rPr>
      <t>[CRAB_BDt]</t>
    </r>
  </si>
  <si>
    <r>
      <t xml:space="preserve">Notional Gearing - </t>
    </r>
    <r>
      <rPr>
        <b/>
        <sz val="10"/>
        <color theme="1"/>
        <rFont val="Arial"/>
        <family val="2"/>
      </rPr>
      <t>[NGt]</t>
    </r>
  </si>
  <si>
    <r>
      <t xml:space="preserve">Cost of Debt - </t>
    </r>
    <r>
      <rPr>
        <b/>
        <sz val="10"/>
        <color theme="1"/>
        <rFont val="Arial"/>
        <family val="2"/>
      </rPr>
      <t>[CODt]</t>
    </r>
  </si>
  <si>
    <r>
      <t xml:space="preserve">Corporation Tax - </t>
    </r>
    <r>
      <rPr>
        <b/>
        <sz val="10"/>
        <color theme="1"/>
        <rFont val="Arial"/>
        <family val="2"/>
      </rPr>
      <t>[CTt]</t>
    </r>
  </si>
  <si>
    <t>Corporation Tax</t>
  </si>
  <si>
    <r>
      <t xml:space="preserve">Corporate Tax Rate - </t>
    </r>
    <r>
      <rPr>
        <b/>
        <sz val="10"/>
        <color theme="1"/>
        <rFont val="Arial"/>
        <family val="2"/>
      </rPr>
      <t>[CTt]</t>
    </r>
  </si>
  <si>
    <r>
      <t xml:space="preserve">Post Tax Cost of Equity - </t>
    </r>
    <r>
      <rPr>
        <b/>
        <sz val="10"/>
        <color theme="1"/>
        <rFont val="Arial"/>
        <family val="2"/>
      </rPr>
      <t>[COEt]</t>
    </r>
  </si>
  <si>
    <t>Return on RAB (April 2019 Prices)</t>
  </si>
  <si>
    <r>
      <t xml:space="preserve">This sheet sets out the inflation indices.  Cells in </t>
    </r>
    <r>
      <rPr>
        <sz val="10"/>
        <color rgb="FFFF0000"/>
        <rFont val="Arial"/>
        <family val="2"/>
      </rPr>
      <t>red text</t>
    </r>
    <r>
      <rPr>
        <sz val="10"/>
        <color theme="1"/>
        <rFont val="Arial"/>
        <family val="2"/>
      </rPr>
      <t xml:space="preserve"> are provisional values and must be updated as the price control develops.</t>
    </r>
  </si>
  <si>
    <r>
      <t xml:space="preserve">This sheet captures information which must be inputted throughout the price control.  This includes interim allowances, actual SONI spend, UR decisions regarding conditional cost sharing and changes to the corporation tax rate.  Cells in </t>
    </r>
    <r>
      <rPr>
        <sz val="10"/>
        <color rgb="FFFF0000"/>
        <rFont val="Arial"/>
        <family val="2"/>
      </rPr>
      <t>red text</t>
    </r>
    <r>
      <rPr>
        <sz val="10"/>
        <color theme="1"/>
        <rFont val="Arial"/>
        <family val="2"/>
      </rPr>
      <t xml:space="preserve"> are provisional values in line with allowances but should be updated with actual spend throughout the control period.</t>
    </r>
  </si>
  <si>
    <r>
      <t xml:space="preserve">Inflation forecasts used for provisional figures marked in </t>
    </r>
    <r>
      <rPr>
        <b/>
        <sz val="10"/>
        <color rgb="FFFF0000"/>
        <rFont val="Arial"/>
        <family val="2"/>
      </rPr>
      <t>red</t>
    </r>
  </si>
  <si>
    <t>This sheet contains input data for the calculation of the TSO's RAB. It draws on the post-CMA financial model for the 2015-20 period, the FD Financial Model, the current TSO licence, SONI's Business Plan submission and the RIGs return.</t>
  </si>
  <si>
    <r>
      <t>Additional ex ante non-building RAB additions approved during period (subject to mechanistic cost sharing) -</t>
    </r>
    <r>
      <rPr>
        <b/>
        <sz val="10"/>
        <color theme="1"/>
        <rFont val="Arial"/>
        <family val="2"/>
      </rPr>
      <t xml:space="preserve"> [V_NBt]</t>
    </r>
  </si>
  <si>
    <r>
      <t xml:space="preserve">Additional ex ante building RAB additions approved during period (subject to mechanistic cost sharing) - </t>
    </r>
    <r>
      <rPr>
        <b/>
        <sz val="10"/>
        <color theme="1"/>
        <rFont val="Arial"/>
        <family val="2"/>
      </rPr>
      <t>[V_BDt]</t>
    </r>
  </si>
  <si>
    <t>N/A</t>
  </si>
  <si>
    <t>2020-25 RAB additions (after cost sharing)</t>
  </si>
  <si>
    <r>
      <t xml:space="preserve">Net RAB depreciation - </t>
    </r>
    <r>
      <rPr>
        <b/>
        <sz val="10"/>
        <color theme="1"/>
        <rFont val="Arial"/>
        <family val="2"/>
      </rPr>
      <t>[DP_BDt]</t>
    </r>
  </si>
  <si>
    <r>
      <t xml:space="preserve">Net RAB depreciation - </t>
    </r>
    <r>
      <rPr>
        <b/>
        <sz val="10"/>
        <color theme="1"/>
        <rFont val="Arial"/>
        <family val="2"/>
      </rPr>
      <t>[DP_NBt]</t>
    </r>
  </si>
  <si>
    <t xml:space="preserve">Opening RAB </t>
  </si>
  <si>
    <t xml:space="preserve">Allowed additions </t>
  </si>
  <si>
    <t xml:space="preserve">Closing RAB </t>
  </si>
  <si>
    <t>Actual depreciation used for calculation of BIt term in post-CMA licence for 2015-20 period</t>
  </si>
  <si>
    <t>Ex ante allowance for RAB additions for 2015-20 period</t>
  </si>
  <si>
    <t>Allowed RAB additions for 2015-20 period after application of 50% cost sharing</t>
  </si>
  <si>
    <t>2015-20 additions</t>
  </si>
  <si>
    <t xml:space="preserve">Allowed RAB additions and depreciation for Capex overspends during 2010-2015 </t>
  </si>
  <si>
    <t>Allowed RAB additions after application of 50% cost sharing</t>
  </si>
  <si>
    <t>RAB inputs: Non-Building assets</t>
  </si>
  <si>
    <t>RAB depreciation allowances for 2015-20 period under post-CMA licence</t>
  </si>
  <si>
    <t>Profiled adjustment to depreciation allowances in 2020-25 period</t>
  </si>
  <si>
    <t>RAB depreciation allowances for 2015-20 period under post-CMA licence - allocation between Buildings RAB and Non-buildings RAB</t>
  </si>
  <si>
    <t>Allowed depreciation via Bt term</t>
  </si>
  <si>
    <t>Actual depreciation used for calculation of BIt term - allocation by RAB</t>
  </si>
  <si>
    <t>Depreciation allowed through the BIt term - allocation by RAB</t>
  </si>
  <si>
    <t>Total depreciation allowance under the Bt and BIt terms - allocation by RAB</t>
  </si>
  <si>
    <t>Evolution of RAB based on allowed depreciation (rather than modelled depreciation)</t>
  </si>
  <si>
    <t>Difference between modelled depreciation and allowed depreciation for 2015-20 period</t>
  </si>
  <si>
    <t>Allowed depreciation (2015-20)</t>
  </si>
  <si>
    <t>Modelled depreciation: up to 30 September 2020</t>
  </si>
  <si>
    <t>Actual capital expenditure attributable to the non-buildings RAB (source: RIGS)</t>
  </si>
  <si>
    <t>Actual capital expenditure attributable to the buildings RAB (source: RIGS)</t>
  </si>
  <si>
    <t>Actual Spend attributable to Non-building RAB: costs subject to conditional cost sharing</t>
  </si>
  <si>
    <t>Actual Spend attributable to Non-building RAB: costs subject to mechanistic cost sharing</t>
  </si>
  <si>
    <t>Actual Spend attributable to Building RAB: costs subject to conditional cost sharing</t>
  </si>
  <si>
    <t>Actual Spend attributable to Building RAB: costs subject to mechanistic cost sharing</t>
  </si>
  <si>
    <t>Actual depreciation used in calculation of depreciation allowances for 2015-20 period</t>
  </si>
  <si>
    <t>Adjustment to modelled depreciation to reconcile for 2015-20 period</t>
  </si>
  <si>
    <t>NB: value for year t should be consistent with figures used as part of K factor calculations in year t+2</t>
  </si>
  <si>
    <t>RAB inputs: Building assets</t>
  </si>
  <si>
    <t>Allowed additions up to 2014/15</t>
  </si>
  <si>
    <t>Allowed additions for 2015-20 period after application of 50% cost sharing</t>
  </si>
  <si>
    <r>
      <t xml:space="preserve">Net RAB depreciation  - </t>
    </r>
    <r>
      <rPr>
        <b/>
        <sz val="10"/>
        <color theme="1"/>
        <rFont val="Arial"/>
        <family val="2"/>
      </rPr>
      <t>[DP_BDt]</t>
    </r>
  </si>
  <si>
    <t xml:space="preserve">Net RAB depreciation </t>
  </si>
  <si>
    <r>
      <t xml:space="preserve">Net RAB depreciation  - </t>
    </r>
    <r>
      <rPr>
        <b/>
        <sz val="10"/>
        <color theme="1"/>
        <rFont val="Arial"/>
        <family val="2"/>
      </rPr>
      <t>[DEP_BNBt]</t>
    </r>
  </si>
  <si>
    <t>RAB: Sub-total for building and non-building RAB</t>
  </si>
  <si>
    <t>Non-Building RAB</t>
  </si>
  <si>
    <t>Building RAB</t>
  </si>
  <si>
    <t>Sub-total for building and non-building RAB</t>
  </si>
  <si>
    <t>Total Return on building RAB and non-building RAB - [RET_BNBt]</t>
  </si>
  <si>
    <r>
      <t xml:space="preserve">Return on non-building RAB - </t>
    </r>
    <r>
      <rPr>
        <b/>
        <sz val="10"/>
        <color theme="1"/>
        <rFont val="Arial"/>
        <family val="2"/>
      </rPr>
      <t>[RT_NBt]</t>
    </r>
  </si>
  <si>
    <r>
      <t xml:space="preserve">Return on building RAB- </t>
    </r>
    <r>
      <rPr>
        <b/>
        <sz val="10"/>
        <color theme="1"/>
        <rFont val="Arial"/>
        <family val="2"/>
      </rPr>
      <t>[RT_BDt]</t>
    </r>
  </si>
  <si>
    <t>Return on RAB</t>
  </si>
  <si>
    <t>Average RAB values</t>
  </si>
  <si>
    <t>Total Return on building RAB and non-building RAB</t>
  </si>
  <si>
    <t>Return on non-building RAB</t>
  </si>
  <si>
    <t>Return on building RAB</t>
  </si>
  <si>
    <t>Total Allowance: Building &amp; Non-Buildings RAB</t>
  </si>
  <si>
    <t>Total RAB Additions for building RAB and non-building RAB</t>
  </si>
  <si>
    <r>
      <t>Building RAB</t>
    </r>
    <r>
      <rPr>
        <b/>
        <sz val="10"/>
        <color theme="1"/>
        <rFont val="Arial"/>
        <family val="2"/>
      </rPr>
      <t xml:space="preserve"> - [CSC_BDt]</t>
    </r>
  </si>
  <si>
    <t>Total cost sharing additions for building RAB and non-building RAB</t>
  </si>
  <si>
    <t>RAB depreciation</t>
  </si>
  <si>
    <t>Conversion of April 2019 prices to nominal using CPIH</t>
  </si>
  <si>
    <t>Conversion of April 2014 prices to nominal using RPI</t>
  </si>
  <si>
    <t>RAB: Capex overspend for 2010-15</t>
  </si>
  <si>
    <t>RAB Summary (from 2010)</t>
  </si>
  <si>
    <t>Guidance on Updating of the RAB Model Spreadsheet</t>
  </si>
  <si>
    <r>
      <t xml:space="preserve">3) All other cells should be fixed or calculated by pre-determined formula.  Any changes to the fixed values in the </t>
    </r>
    <r>
      <rPr>
        <i/>
        <sz val="10"/>
        <color theme="1"/>
        <rFont val="Arial"/>
        <family val="2"/>
      </rPr>
      <t>RAB Inputs</t>
    </r>
    <r>
      <rPr>
        <sz val="10"/>
        <color theme="1"/>
        <rFont val="Arial"/>
        <family val="2"/>
      </rPr>
      <t xml:space="preserve"> tab or other formula will require consultation with SONI. </t>
    </r>
  </si>
  <si>
    <t xml:space="preserve">2) Each year various cells in the model will require updating.  This includes the following:    </t>
  </si>
  <si>
    <t>If historical data does need to be revised or corrected this will feed through into impacts on calculation of the revenue control correction factor (K factor) in subsequent years.</t>
  </si>
  <si>
    <r>
      <rPr>
        <b/>
        <sz val="10"/>
        <color theme="1"/>
        <rFont val="Arial"/>
        <family val="2"/>
      </rPr>
      <t xml:space="preserve">Step 1: </t>
    </r>
    <r>
      <rPr>
        <sz val="10"/>
        <color theme="1"/>
        <rFont val="Arial"/>
        <family val="2"/>
      </rPr>
      <t>By 31 January SONI will submit the RIGS return alongside it's CCS assessment.</t>
    </r>
  </si>
  <si>
    <r>
      <rPr>
        <b/>
        <sz val="10"/>
        <color theme="1"/>
        <rFont val="Arial"/>
        <family val="2"/>
      </rPr>
      <t xml:space="preserve">Step 4: </t>
    </r>
    <r>
      <rPr>
        <sz val="10"/>
        <color theme="1"/>
        <rFont val="Arial"/>
        <family val="2"/>
      </rPr>
      <t>Review of actual spend by UR and draft assessment of CCS (all of March).</t>
    </r>
  </si>
  <si>
    <r>
      <rPr>
        <b/>
        <sz val="10"/>
        <color theme="1"/>
        <rFont val="Arial"/>
        <family val="2"/>
      </rPr>
      <t xml:space="preserve">Step 5: </t>
    </r>
    <r>
      <rPr>
        <sz val="10"/>
        <color theme="1"/>
        <rFont val="Arial"/>
        <family val="2"/>
      </rPr>
      <t>SONI respond to draft CCS decision (mid-April).</t>
    </r>
  </si>
  <si>
    <r>
      <rPr>
        <b/>
        <sz val="10"/>
        <color theme="1"/>
        <rFont val="Arial"/>
        <family val="2"/>
      </rPr>
      <t xml:space="preserve">Step 6: </t>
    </r>
    <r>
      <rPr>
        <sz val="10"/>
        <color theme="1"/>
        <rFont val="Arial"/>
        <family val="2"/>
      </rPr>
      <t>UR make CCS decision (mid-May).</t>
    </r>
  </si>
  <si>
    <r>
      <rPr>
        <b/>
        <sz val="10"/>
        <color theme="1"/>
        <rFont val="Arial"/>
        <family val="2"/>
      </rPr>
      <t xml:space="preserve">Step 8: </t>
    </r>
    <r>
      <rPr>
        <sz val="10"/>
        <color theme="1"/>
        <rFont val="Arial"/>
        <family val="2"/>
      </rPr>
      <t>SONI raise any comments or issues with the model (early June).</t>
    </r>
  </si>
  <si>
    <r>
      <rPr>
        <b/>
        <sz val="10"/>
        <color theme="1"/>
        <rFont val="Arial"/>
        <family val="2"/>
      </rPr>
      <t xml:space="preserve">Step 9: </t>
    </r>
    <r>
      <rPr>
        <sz val="10"/>
        <color theme="1"/>
        <rFont val="Arial"/>
        <family val="2"/>
      </rPr>
      <t>UR issue a final model with depreciation and return to be used in tariffs and K-factor calculations (mid-June).</t>
    </r>
  </si>
  <si>
    <r>
      <rPr>
        <b/>
        <sz val="10"/>
        <color theme="1"/>
        <rFont val="Arial"/>
        <family val="2"/>
      </rPr>
      <t xml:space="preserve">Step 10: </t>
    </r>
    <r>
      <rPr>
        <sz val="10"/>
        <color theme="1"/>
        <rFont val="Arial"/>
        <family val="2"/>
      </rPr>
      <t>SONI submit tariffs (early July).</t>
    </r>
  </si>
  <si>
    <t xml:space="preserve">6) Use of actual spend in the RAB model as reported in the RIGS should not be taken as acceptance or endorsement of these figures.  Any later DIWE reviews or corrections to SONI's reported data may require amendment of the model's input data. </t>
  </si>
  <si>
    <t>5) Overview of Annual Process</t>
  </si>
  <si>
    <r>
      <rPr>
        <b/>
        <sz val="10"/>
        <color theme="1"/>
        <rFont val="Arial"/>
        <family val="2"/>
      </rPr>
      <t xml:space="preserve">Step 2: </t>
    </r>
    <r>
      <rPr>
        <sz val="10"/>
        <color theme="1"/>
        <rFont val="Arial"/>
        <family val="2"/>
      </rPr>
      <t xml:space="preserve">UR undertake review of RIGS submission and verification of under/over spend against allowances (mid-February). </t>
    </r>
    <r>
      <rPr>
        <i/>
        <sz val="10"/>
        <color theme="1"/>
        <rFont val="Arial"/>
        <family val="2"/>
      </rPr>
      <t>N.B.</t>
    </r>
    <r>
      <rPr>
        <sz val="10"/>
        <color theme="1"/>
        <rFont val="Arial"/>
        <family val="2"/>
      </rPr>
      <t xml:space="preserve"> This stage could be subject to delay if there are queries or concerns about the input data quality of the RIGS.</t>
    </r>
  </si>
  <si>
    <t xml:space="preserve">1) The RAB model will need to be updated on an annual basis to account for actual spend and various UR decisions.  This guidance reflects the typical approach to the annual process, but may be subject to change if there are data concerns.  </t>
  </si>
  <si>
    <t>a) CPIH / RPI inflation as published by the ONS.</t>
  </si>
  <si>
    <r>
      <t xml:space="preserve">b) Additional ex-ante allowances for building and non-buildings [Population of cells in tab </t>
    </r>
    <r>
      <rPr>
        <i/>
        <sz val="10"/>
        <color theme="1"/>
        <rFont val="Arial"/>
        <family val="2"/>
      </rPr>
      <t>‘Post FD Inputs’</t>
    </r>
    <r>
      <rPr>
        <sz val="10"/>
        <color theme="1"/>
        <rFont val="Arial"/>
        <family val="2"/>
      </rPr>
      <t xml:space="preserve"> in cell range D5 to H6, depending on the year, uncertainty mechanism used and relevant RAB].</t>
    </r>
  </si>
  <si>
    <r>
      <t xml:space="preserve">c) Actual capital spend for buildings and non-building projects [Population of cells in tab </t>
    </r>
    <r>
      <rPr>
        <i/>
        <sz val="10"/>
        <color theme="1"/>
        <rFont val="Arial"/>
        <family val="2"/>
      </rPr>
      <t>‘Post FD Inputs’</t>
    </r>
    <r>
      <rPr>
        <sz val="10"/>
        <color theme="1"/>
        <rFont val="Arial"/>
        <family val="2"/>
      </rPr>
      <t xml:space="preserve"> in cell range D11 to H12 and D15 to H16, depending on the year, uncertainty mechanism used and relevant RAB].</t>
    </r>
  </si>
  <si>
    <r>
      <t xml:space="preserve">d) UR decisions on conditional cost sharing (CCS) [Population of cells in tab </t>
    </r>
    <r>
      <rPr>
        <i/>
        <sz val="10"/>
        <color theme="1"/>
        <rFont val="Arial"/>
        <family val="2"/>
      </rPr>
      <t>‘Post FD Inputs’</t>
    </r>
    <r>
      <rPr>
        <sz val="10"/>
        <color theme="1"/>
        <rFont val="Arial"/>
        <family val="2"/>
      </rPr>
      <t xml:space="preserve"> in cell range D24 to H25, depending on the year and relevant RAB]. </t>
    </r>
  </si>
  <si>
    <t>e) Any change to the main corporate tax rate as published by HMRC.</t>
  </si>
  <si>
    <t>4) All changes to the RAB model will be made by the UR in co-operation with SONI.</t>
  </si>
  <si>
    <r>
      <rPr>
        <b/>
        <sz val="10"/>
        <color theme="1"/>
        <rFont val="Arial"/>
        <family val="2"/>
      </rPr>
      <t xml:space="preserve">Step 3: </t>
    </r>
    <r>
      <rPr>
        <sz val="10"/>
        <color theme="1"/>
        <rFont val="Arial"/>
        <family val="2"/>
      </rPr>
      <t>Application of CCS materiality threshold (end of February). [Draft model may be shared with SONI at this time pending any decisions on CCS or interim allowances].</t>
    </r>
  </si>
  <si>
    <r>
      <rPr>
        <b/>
        <sz val="10"/>
        <color theme="1"/>
        <rFont val="Arial"/>
        <family val="2"/>
      </rPr>
      <t xml:space="preserve">Step 7: </t>
    </r>
    <r>
      <rPr>
        <sz val="10"/>
        <color theme="1"/>
        <rFont val="Arial"/>
        <family val="2"/>
      </rPr>
      <t>UR issue draft of the model to SONI incorporating inflation adjustments, actual spend from RIGS, CCS decisions and any interim UR allowances which can be submitted and approved at any time throughout the year (before end of May).</t>
    </r>
  </si>
  <si>
    <t>2025/26</t>
  </si>
  <si>
    <t xml:space="preserve">Assumed annual growth rate in CPIH </t>
  </si>
  <si>
    <t>2020-26 RAB additions (after cost sharing)</t>
  </si>
  <si>
    <t>Allowed RAB additions for 2020-26 after cost sharing</t>
  </si>
  <si>
    <t>Ratio of modelled depreciation for building and non-building assets assumed for purposes of FD for 2020-26 control</t>
  </si>
  <si>
    <t>As per OBR</t>
  </si>
  <si>
    <t>UR - TSO Price control 2020-27 (RAB Model)</t>
  </si>
  <si>
    <t>2026/27</t>
  </si>
  <si>
    <t>Adjustment to depreciation during the 2020-25 period to reconcile for 2015-20 period</t>
  </si>
  <si>
    <t>RAB outputs for the 2020-27 period (Non-building assets)</t>
  </si>
  <si>
    <t>Modelled depreciation for 2020-27</t>
  </si>
  <si>
    <t>Total modelled depreciation for 2020-2 period</t>
  </si>
  <si>
    <t>Modelled depreciation for 2020-27 period</t>
  </si>
  <si>
    <t>Total modelled depreciation for 2020-27 period</t>
  </si>
  <si>
    <t>RAB outputs for the 2020-27 period (Building assets)</t>
  </si>
  <si>
    <t>RAB Summary (2020-27)</t>
  </si>
  <si>
    <t>This sheet calculates the different elements of the non-building RAB for the 2020-2027 period.</t>
  </si>
  <si>
    <t>This sheet calculates the different elements of the building RAB for the 2020-2027 period.</t>
  </si>
  <si>
    <t>The sheet presents the evolution of the buildings RAB &amp; non-building RAB over the period 1 October 2020 to 30 September 2027</t>
  </si>
  <si>
    <t>The sheet presents the evolution of the buildings RAB, non-building RAB and the RAB for capex overspend (2010-15) over the period 1 October 2010 to 30 September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</si>
</sst>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numFmt numFmtId="165" formatCode="0.0"/>
    <numFmt numFmtId="166" formatCode="0.000"/>
    <numFmt numFmtId="167" formatCode="0.000000"/>
    <numFmt numFmtId="168" formatCode="0.0000"/>
    <numFmt numFmtId="169" formatCode="_-* #,##0_-;\-* #,##0_-;_-* &quot;-&quot;??_-;_-@_-"/>
    <numFmt numFmtId="170" formatCode="#,##0_ ;[Red]\-#,##0\ "/>
    <numFmt numFmtId="171" formatCode="0_ ;[Red]\-0\ "/>
    <numFmt numFmtId="172" formatCode="0.000_ ;[Red]\-0.000\ "/>
    <numFmt numFmtId="173" formatCode="#,##0.0000_ ;[Red]\-#,##0.0000\ "/>
    <numFmt numFmtId="174" formatCode="#,##0.000000_ ;[Red]\-#,##0.000000\ "/>
    <numFmt numFmtId="175" formatCode="#,##0.00000"/>
    <numFmt numFmtId="176" formatCode="0.0_ ;[Red]\-0.0\ "/>
  </numFmts>
  <fonts count="22"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0"/>
      <color theme="1"/>
      <name val="Arial"/>
      <family val="2"/>
    </font>
    <font>
      <b/>
      <sz val="10"/>
      <name val="Arial"/>
      <family val="2"/>
    </font>
    <font>
      <b/>
      <sz val="10"/>
      <color theme="1"/>
      <name val="Arial"/>
      <family val="2"/>
    </font>
    <font>
      <b/>
      <sz val="10"/>
      <color rgb="FFFF0000"/>
      <name val="Arial"/>
      <family val="2"/>
    </font>
    <font>
      <sz val="10"/>
      <color rgb="FFFF0000"/>
      <name val="Arial"/>
      <family val="2"/>
    </font>
    <font>
      <i/>
      <sz val="10"/>
      <color theme="1"/>
      <name val="Arial"/>
      <family val="2"/>
    </font>
    <font>
      <sz val="10"/>
      <color rgb="FF000000"/>
      <name val="Arial"/>
      <family val="2"/>
    </font>
    <font>
      <u/>
      <sz val="10"/>
      <color theme="1"/>
      <name val="Arial"/>
      <family val="2"/>
    </font>
    <font>
      <b/>
      <sz val="10"/>
      <color theme="0"/>
      <name val="Arial"/>
      <family val="2"/>
    </font>
    <font>
      <u/>
      <sz val="10"/>
      <color theme="10"/>
      <name val="Arial"/>
      <family val="2"/>
    </font>
    <font>
      <sz val="10"/>
      <color theme="8" tint="-0.249977111117893"/>
      <name val="Arial"/>
      <family val="2"/>
    </font>
    <font>
      <b/>
      <i/>
      <sz val="10"/>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8"/>
      <name val="Calibri"/>
      <family val="2"/>
      <scheme val="minor"/>
    </font>
    <font>
      <b/>
      <sz val="10"/>
      <color rgb="FF000000"/>
      <name val="Arial"/>
      <family val="2"/>
    </font>
  </fonts>
  <fills count="14">
    <fill>
      <patternFill patternType="none"/>
    </fill>
    <fill>
      <patternFill patternType="gray125"/>
    </fill>
    <fill>
      <patternFill patternType="solid">
        <fgColor theme="8" tint="0.5999938962981048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
      <patternFill patternType="solid">
        <fgColor theme="4"/>
        <bgColor indexed="64"/>
      </patternFill>
    </fill>
  </fills>
  <borders count="1">
    <border>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0" fontId="3" fillId="0" borderId="0"/>
    <xf numFmtId="0" fontId="1" fillId="0" borderId="0"/>
  </cellStyleXfs>
  <cellXfs count="141">
    <xf numFmtId="0" fontId="0" fillId="0" borderId="0" xfId="0"/>
    <xf numFmtId="0" fontId="4" fillId="8" borderId="0" xfId="0" applyFont="1" applyFill="1"/>
    <xf numFmtId="0" fontId="4" fillId="0" borderId="0" xfId="0" applyFont="1"/>
    <xf numFmtId="1" fontId="4" fillId="8" borderId="0" xfId="0" applyNumberFormat="1" applyFont="1" applyFill="1"/>
    <xf numFmtId="165" fontId="4" fillId="8" borderId="0" xfId="0" applyNumberFormat="1" applyFont="1" applyFill="1" applyAlignment="1">
      <alignment horizontal="center"/>
    </xf>
    <xf numFmtId="0" fontId="4" fillId="8" borderId="0" xfId="0" applyFont="1" applyFill="1" applyAlignment="1">
      <alignment horizontal="center"/>
    </xf>
    <xf numFmtId="0" fontId="4" fillId="0" borderId="0" xfId="0" applyFont="1" applyAlignment="1">
      <alignment horizontal="center"/>
    </xf>
    <xf numFmtId="0" fontId="6" fillId="2" borderId="0" xfId="0" applyFont="1" applyFill="1"/>
    <xf numFmtId="0" fontId="4" fillId="2" borderId="0" xfId="0" applyFont="1" applyFill="1" applyAlignment="1">
      <alignment horizontal="center"/>
    </xf>
    <xf numFmtId="0" fontId="6" fillId="0" borderId="0" xfId="0" applyFont="1" applyAlignment="1">
      <alignment horizontal="center"/>
    </xf>
    <xf numFmtId="0" fontId="6" fillId="0" borderId="0" xfId="0" applyFont="1"/>
    <xf numFmtId="3" fontId="4" fillId="8" borderId="0" xfId="0" applyNumberFormat="1" applyFont="1" applyFill="1" applyAlignment="1">
      <alignment horizontal="center"/>
    </xf>
    <xf numFmtId="167" fontId="4" fillId="8" borderId="0" xfId="0" applyNumberFormat="1" applyFont="1" applyFill="1" applyAlignment="1">
      <alignment horizontal="center"/>
    </xf>
    <xf numFmtId="1" fontId="4" fillId="8" borderId="0" xfId="0" applyNumberFormat="1" applyFont="1" applyFill="1" applyAlignment="1">
      <alignment horizontal="center"/>
    </xf>
    <xf numFmtId="9" fontId="4" fillId="8" borderId="0" xfId="0" applyNumberFormat="1" applyFont="1" applyFill="1"/>
    <xf numFmtId="9" fontId="6" fillId="8" borderId="0" xfId="0" applyNumberFormat="1" applyFont="1" applyFill="1" applyAlignment="1">
      <alignment horizontal="center"/>
    </xf>
    <xf numFmtId="0" fontId="6" fillId="8" borderId="0" xfId="0" applyFont="1" applyFill="1"/>
    <xf numFmtId="0" fontId="6" fillId="10" borderId="0" xfId="0" applyFont="1" applyFill="1" applyAlignment="1">
      <alignment horizontal="center"/>
    </xf>
    <xf numFmtId="0" fontId="4" fillId="2" borderId="0" xfId="0" applyFont="1" applyFill="1"/>
    <xf numFmtId="0" fontId="9" fillId="8" borderId="0" xfId="0" applyFont="1" applyFill="1"/>
    <xf numFmtId="0" fontId="6" fillId="10" borderId="0" xfId="0" applyFont="1" applyFill="1"/>
    <xf numFmtId="0" fontId="6" fillId="10" borderId="0" xfId="0" applyFont="1" applyFill="1" applyAlignment="1">
      <alignment horizontal="right"/>
    </xf>
    <xf numFmtId="2" fontId="4" fillId="8" borderId="0" xfId="0" applyNumberFormat="1" applyFont="1" applyFill="1"/>
    <xf numFmtId="0" fontId="9" fillId="10" borderId="0" xfId="0" applyFont="1" applyFill="1" applyAlignment="1">
      <alignment horizontal="right"/>
    </xf>
    <xf numFmtId="14" fontId="6" fillId="10" borderId="0" xfId="0" applyNumberFormat="1" applyFont="1" applyFill="1" applyAlignment="1">
      <alignment horizontal="center"/>
    </xf>
    <xf numFmtId="169" fontId="4" fillId="0" borderId="0" xfId="1" applyNumberFormat="1" applyFont="1"/>
    <xf numFmtId="0" fontId="4" fillId="10" borderId="0" xfId="0" applyFont="1" applyFill="1"/>
    <xf numFmtId="14" fontId="6" fillId="10" borderId="0" xfId="0" applyNumberFormat="1" applyFont="1" applyFill="1"/>
    <xf numFmtId="14" fontId="6" fillId="10" borderId="0" xfId="0" applyNumberFormat="1" applyFont="1" applyFill="1" applyAlignment="1">
      <alignment horizontal="right"/>
    </xf>
    <xf numFmtId="170" fontId="4" fillId="8" borderId="0" xfId="0" applyNumberFormat="1" applyFont="1" applyFill="1"/>
    <xf numFmtId="14" fontId="4" fillId="10" borderId="0" xfId="0" applyNumberFormat="1" applyFont="1" applyFill="1"/>
    <xf numFmtId="14" fontId="4" fillId="10" borderId="0" xfId="0" applyNumberFormat="1" applyFont="1" applyFill="1" applyAlignment="1">
      <alignment horizontal="right"/>
    </xf>
    <xf numFmtId="171" fontId="4" fillId="10" borderId="0" xfId="0" applyNumberFormat="1" applyFont="1" applyFill="1" applyAlignment="1">
      <alignment horizontal="center"/>
    </xf>
    <xf numFmtId="171" fontId="4" fillId="10" borderId="0" xfId="0" applyNumberFormat="1" applyFont="1" applyFill="1"/>
    <xf numFmtId="172" fontId="4" fillId="10" borderId="0" xfId="0" applyNumberFormat="1" applyFont="1" applyFill="1"/>
    <xf numFmtId="0" fontId="4" fillId="8" borderId="0" xfId="0" applyFont="1" applyFill="1" applyAlignment="1">
      <alignment horizontal="left"/>
    </xf>
    <xf numFmtId="171" fontId="4" fillId="8" borderId="0" xfId="0" applyNumberFormat="1" applyFont="1" applyFill="1"/>
    <xf numFmtId="172" fontId="4" fillId="8" borderId="0" xfId="0" applyNumberFormat="1" applyFont="1" applyFill="1"/>
    <xf numFmtId="14" fontId="4" fillId="8" borderId="0" xfId="0" applyNumberFormat="1" applyFont="1" applyFill="1" applyAlignment="1">
      <alignment horizontal="left"/>
    </xf>
    <xf numFmtId="166" fontId="4" fillId="8" borderId="0" xfId="0" applyNumberFormat="1" applyFont="1" applyFill="1"/>
    <xf numFmtId="9" fontId="4" fillId="8" borderId="0" xfId="2" applyFont="1" applyFill="1"/>
    <xf numFmtId="169" fontId="4" fillId="8" borderId="0" xfId="1" applyNumberFormat="1" applyFont="1" applyFill="1"/>
    <xf numFmtId="2" fontId="4" fillId="0" borderId="0" xfId="0" applyNumberFormat="1" applyFont="1"/>
    <xf numFmtId="1" fontId="4" fillId="0" borderId="0" xfId="0" applyNumberFormat="1" applyFont="1"/>
    <xf numFmtId="1" fontId="4" fillId="10" borderId="0" xfId="0" applyNumberFormat="1" applyFont="1" applyFill="1"/>
    <xf numFmtId="43" fontId="4" fillId="0" borderId="0" xfId="1" applyFont="1"/>
    <xf numFmtId="9" fontId="4" fillId="0" borderId="0" xfId="2" applyFont="1"/>
    <xf numFmtId="169" fontId="4" fillId="0" borderId="0" xfId="0" applyNumberFormat="1" applyFont="1"/>
    <xf numFmtId="169" fontId="6" fillId="0" borderId="0" xfId="0" applyNumberFormat="1" applyFont="1"/>
    <xf numFmtId="169" fontId="6" fillId="0" borderId="0" xfId="1" applyNumberFormat="1" applyFont="1"/>
    <xf numFmtId="0" fontId="6" fillId="0" borderId="0" xfId="0" applyFont="1" applyAlignment="1">
      <alignment horizontal="left"/>
    </xf>
    <xf numFmtId="169" fontId="4" fillId="8" borderId="0" xfId="0" applyNumberFormat="1" applyFont="1" applyFill="1"/>
    <xf numFmtId="0" fontId="6" fillId="0" borderId="0" xfId="0" applyFont="1" applyAlignment="1">
      <alignment horizontal="right"/>
    </xf>
    <xf numFmtId="0" fontId="11" fillId="10" borderId="0" xfId="0" applyFont="1" applyFill="1"/>
    <xf numFmtId="164" fontId="4" fillId="8" borderId="0" xfId="2" applyNumberFormat="1" applyFont="1" applyFill="1" applyAlignment="1">
      <alignment horizontal="center"/>
    </xf>
    <xf numFmtId="165" fontId="8" fillId="8" borderId="0" xfId="0" applyNumberFormat="1" applyFont="1" applyFill="1" applyAlignment="1">
      <alignment horizontal="center"/>
    </xf>
    <xf numFmtId="0" fontId="10" fillId="11" borderId="0" xfId="0" applyFont="1" applyFill="1"/>
    <xf numFmtId="173" fontId="4" fillId="8" borderId="0" xfId="0" applyNumberFormat="1" applyFont="1" applyFill="1"/>
    <xf numFmtId="165" fontId="4" fillId="8" borderId="0" xfId="0" applyNumberFormat="1" applyFont="1" applyFill="1"/>
    <xf numFmtId="165" fontId="8" fillId="8" borderId="0" xfId="0" applyNumberFormat="1" applyFont="1" applyFill="1"/>
    <xf numFmtId="168" fontId="6" fillId="8" borderId="0" xfId="0" applyNumberFormat="1" applyFont="1" applyFill="1"/>
    <xf numFmtId="15" fontId="6" fillId="10" borderId="0" xfId="0" applyNumberFormat="1" applyFont="1" applyFill="1" applyAlignment="1">
      <alignment horizontal="center" wrapText="1"/>
    </xf>
    <xf numFmtId="170" fontId="4" fillId="10" borderId="0" xfId="0" applyNumberFormat="1" applyFont="1" applyFill="1"/>
    <xf numFmtId="14" fontId="4" fillId="10" borderId="0" xfId="0" applyNumberFormat="1" applyFont="1" applyFill="1" applyAlignment="1">
      <alignment horizontal="center"/>
    </xf>
    <xf numFmtId="14" fontId="4" fillId="8" borderId="0" xfId="0" applyNumberFormat="1" applyFont="1" applyFill="1"/>
    <xf numFmtId="0" fontId="4" fillId="0" borderId="0" xfId="0" applyFont="1" applyAlignment="1">
      <alignment horizontal="right"/>
    </xf>
    <xf numFmtId="0" fontId="12" fillId="3" borderId="0" xfId="0" applyFont="1" applyFill="1" applyAlignment="1">
      <alignment vertical="center" wrapText="1"/>
    </xf>
    <xf numFmtId="0" fontId="4" fillId="3" borderId="0" xfId="0" applyFont="1" applyFill="1" applyAlignment="1">
      <alignment vertical="center" wrapText="1"/>
    </xf>
    <xf numFmtId="10" fontId="4" fillId="0" borderId="0" xfId="2" applyNumberFormat="1" applyFont="1" applyBorder="1"/>
    <xf numFmtId="10" fontId="4" fillId="0" borderId="0" xfId="2" applyNumberFormat="1" applyFont="1"/>
    <xf numFmtId="0" fontId="4" fillId="4" borderId="0" xfId="0" applyFont="1" applyFill="1" applyAlignment="1">
      <alignment vertical="center" wrapText="1"/>
    </xf>
    <xf numFmtId="0" fontId="13" fillId="4" borderId="0" xfId="3" applyFont="1" applyFill="1" applyBorder="1" applyAlignment="1">
      <alignment vertical="center" wrapText="1"/>
    </xf>
    <xf numFmtId="0" fontId="6" fillId="4" borderId="0" xfId="0" applyFont="1" applyFill="1" applyAlignment="1">
      <alignment vertical="center" wrapText="1"/>
    </xf>
    <xf numFmtId="164" fontId="4" fillId="0" borderId="0" xfId="0" applyNumberFormat="1" applyFont="1"/>
    <xf numFmtId="0" fontId="12" fillId="5" borderId="0" xfId="0" applyFont="1" applyFill="1" applyAlignment="1">
      <alignment vertical="center" wrapText="1"/>
    </xf>
    <xf numFmtId="0" fontId="4" fillId="5" borderId="0" xfId="0" applyFont="1" applyFill="1" applyAlignment="1">
      <alignment vertical="center" wrapText="1"/>
    </xf>
    <xf numFmtId="0" fontId="13" fillId="6" borderId="0" xfId="3" applyFont="1" applyFill="1" applyBorder="1" applyAlignment="1">
      <alignment vertical="center" wrapText="1"/>
    </xf>
    <xf numFmtId="0" fontId="4" fillId="6" borderId="0" xfId="0" applyFont="1" applyFill="1" applyAlignment="1">
      <alignment vertical="center" wrapText="1"/>
    </xf>
    <xf numFmtId="0" fontId="12" fillId="7" borderId="0" xfId="0" applyFont="1" applyFill="1" applyAlignment="1">
      <alignment vertical="center" wrapText="1"/>
    </xf>
    <xf numFmtId="0" fontId="4" fillId="7" borderId="0" xfId="0" applyFont="1" applyFill="1" applyAlignment="1">
      <alignment vertical="center" wrapText="1"/>
    </xf>
    <xf numFmtId="0" fontId="4" fillId="2" borderId="0" xfId="0" applyFont="1" applyFill="1" applyAlignment="1">
      <alignment vertical="center" wrapText="1"/>
    </xf>
    <xf numFmtId="0" fontId="13" fillId="2" borderId="0" xfId="3" applyFont="1" applyFill="1" applyBorder="1" applyAlignment="1">
      <alignment vertical="center" wrapText="1"/>
    </xf>
    <xf numFmtId="167" fontId="4" fillId="8" borderId="0" xfId="0" applyNumberFormat="1" applyFont="1" applyFill="1"/>
    <xf numFmtId="43" fontId="4" fillId="0" borderId="0" xfId="0" applyNumberFormat="1" applyFont="1"/>
    <xf numFmtId="3" fontId="4" fillId="0" borderId="0" xfId="0" applyNumberFormat="1" applyFont="1"/>
    <xf numFmtId="3" fontId="4" fillId="8" borderId="0" xfId="0" applyNumberFormat="1" applyFont="1" applyFill="1"/>
    <xf numFmtId="0" fontId="6" fillId="8" borderId="0" xfId="0" applyFont="1" applyFill="1" applyAlignment="1">
      <alignment horizontal="center"/>
    </xf>
    <xf numFmtId="9" fontId="4" fillId="0" borderId="0" xfId="0" applyNumberFormat="1" applyFont="1"/>
    <xf numFmtId="170" fontId="6" fillId="8" borderId="0" xfId="0" applyNumberFormat="1" applyFont="1" applyFill="1"/>
    <xf numFmtId="10" fontId="4" fillId="8" borderId="0" xfId="2" applyNumberFormat="1" applyFont="1" applyFill="1"/>
    <xf numFmtId="10" fontId="6" fillId="8" borderId="0" xfId="2" applyNumberFormat="1" applyFont="1" applyFill="1"/>
    <xf numFmtId="166" fontId="4" fillId="8" borderId="0" xfId="0" applyNumberFormat="1" applyFont="1" applyFill="1" applyAlignment="1">
      <alignment horizontal="center"/>
    </xf>
    <xf numFmtId="168" fontId="5" fillId="8" borderId="0" xfId="0" applyNumberFormat="1" applyFont="1" applyFill="1" applyAlignment="1">
      <alignment horizontal="center"/>
    </xf>
    <xf numFmtId="169" fontId="3" fillId="0" borderId="0" xfId="0" applyNumberFormat="1" applyFont="1"/>
    <xf numFmtId="169" fontId="8" fillId="0" borderId="0" xfId="0" applyNumberFormat="1" applyFont="1"/>
    <xf numFmtId="1" fontId="6" fillId="0" borderId="0" xfId="0" applyNumberFormat="1" applyFont="1"/>
    <xf numFmtId="169" fontId="8" fillId="8" borderId="0" xfId="0" applyNumberFormat="1" applyFont="1" applyFill="1"/>
    <xf numFmtId="0" fontId="7" fillId="2" borderId="0" xfId="0" applyFont="1" applyFill="1"/>
    <xf numFmtId="0" fontId="8" fillId="0" borderId="0" xfId="0" applyFont="1"/>
    <xf numFmtId="0" fontId="5" fillId="2" borderId="0" xfId="0" applyFont="1" applyFill="1"/>
    <xf numFmtId="169" fontId="7" fillId="0" borderId="0" xfId="1" applyNumberFormat="1" applyFont="1"/>
    <xf numFmtId="0" fontId="3" fillId="0" borderId="0" xfId="0" applyFont="1"/>
    <xf numFmtId="169" fontId="7" fillId="0" borderId="0" xfId="0" applyNumberFormat="1" applyFont="1"/>
    <xf numFmtId="169" fontId="5" fillId="0" borderId="0" xfId="0" applyNumberFormat="1" applyFont="1"/>
    <xf numFmtId="170" fontId="14" fillId="8" borderId="0" xfId="0" applyNumberFormat="1" applyFont="1" applyFill="1"/>
    <xf numFmtId="0" fontId="7" fillId="0" borderId="0" xfId="0" applyFont="1"/>
    <xf numFmtId="169" fontId="3" fillId="8" borderId="0" xfId="0" applyNumberFormat="1" applyFont="1" applyFill="1"/>
    <xf numFmtId="169" fontId="5" fillId="0" borderId="0" xfId="1" applyNumberFormat="1" applyFont="1"/>
    <xf numFmtId="169" fontId="7" fillId="8" borderId="0" xfId="0" applyNumberFormat="1" applyFont="1" applyFill="1"/>
    <xf numFmtId="0" fontId="12" fillId="6" borderId="0" xfId="0" applyFont="1" applyFill="1" applyAlignment="1">
      <alignment vertical="center" wrapText="1"/>
    </xf>
    <xf numFmtId="164" fontId="4" fillId="8" borderId="0" xfId="2" applyNumberFormat="1" applyFont="1" applyFill="1"/>
    <xf numFmtId="164" fontId="8" fillId="8" borderId="0" xfId="2" applyNumberFormat="1" applyFont="1" applyFill="1"/>
    <xf numFmtId="170" fontId="4" fillId="0" borderId="0" xfId="0" applyNumberFormat="1" applyFont="1"/>
    <xf numFmtId="0" fontId="6" fillId="9" borderId="0" xfId="0" applyFont="1" applyFill="1"/>
    <xf numFmtId="0" fontId="4" fillId="9" borderId="0" xfId="0" applyFont="1" applyFill="1"/>
    <xf numFmtId="14" fontId="6" fillId="8" borderId="0" xfId="0" applyNumberFormat="1" applyFont="1" applyFill="1" applyAlignment="1">
      <alignment horizontal="center"/>
    </xf>
    <xf numFmtId="0" fontId="10" fillId="12" borderId="0" xfId="0" applyFont="1" applyFill="1"/>
    <xf numFmtId="0" fontId="12" fillId="9" borderId="0" xfId="0" applyFont="1" applyFill="1" applyAlignment="1">
      <alignment vertical="center" wrapText="1"/>
    </xf>
    <xf numFmtId="0" fontId="4" fillId="9" borderId="0" xfId="0" applyFont="1" applyFill="1" applyAlignment="1">
      <alignment vertical="center" wrapText="1"/>
    </xf>
    <xf numFmtId="0" fontId="13" fillId="9" borderId="0" xfId="3" applyFont="1" applyFill="1" applyBorder="1" applyAlignment="1">
      <alignment vertical="center" wrapText="1"/>
    </xf>
    <xf numFmtId="0" fontId="9" fillId="0" borderId="0" xfId="0" applyFont="1"/>
    <xf numFmtId="0" fontId="6" fillId="4" borderId="0" xfId="0" applyFont="1" applyFill="1"/>
    <xf numFmtId="174" fontId="4" fillId="0" borderId="0" xfId="0" applyNumberFormat="1" applyFont="1"/>
    <xf numFmtId="165" fontId="3" fillId="8" borderId="0" xfId="0" applyNumberFormat="1" applyFont="1" applyFill="1" applyAlignment="1">
      <alignment horizontal="center"/>
    </xf>
    <xf numFmtId="175" fontId="4" fillId="0" borderId="0" xfId="0" applyNumberFormat="1" applyFont="1"/>
    <xf numFmtId="0" fontId="6" fillId="13" borderId="0" xfId="0" applyFont="1" applyFill="1"/>
    <xf numFmtId="0" fontId="4" fillId="13" borderId="0" xfId="0" applyFont="1" applyFill="1"/>
    <xf numFmtId="0" fontId="15" fillId="0" borderId="0" xfId="0" applyFont="1"/>
    <xf numFmtId="0" fontId="5" fillId="0" borderId="0" xfId="0" applyFont="1" applyAlignment="1">
      <alignment horizontal="right"/>
    </xf>
    <xf numFmtId="0" fontId="5" fillId="10" borderId="0" xfId="0" applyFont="1" applyFill="1" applyAlignment="1">
      <alignment horizontal="right"/>
    </xf>
    <xf numFmtId="169" fontId="5" fillId="8" borderId="0" xfId="0" applyNumberFormat="1" applyFont="1" applyFill="1"/>
    <xf numFmtId="164" fontId="3" fillId="8" borderId="0" xfId="2" applyNumberFormat="1" applyFont="1" applyFill="1"/>
    <xf numFmtId="165" fontId="3" fillId="8" borderId="0" xfId="0" applyNumberFormat="1" applyFont="1" applyFill="1"/>
    <xf numFmtId="170" fontId="4" fillId="9" borderId="0" xfId="0" applyNumberFormat="1" applyFont="1" applyFill="1"/>
    <xf numFmtId="0" fontId="6" fillId="9" borderId="0" xfId="0" applyFont="1" applyFill="1" applyAlignment="1">
      <alignment horizontal="center"/>
    </xf>
    <xf numFmtId="169" fontId="6" fillId="9" borderId="0" xfId="0" applyNumberFormat="1" applyFont="1" applyFill="1"/>
    <xf numFmtId="167" fontId="4" fillId="0" borderId="0" xfId="0" applyNumberFormat="1" applyFont="1"/>
    <xf numFmtId="173" fontId="4" fillId="0" borderId="0" xfId="0" applyNumberFormat="1" applyFont="1"/>
    <xf numFmtId="176" fontId="4" fillId="8" borderId="0" xfId="0" applyNumberFormat="1" applyFont="1" applyFill="1"/>
    <xf numFmtId="0" fontId="21" fillId="11" borderId="0" xfId="0" applyFont="1" applyFill="1"/>
    <xf numFmtId="0" fontId="13" fillId="9" borderId="0" xfId="3" applyFont="1" applyFill="1" applyAlignment="1">
      <alignment vertical="center"/>
    </xf>
  </cellXfs>
  <cellStyles count="8">
    <cellStyle name="Comma" xfId="1" builtinId="3"/>
    <cellStyle name="Hyperlink" xfId="3" builtinId="8"/>
    <cellStyle name="Normal" xfId="0" builtinId="0"/>
    <cellStyle name="Normal 10" xfId="7" xr:uid="{00000000-0005-0000-0000-000003000000}"/>
    <cellStyle name="Normal 2" xfId="4" xr:uid="{00000000-0005-0000-0000-000004000000}"/>
    <cellStyle name="Normal 3" xfId="6" xr:uid="{00000000-0005-0000-0000-000005000000}"/>
    <cellStyle name="Normal 4" xfId="5" xr:uid="{00000000-0005-0000-0000-000006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40"/>
  <sheetViews>
    <sheetView showGridLines="0" tabSelected="1" zoomScaleNormal="100" workbookViewId="0"/>
  </sheetViews>
  <sheetFormatPr defaultColWidth="8.90625" defaultRowHeight="12.5" x14ac:dyDescent="0.25"/>
  <cols>
    <col min="1" max="16384" width="8.90625" style="2"/>
  </cols>
  <sheetData>
    <row r="1" spans="1:17" ht="13" x14ac:dyDescent="0.3">
      <c r="A1" s="125" t="s">
        <v>245</v>
      </c>
      <c r="B1" s="126"/>
      <c r="C1" s="126"/>
      <c r="D1" s="126"/>
      <c r="E1" s="126"/>
      <c r="F1" s="126"/>
      <c r="G1" s="126"/>
      <c r="H1" s="126"/>
      <c r="I1" s="126"/>
      <c r="J1" s="126"/>
      <c r="K1" s="126"/>
      <c r="L1" s="126"/>
      <c r="M1" s="126"/>
      <c r="N1" s="126"/>
      <c r="O1" s="126"/>
      <c r="P1" s="126"/>
      <c r="Q1" s="126"/>
    </row>
    <row r="3" spans="1:17" x14ac:dyDescent="0.25">
      <c r="A3" s="2" t="s">
        <v>259</v>
      </c>
    </row>
    <row r="5" spans="1:17" x14ac:dyDescent="0.25">
      <c r="A5" s="2" t="s">
        <v>247</v>
      </c>
    </row>
    <row r="7" spans="1:17" x14ac:dyDescent="0.25">
      <c r="A7" s="2" t="s">
        <v>260</v>
      </c>
    </row>
    <row r="8" spans="1:17" ht="13" x14ac:dyDescent="0.3">
      <c r="A8" s="2" t="s">
        <v>261</v>
      </c>
    </row>
    <row r="9" spans="1:17" ht="13" x14ac:dyDescent="0.3">
      <c r="A9" s="2" t="s">
        <v>262</v>
      </c>
    </row>
    <row r="10" spans="1:17" ht="13" x14ac:dyDescent="0.3">
      <c r="A10" s="2" t="s">
        <v>263</v>
      </c>
    </row>
    <row r="11" spans="1:17" x14ac:dyDescent="0.25">
      <c r="A11" s="2" t="s">
        <v>264</v>
      </c>
    </row>
    <row r="13" spans="1:17" ht="13" x14ac:dyDescent="0.3">
      <c r="A13" s="2" t="s">
        <v>246</v>
      </c>
    </row>
    <row r="15" spans="1:17" x14ac:dyDescent="0.25">
      <c r="A15" s="2" t="s">
        <v>265</v>
      </c>
    </row>
    <row r="17" spans="1:1" ht="13" x14ac:dyDescent="0.3">
      <c r="A17" s="127" t="s">
        <v>257</v>
      </c>
    </row>
    <row r="18" spans="1:1" ht="13" x14ac:dyDescent="0.3">
      <c r="A18" s="127"/>
    </row>
    <row r="19" spans="1:1" ht="13" x14ac:dyDescent="0.3">
      <c r="A19" s="2" t="s">
        <v>249</v>
      </c>
    </row>
    <row r="21" spans="1:1" ht="13" x14ac:dyDescent="0.3">
      <c r="A21" s="2" t="s">
        <v>258</v>
      </c>
    </row>
    <row r="23" spans="1:1" ht="13" x14ac:dyDescent="0.3">
      <c r="A23" s="2" t="s">
        <v>266</v>
      </c>
    </row>
    <row r="25" spans="1:1" ht="13" x14ac:dyDescent="0.3">
      <c r="A25" s="2" t="s">
        <v>250</v>
      </c>
    </row>
    <row r="27" spans="1:1" ht="13" x14ac:dyDescent="0.3">
      <c r="A27" s="2" t="s">
        <v>251</v>
      </c>
    </row>
    <row r="29" spans="1:1" ht="13" x14ac:dyDescent="0.3">
      <c r="A29" s="2" t="s">
        <v>252</v>
      </c>
    </row>
    <row r="31" spans="1:1" ht="13" x14ac:dyDescent="0.3">
      <c r="A31" s="2" t="s">
        <v>267</v>
      </c>
    </row>
    <row r="33" spans="1:1" ht="13" x14ac:dyDescent="0.3">
      <c r="A33" s="2" t="s">
        <v>253</v>
      </c>
    </row>
    <row r="35" spans="1:1" ht="13" x14ac:dyDescent="0.3">
      <c r="A35" s="2" t="s">
        <v>254</v>
      </c>
    </row>
    <row r="37" spans="1:1" ht="13" x14ac:dyDescent="0.3">
      <c r="A37" s="2" t="s">
        <v>255</v>
      </c>
    </row>
    <row r="39" spans="1:1" x14ac:dyDescent="0.25">
      <c r="A39" s="2" t="s">
        <v>256</v>
      </c>
    </row>
    <row r="40" spans="1:1" x14ac:dyDescent="0.25">
      <c r="A40" s="2" t="s">
        <v>248</v>
      </c>
    </row>
  </sheetData>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Z178"/>
  <sheetViews>
    <sheetView showGridLines="0" topLeftCell="G1" zoomScale="85" zoomScaleNormal="85" workbookViewId="0">
      <selection activeCell="V45" sqref="V45"/>
    </sheetView>
  </sheetViews>
  <sheetFormatPr defaultColWidth="9.08984375" defaultRowHeight="12.5" x14ac:dyDescent="0.25"/>
  <cols>
    <col min="1" max="1" width="66.36328125" style="1" customWidth="1"/>
    <col min="2" max="2" width="19.36328125" style="1" bestFit="1" customWidth="1"/>
    <col min="3" max="3" width="17.36328125" style="1" bestFit="1" customWidth="1"/>
    <col min="4" max="4" width="12.36328125" style="1" bestFit="1" customWidth="1"/>
    <col min="5" max="5" width="13.08984375" style="1" customWidth="1"/>
    <col min="6" max="17" width="12.36328125" style="1" bestFit="1" customWidth="1"/>
    <col min="18" max="18" width="13.54296875" style="1" customWidth="1"/>
    <col min="19" max="23" width="12.36328125" style="1" bestFit="1" customWidth="1"/>
    <col min="24" max="24" width="13.08984375" style="1" customWidth="1"/>
    <col min="25" max="42" width="12.36328125" style="1" bestFit="1" customWidth="1"/>
    <col min="43" max="55" width="10.08984375" style="1" customWidth="1"/>
    <col min="56" max="16384" width="9.08984375" style="1"/>
  </cols>
  <sheetData>
    <row r="1" spans="1:26" ht="13" x14ac:dyDescent="0.3">
      <c r="A1" s="7" t="s">
        <v>31</v>
      </c>
      <c r="B1" s="18"/>
    </row>
    <row r="3" spans="1:26" ht="13" x14ac:dyDescent="0.3">
      <c r="A3" s="7" t="s">
        <v>32</v>
      </c>
      <c r="B3" s="18"/>
      <c r="J3" s="19"/>
      <c r="K3" s="19">
        <v>1</v>
      </c>
      <c r="L3" s="19">
        <v>2</v>
      </c>
      <c r="M3" s="19">
        <v>3</v>
      </c>
      <c r="N3" s="19">
        <v>4</v>
      </c>
      <c r="O3" s="19">
        <v>5</v>
      </c>
      <c r="P3" s="19">
        <v>6</v>
      </c>
      <c r="Q3" s="1">
        <v>7</v>
      </c>
    </row>
    <row r="4" spans="1:26" ht="13" x14ac:dyDescent="0.3">
      <c r="B4" s="20" t="s">
        <v>33</v>
      </c>
      <c r="C4" s="20"/>
      <c r="D4" s="21" t="s">
        <v>18</v>
      </c>
      <c r="E4" s="21" t="s">
        <v>19</v>
      </c>
      <c r="F4" s="21" t="s">
        <v>20</v>
      </c>
      <c r="G4" s="21" t="s">
        <v>21</v>
      </c>
      <c r="H4" s="21" t="s">
        <v>22</v>
      </c>
      <c r="I4" s="21" t="s">
        <v>23</v>
      </c>
      <c r="J4" s="21" t="s">
        <v>24</v>
      </c>
      <c r="K4" s="21" t="s">
        <v>26</v>
      </c>
      <c r="L4" s="21" t="s">
        <v>27</v>
      </c>
      <c r="M4" s="21" t="s">
        <v>28</v>
      </c>
      <c r="N4" s="21" t="s">
        <v>29</v>
      </c>
      <c r="O4" s="21" t="s">
        <v>34</v>
      </c>
      <c r="P4" s="21" t="s">
        <v>268</v>
      </c>
      <c r="Q4" s="21" t="s">
        <v>275</v>
      </c>
    </row>
    <row r="5" spans="1:26" x14ac:dyDescent="0.25">
      <c r="A5" s="2" t="s">
        <v>13</v>
      </c>
      <c r="B5" s="1" t="s">
        <v>11</v>
      </c>
      <c r="D5" s="58">
        <f>Inflation!G3</f>
        <v>99.6</v>
      </c>
      <c r="E5" s="58">
        <f>Inflation!H3</f>
        <v>99.9</v>
      </c>
      <c r="F5" s="58">
        <f>Inflation!I3</f>
        <v>100.6</v>
      </c>
      <c r="G5" s="58">
        <f>Inflation!J3</f>
        <v>103.2</v>
      </c>
      <c r="H5" s="58">
        <f>Inflation!K3</f>
        <v>105.5</v>
      </c>
      <c r="I5" s="58">
        <f>Inflation!L3</f>
        <v>107.6</v>
      </c>
      <c r="J5" s="58">
        <f>Inflation!M3</f>
        <v>108.6</v>
      </c>
      <c r="K5" s="132">
        <f>Inflation!N3</f>
        <v>110.4</v>
      </c>
      <c r="L5" s="132">
        <f>Inflation!O3</f>
        <v>119</v>
      </c>
      <c r="M5" s="132">
        <f>Inflation!P3</f>
        <v>128.30000000000001</v>
      </c>
      <c r="N5" s="132">
        <f>Inflation!Q3</f>
        <v>132.19999999999999</v>
      </c>
      <c r="O5" s="59">
        <f>Inflation!R3</f>
        <v>134.3152</v>
      </c>
      <c r="P5" s="59">
        <f>Inflation!S3</f>
        <v>138.7201798991492</v>
      </c>
      <c r="Q5" s="59">
        <f>Inflation!T3</f>
        <v>141.66611758385281</v>
      </c>
    </row>
    <row r="6" spans="1:26" x14ac:dyDescent="0.25">
      <c r="A6" s="1" t="s">
        <v>35</v>
      </c>
      <c r="B6" s="1" t="s">
        <v>36</v>
      </c>
      <c r="D6" s="22">
        <f t="shared" ref="D6:P6" si="0">$J$5/D5</f>
        <v>1.0903614457831325</v>
      </c>
      <c r="E6" s="22">
        <f t="shared" si="0"/>
        <v>1.087087087087087</v>
      </c>
      <c r="F6" s="22">
        <f t="shared" si="0"/>
        <v>1.0795228628230615</v>
      </c>
      <c r="G6" s="22">
        <f t="shared" si="0"/>
        <v>1.0523255813953487</v>
      </c>
      <c r="H6" s="22">
        <f t="shared" si="0"/>
        <v>1.0293838862559241</v>
      </c>
      <c r="I6" s="22">
        <f t="shared" si="0"/>
        <v>1.0092936802973977</v>
      </c>
      <c r="J6" s="22">
        <f t="shared" si="0"/>
        <v>1</v>
      </c>
      <c r="K6" s="22">
        <f t="shared" si="0"/>
        <v>0.98369565217391297</v>
      </c>
      <c r="L6" s="22">
        <f t="shared" si="0"/>
        <v>0.9126050420168067</v>
      </c>
      <c r="M6" s="22">
        <f t="shared" si="0"/>
        <v>0.84645362431800453</v>
      </c>
      <c r="N6" s="22">
        <f t="shared" si="0"/>
        <v>0.82148260211800306</v>
      </c>
      <c r="O6" s="22">
        <f t="shared" si="0"/>
        <v>0.80854586822638086</v>
      </c>
      <c r="P6" s="22">
        <f t="shared" si="0"/>
        <v>0.78287095705147702</v>
      </c>
      <c r="Q6" s="22">
        <f t="shared" ref="Q6" si="1">$J$5/Q5</f>
        <v>0.76659120650863588</v>
      </c>
    </row>
    <row r="7" spans="1:26" x14ac:dyDescent="0.25">
      <c r="A7" s="1" t="s">
        <v>167</v>
      </c>
      <c r="B7" s="1" t="s">
        <v>36</v>
      </c>
      <c r="D7" s="22">
        <f t="shared" ref="D7:P7" si="2">D5/$I$5</f>
        <v>0.92565055762081783</v>
      </c>
      <c r="E7" s="22">
        <f t="shared" si="2"/>
        <v>0.92843866171003731</v>
      </c>
      <c r="F7" s="22">
        <f t="shared" si="2"/>
        <v>0.93494423791821557</v>
      </c>
      <c r="G7" s="22">
        <f t="shared" si="2"/>
        <v>0.9591078066914499</v>
      </c>
      <c r="H7" s="22">
        <f t="shared" si="2"/>
        <v>0.98048327137546476</v>
      </c>
      <c r="I7" s="22">
        <f t="shared" si="2"/>
        <v>1</v>
      </c>
      <c r="J7" s="22">
        <f t="shared" si="2"/>
        <v>1.0092936802973977</v>
      </c>
      <c r="K7" s="22">
        <f t="shared" si="2"/>
        <v>1.0260223048327139</v>
      </c>
      <c r="L7" s="22">
        <f t="shared" si="2"/>
        <v>1.1059479553903346</v>
      </c>
      <c r="M7" s="22">
        <f t="shared" si="2"/>
        <v>1.192379182156134</v>
      </c>
      <c r="N7" s="22">
        <f t="shared" si="2"/>
        <v>1.228624535315985</v>
      </c>
      <c r="O7" s="22">
        <f t="shared" si="2"/>
        <v>1.248282527881041</v>
      </c>
      <c r="P7" s="22">
        <f t="shared" si="2"/>
        <v>1.2892210027801971</v>
      </c>
      <c r="Q7" s="22">
        <f t="shared" ref="Q7" si="3">Q5/$I$5</f>
        <v>1.3165996057978886</v>
      </c>
    </row>
    <row r="8" spans="1:26" x14ac:dyDescent="0.25">
      <c r="D8" s="22"/>
      <c r="E8" s="22"/>
      <c r="F8" s="22"/>
      <c r="G8" s="22"/>
      <c r="H8" s="22"/>
      <c r="I8" s="22"/>
      <c r="J8" s="22"/>
      <c r="K8" s="22"/>
      <c r="L8" s="22"/>
      <c r="M8" s="22"/>
      <c r="N8" s="22"/>
      <c r="O8" s="22"/>
    </row>
    <row r="9" spans="1:26" ht="13" x14ac:dyDescent="0.3">
      <c r="B9" s="20" t="s">
        <v>33</v>
      </c>
      <c r="C9" s="20"/>
      <c r="D9" s="21" t="s">
        <v>18</v>
      </c>
      <c r="E9" s="21" t="s">
        <v>19</v>
      </c>
      <c r="F9" s="21" t="s">
        <v>20</v>
      </c>
      <c r="G9" s="21" t="s">
        <v>21</v>
      </c>
      <c r="H9" s="21" t="s">
        <v>22</v>
      </c>
      <c r="I9" s="21" t="s">
        <v>23</v>
      </c>
      <c r="J9" s="21" t="s">
        <v>24</v>
      </c>
      <c r="K9" s="21" t="s">
        <v>26</v>
      </c>
      <c r="L9" s="21" t="s">
        <v>27</v>
      </c>
      <c r="M9" s="21" t="s">
        <v>28</v>
      </c>
      <c r="N9" s="21" t="s">
        <v>29</v>
      </c>
      <c r="O9" s="21" t="s">
        <v>34</v>
      </c>
      <c r="P9" s="21" t="s">
        <v>268</v>
      </c>
      <c r="Q9" s="21" t="s">
        <v>275</v>
      </c>
    </row>
    <row r="10" spans="1:26" x14ac:dyDescent="0.25">
      <c r="A10" s="2" t="s">
        <v>14</v>
      </c>
      <c r="B10" s="1" t="s">
        <v>11</v>
      </c>
      <c r="D10" s="58">
        <f>Inflation!G7</f>
        <v>255.7</v>
      </c>
      <c r="E10" s="58">
        <f>Inflation!H7</f>
        <v>258</v>
      </c>
      <c r="F10" s="58">
        <f>Inflation!I7</f>
        <v>261.39999999999998</v>
      </c>
      <c r="G10" s="58">
        <f>Inflation!J7</f>
        <v>270.60000000000002</v>
      </c>
      <c r="H10" s="58">
        <f>Inflation!K7</f>
        <v>279.7</v>
      </c>
      <c r="I10" s="58">
        <f>Inflation!L7</f>
        <v>288.2</v>
      </c>
      <c r="J10" s="58">
        <f>Inflation!M7</f>
        <v>292.60000000000002</v>
      </c>
      <c r="K10" s="132">
        <f>Inflation!N7</f>
        <v>301.10000000000002</v>
      </c>
      <c r="L10" s="132">
        <f>Inflation!O7</f>
        <v>0</v>
      </c>
      <c r="M10" s="59">
        <f>Inflation!P7</f>
        <v>0</v>
      </c>
      <c r="N10" s="59">
        <f>Inflation!Q7</f>
        <v>0</v>
      </c>
      <c r="O10" s="59">
        <f>Inflation!R7</f>
        <v>0</v>
      </c>
      <c r="P10" s="59">
        <f>Inflation!S7</f>
        <v>0</v>
      </c>
      <c r="Q10" s="59">
        <f>Inflation!T7</f>
        <v>0</v>
      </c>
      <c r="R10" s="22"/>
      <c r="S10" s="22"/>
      <c r="T10" s="22"/>
      <c r="U10" s="22"/>
      <c r="V10" s="22"/>
      <c r="W10" s="22"/>
      <c r="X10" s="22"/>
      <c r="Y10" s="22"/>
      <c r="Z10" s="22"/>
    </row>
    <row r="11" spans="1:26" x14ac:dyDescent="0.25">
      <c r="A11" s="1" t="s">
        <v>104</v>
      </c>
      <c r="B11" s="1" t="s">
        <v>36</v>
      </c>
      <c r="D11" s="22">
        <f t="shared" ref="D11:O11" si="4">$J$10/D10</f>
        <v>1.1443097379741887</v>
      </c>
      <c r="E11" s="22">
        <f t="shared" si="4"/>
        <v>1.134108527131783</v>
      </c>
      <c r="F11" s="22">
        <f t="shared" si="4"/>
        <v>1.1193573068094875</v>
      </c>
      <c r="G11" s="22">
        <f t="shared" si="4"/>
        <v>1.0813008130081301</v>
      </c>
      <c r="H11" s="22">
        <f t="shared" si="4"/>
        <v>1.0461208437611729</v>
      </c>
      <c r="I11" s="22">
        <f t="shared" si="4"/>
        <v>1.0152671755725191</v>
      </c>
      <c r="J11" s="22">
        <f t="shared" si="4"/>
        <v>1</v>
      </c>
      <c r="K11" s="22">
        <f t="shared" si="4"/>
        <v>0.97177017602125537</v>
      </c>
      <c r="L11" s="22" t="e">
        <f t="shared" si="4"/>
        <v>#DIV/0!</v>
      </c>
      <c r="M11" s="22" t="e">
        <f t="shared" si="4"/>
        <v>#DIV/0!</v>
      </c>
      <c r="N11" s="22" t="e">
        <f t="shared" si="4"/>
        <v>#DIV/0!</v>
      </c>
      <c r="O11" s="22" t="e">
        <f t="shared" si="4"/>
        <v>#DIV/0!</v>
      </c>
      <c r="P11" s="22" t="e">
        <f t="shared" ref="P11:Q11" si="5">$J$10/P10</f>
        <v>#DIV/0!</v>
      </c>
      <c r="Q11" s="22" t="e">
        <f t="shared" si="5"/>
        <v>#DIV/0!</v>
      </c>
    </row>
    <row r="12" spans="1:26" x14ac:dyDescent="0.25">
      <c r="A12" s="1" t="s">
        <v>105</v>
      </c>
      <c r="B12" s="1" t="s">
        <v>36</v>
      </c>
      <c r="D12" s="22">
        <f t="shared" ref="D12:O12" si="6">D10/$D$10</f>
        <v>1</v>
      </c>
      <c r="E12" s="22">
        <f t="shared" si="6"/>
        <v>1.0089949159170903</v>
      </c>
      <c r="F12" s="22">
        <f t="shared" si="6"/>
        <v>1.0222917481423544</v>
      </c>
      <c r="G12" s="22">
        <f t="shared" si="6"/>
        <v>1.0582714118107157</v>
      </c>
      <c r="H12" s="22">
        <f t="shared" si="6"/>
        <v>1.0938599921783341</v>
      </c>
      <c r="I12" s="22">
        <f t="shared" si="6"/>
        <v>1.127102072741494</v>
      </c>
      <c r="J12" s="22">
        <f t="shared" si="6"/>
        <v>1.1443097379741887</v>
      </c>
      <c r="K12" s="22">
        <f t="shared" si="6"/>
        <v>1.1775518185373486</v>
      </c>
      <c r="L12" s="22">
        <f t="shared" si="6"/>
        <v>0</v>
      </c>
      <c r="M12" s="22">
        <f t="shared" si="6"/>
        <v>0</v>
      </c>
      <c r="N12" s="22">
        <f t="shared" si="6"/>
        <v>0</v>
      </c>
      <c r="O12" s="22">
        <f t="shared" si="6"/>
        <v>0</v>
      </c>
      <c r="P12" s="22">
        <f t="shared" ref="P12:Q12" si="7">P10/$D$10</f>
        <v>0</v>
      </c>
      <c r="Q12" s="22">
        <f t="shared" si="7"/>
        <v>0</v>
      </c>
    </row>
    <row r="13" spans="1:26" ht="13" x14ac:dyDescent="0.3">
      <c r="A13" s="16" t="s">
        <v>30</v>
      </c>
    </row>
    <row r="14" spans="1:26" ht="13" x14ac:dyDescent="0.3">
      <c r="A14" s="1" t="s">
        <v>37</v>
      </c>
      <c r="B14" s="1" t="s">
        <v>36</v>
      </c>
      <c r="E14" s="22"/>
      <c r="F14" s="22"/>
      <c r="G14" s="22"/>
      <c r="H14" s="22"/>
      <c r="I14" s="22"/>
      <c r="J14" s="22"/>
      <c r="K14" s="60">
        <f>(J10/D10)/(J5/I5)</f>
        <v>1.1337728158933951</v>
      </c>
      <c r="L14" s="22"/>
      <c r="M14" s="22"/>
      <c r="N14" s="22"/>
      <c r="O14" s="22"/>
    </row>
    <row r="15" spans="1:26" x14ac:dyDescent="0.25">
      <c r="D15" s="22"/>
      <c r="E15" s="22"/>
      <c r="F15" s="22"/>
      <c r="G15" s="22"/>
      <c r="H15" s="22"/>
      <c r="I15" s="22"/>
      <c r="J15" s="22"/>
      <c r="K15" s="22"/>
      <c r="L15" s="22"/>
      <c r="M15" s="22"/>
      <c r="N15" s="22"/>
      <c r="O15" s="22"/>
    </row>
    <row r="16" spans="1:26" ht="13" x14ac:dyDescent="0.3">
      <c r="A16" s="7" t="s">
        <v>38</v>
      </c>
      <c r="B16" s="18"/>
    </row>
    <row r="17" spans="1:25" ht="13" x14ac:dyDescent="0.3">
      <c r="B17" s="20" t="s">
        <v>33</v>
      </c>
      <c r="C17" s="23" t="s">
        <v>39</v>
      </c>
      <c r="D17" s="24">
        <v>39538</v>
      </c>
      <c r="E17" s="24">
        <v>39721</v>
      </c>
      <c r="F17" s="24">
        <v>40086</v>
      </c>
      <c r="G17" s="24">
        <v>40268</v>
      </c>
      <c r="H17" s="24">
        <v>40451</v>
      </c>
      <c r="I17" s="24">
        <v>40816</v>
      </c>
      <c r="J17" s="24">
        <v>41182</v>
      </c>
      <c r="K17" s="24">
        <v>41547</v>
      </c>
      <c r="L17" s="24">
        <v>41912</v>
      </c>
      <c r="M17" s="24">
        <v>42277</v>
      </c>
      <c r="N17" s="24">
        <v>42643</v>
      </c>
      <c r="O17" s="24">
        <v>43008</v>
      </c>
      <c r="P17" s="24">
        <v>43373</v>
      </c>
      <c r="Q17" s="24">
        <v>43738</v>
      </c>
      <c r="R17" s="24">
        <v>44104</v>
      </c>
      <c r="S17" s="24">
        <v>44469</v>
      </c>
      <c r="T17" s="24">
        <v>44834</v>
      </c>
      <c r="U17" s="24">
        <v>45199</v>
      </c>
      <c r="V17" s="24">
        <v>45565</v>
      </c>
      <c r="W17" s="24">
        <v>45930</v>
      </c>
      <c r="X17" s="24">
        <v>46295</v>
      </c>
      <c r="Y17" s="24">
        <v>46660</v>
      </c>
    </row>
    <row r="18" spans="1:25" x14ac:dyDescent="0.25">
      <c r="A18" s="1" t="s">
        <v>40</v>
      </c>
      <c r="B18" s="1" t="s">
        <v>41</v>
      </c>
      <c r="D18" s="3">
        <f>'RAB Inputs'!D76</f>
        <v>10</v>
      </c>
      <c r="E18" s="3">
        <f>'RAB Inputs'!E76</f>
        <v>10</v>
      </c>
      <c r="F18" s="3">
        <f>'RAB Inputs'!F76</f>
        <v>10</v>
      </c>
      <c r="G18" s="3">
        <f>'RAB Inputs'!G76</f>
        <v>10</v>
      </c>
      <c r="H18" s="3">
        <f>'RAB Inputs'!H76</f>
        <v>8</v>
      </c>
      <c r="I18" s="3">
        <f>'RAB Inputs'!I76</f>
        <v>8</v>
      </c>
      <c r="J18" s="3">
        <f>'RAB Inputs'!J76</f>
        <v>8</v>
      </c>
      <c r="K18" s="3">
        <f>'RAB Inputs'!K76</f>
        <v>8</v>
      </c>
      <c r="L18" s="3">
        <f>'RAB Inputs'!L76</f>
        <v>8</v>
      </c>
      <c r="M18" s="3">
        <f>'RAB Inputs'!M76</f>
        <v>8</v>
      </c>
      <c r="N18" s="3">
        <f>'RAB Inputs'!N76</f>
        <v>5</v>
      </c>
      <c r="O18" s="3">
        <f>'RAB Inputs'!O76</f>
        <v>5</v>
      </c>
      <c r="P18" s="3">
        <f>'RAB Inputs'!P76</f>
        <v>5</v>
      </c>
      <c r="Q18" s="3">
        <f>'RAB Inputs'!Q76</f>
        <v>5</v>
      </c>
      <c r="R18" s="3">
        <f>'RAB Inputs'!R76</f>
        <v>5</v>
      </c>
      <c r="S18" s="3">
        <f>'RAB Inputs'!S76</f>
        <v>5</v>
      </c>
      <c r="T18" s="3">
        <f>'RAB Inputs'!T76</f>
        <v>5</v>
      </c>
      <c r="U18" s="3">
        <f>'RAB Inputs'!U76</f>
        <v>5</v>
      </c>
      <c r="V18" s="3">
        <f>'RAB Inputs'!V76</f>
        <v>5</v>
      </c>
      <c r="W18" s="3">
        <f>'RAB Inputs'!W76</f>
        <v>5</v>
      </c>
      <c r="X18" s="1">
        <v>5</v>
      </c>
      <c r="Y18" s="1">
        <v>5</v>
      </c>
    </row>
    <row r="19" spans="1:25" x14ac:dyDescent="0.25">
      <c r="N19" s="3"/>
      <c r="O19" s="3"/>
      <c r="P19" s="3"/>
      <c r="Q19" s="3"/>
      <c r="R19" s="3"/>
      <c r="S19" s="3"/>
      <c r="T19" s="3"/>
      <c r="U19" s="3"/>
      <c r="V19" s="3"/>
      <c r="W19" s="3"/>
    </row>
    <row r="20" spans="1:25" x14ac:dyDescent="0.25">
      <c r="A20" s="2"/>
      <c r="D20" s="25"/>
      <c r="E20" s="25"/>
      <c r="F20" s="25"/>
      <c r="G20" s="25"/>
      <c r="H20" s="25"/>
      <c r="I20" s="25"/>
      <c r="N20" s="3"/>
      <c r="O20" s="3"/>
      <c r="P20" s="3"/>
      <c r="Q20" s="3"/>
      <c r="R20" s="3"/>
      <c r="S20" s="3"/>
      <c r="T20" s="3"/>
      <c r="U20" s="3"/>
      <c r="V20" s="3"/>
      <c r="W20" s="3"/>
    </row>
    <row r="21" spans="1:25" ht="13" x14ac:dyDescent="0.3">
      <c r="A21" s="7" t="s">
        <v>48</v>
      </c>
      <c r="B21" s="18"/>
    </row>
    <row r="22" spans="1:25" ht="13" x14ac:dyDescent="0.3">
      <c r="B22" s="26"/>
      <c r="C22" s="23" t="s">
        <v>49</v>
      </c>
      <c r="D22" s="27">
        <v>42278</v>
      </c>
      <c r="E22" s="27">
        <v>42644</v>
      </c>
      <c r="F22" s="27">
        <v>43009</v>
      </c>
      <c r="G22" s="27">
        <v>43374</v>
      </c>
      <c r="H22" s="27">
        <v>43739</v>
      </c>
    </row>
    <row r="23" spans="1:25" ht="13" x14ac:dyDescent="0.3">
      <c r="B23" s="26"/>
      <c r="C23" s="23" t="s">
        <v>50</v>
      </c>
      <c r="D23" s="28">
        <v>42643</v>
      </c>
      <c r="E23" s="28">
        <v>43008</v>
      </c>
      <c r="F23" s="28">
        <v>43373</v>
      </c>
      <c r="G23" s="28">
        <v>43738</v>
      </c>
      <c r="H23" s="28">
        <v>44104</v>
      </c>
    </row>
    <row r="24" spans="1:25" ht="13" x14ac:dyDescent="0.3">
      <c r="B24" s="20" t="s">
        <v>33</v>
      </c>
      <c r="C24" s="20" t="s">
        <v>44</v>
      </c>
      <c r="D24" s="28"/>
      <c r="E24" s="28"/>
      <c r="F24" s="28"/>
      <c r="G24" s="28"/>
      <c r="H24" s="28"/>
    </row>
    <row r="25" spans="1:25" x14ac:dyDescent="0.25">
      <c r="A25" s="2" t="s">
        <v>192</v>
      </c>
      <c r="B25" s="1" t="s">
        <v>46</v>
      </c>
      <c r="C25" s="1" t="s">
        <v>47</v>
      </c>
      <c r="D25" s="29">
        <f>'RAB Inputs'!N35</f>
        <v>1408.5</v>
      </c>
      <c r="E25" s="29">
        <f>'RAB Inputs'!O35</f>
        <v>1304.1000000000001</v>
      </c>
      <c r="F25" s="29">
        <f>'RAB Inputs'!P35</f>
        <v>1035</v>
      </c>
      <c r="G25" s="29">
        <f>'RAB Inputs'!Q35</f>
        <v>1369.8</v>
      </c>
      <c r="H25" s="29">
        <f>'RAB Inputs'!R35</f>
        <v>1717.1999999999998</v>
      </c>
    </row>
    <row r="26" spans="1:25" x14ac:dyDescent="0.25">
      <c r="A26" s="2" t="str">
        <f>'RAB Inputs'!A5</f>
        <v>Actual capital expenditure attributable to the non-buildings RAB (source: RIGS)</v>
      </c>
      <c r="B26" s="1" t="s">
        <v>46</v>
      </c>
      <c r="C26" s="1" t="s">
        <v>47</v>
      </c>
      <c r="D26" s="112">
        <f>'RAB Inputs'!D5/F12</f>
        <v>765.57051489670948</v>
      </c>
      <c r="E26" s="112">
        <f>'RAB Inputs'!E5/G12</f>
        <v>635.07625973762003</v>
      </c>
      <c r="F26" s="112">
        <f>'RAB Inputs'!F5/H12</f>
        <v>321.59977740793761</v>
      </c>
      <c r="G26" s="112">
        <f>'RAB Inputs'!G5/I12</f>
        <v>701.37139227966702</v>
      </c>
      <c r="H26" s="112">
        <f>'RAB Inputs'!H5/J12</f>
        <v>622.79763629528361</v>
      </c>
    </row>
    <row r="27" spans="1:25" x14ac:dyDescent="0.25">
      <c r="A27" s="2" t="s">
        <v>193</v>
      </c>
      <c r="B27" s="1" t="s">
        <v>46</v>
      </c>
      <c r="C27" s="1" t="s">
        <v>47</v>
      </c>
      <c r="D27" s="29">
        <f>D25+0.5*(D26-D25)</f>
        <v>1087.0352574483547</v>
      </c>
      <c r="E27" s="29">
        <f>E25+0.5*(E26-E25)</f>
        <v>969.58812986881003</v>
      </c>
      <c r="F27" s="29">
        <f>F25+0.5*(F26-F25)</f>
        <v>678.2998887039688</v>
      </c>
      <c r="G27" s="29">
        <f>G25+0.5*(G26-G25)</f>
        <v>1035.5856961398335</v>
      </c>
      <c r="H27" s="29">
        <f>H25+0.5*(H26-H25)</f>
        <v>1169.9988181476417</v>
      </c>
    </row>
    <row r="28" spans="1:25" ht="13" x14ac:dyDescent="0.3">
      <c r="A28" s="16"/>
    </row>
    <row r="30" spans="1:25" ht="13" x14ac:dyDescent="0.3">
      <c r="A30" s="7" t="s">
        <v>197</v>
      </c>
      <c r="B30" s="18"/>
    </row>
    <row r="31" spans="1:25" ht="13" x14ac:dyDescent="0.3">
      <c r="B31" s="26"/>
      <c r="C31" s="23" t="s">
        <v>49</v>
      </c>
      <c r="D31" s="27">
        <v>39387</v>
      </c>
      <c r="E31" s="27">
        <v>39539</v>
      </c>
      <c r="F31" s="27">
        <v>39722</v>
      </c>
      <c r="G31" s="27">
        <v>40087</v>
      </c>
      <c r="H31" s="27">
        <v>40269</v>
      </c>
      <c r="I31" s="27">
        <v>40452</v>
      </c>
      <c r="J31" s="27">
        <v>40817</v>
      </c>
      <c r="K31" s="27">
        <v>41183</v>
      </c>
      <c r="L31" s="27">
        <v>41548</v>
      </c>
      <c r="M31" s="27">
        <v>41913</v>
      </c>
      <c r="N31" s="27">
        <v>42278</v>
      </c>
      <c r="O31" s="27">
        <v>42644</v>
      </c>
      <c r="P31" s="27">
        <v>43009</v>
      </c>
      <c r="Q31" s="27">
        <v>43374</v>
      </c>
      <c r="R31" s="27">
        <v>43739</v>
      </c>
      <c r="S31" s="27">
        <v>44105</v>
      </c>
      <c r="T31" s="27">
        <v>44470</v>
      </c>
      <c r="U31" s="27">
        <v>44835</v>
      </c>
      <c r="V31" s="27">
        <v>45200</v>
      </c>
      <c r="W31" s="27">
        <v>45566</v>
      </c>
      <c r="X31" s="28">
        <v>45931</v>
      </c>
      <c r="Y31" s="28">
        <v>46296</v>
      </c>
    </row>
    <row r="32" spans="1:25" ht="13" x14ac:dyDescent="0.3">
      <c r="B32" s="26"/>
      <c r="C32" s="23" t="s">
        <v>50</v>
      </c>
      <c r="D32" s="27">
        <v>39538</v>
      </c>
      <c r="E32" s="27">
        <v>39721</v>
      </c>
      <c r="F32" s="27">
        <v>40086</v>
      </c>
      <c r="G32" s="27">
        <v>40268</v>
      </c>
      <c r="H32" s="27">
        <v>40451</v>
      </c>
      <c r="I32" s="28">
        <v>40816</v>
      </c>
      <c r="J32" s="28">
        <v>41182</v>
      </c>
      <c r="K32" s="28">
        <v>41547</v>
      </c>
      <c r="L32" s="28">
        <v>41912</v>
      </c>
      <c r="M32" s="28">
        <v>42277</v>
      </c>
      <c r="N32" s="28">
        <v>42643</v>
      </c>
      <c r="O32" s="28">
        <v>43008</v>
      </c>
      <c r="P32" s="28">
        <v>43373</v>
      </c>
      <c r="Q32" s="28">
        <v>43738</v>
      </c>
      <c r="R32" s="28">
        <v>44104</v>
      </c>
      <c r="S32" s="28">
        <v>44469</v>
      </c>
      <c r="T32" s="28">
        <v>44834</v>
      </c>
      <c r="U32" s="28">
        <v>45199</v>
      </c>
      <c r="V32" s="28">
        <v>45565</v>
      </c>
      <c r="W32" s="28">
        <v>45930</v>
      </c>
      <c r="X32" s="28">
        <v>46295</v>
      </c>
      <c r="Y32" s="28">
        <v>46660</v>
      </c>
    </row>
    <row r="33" spans="1:26" ht="13" x14ac:dyDescent="0.3">
      <c r="A33" s="16" t="s">
        <v>53</v>
      </c>
      <c r="B33" s="20" t="s">
        <v>33</v>
      </c>
      <c r="C33" s="20" t="s">
        <v>44</v>
      </c>
      <c r="D33" s="30"/>
      <c r="E33" s="30"/>
      <c r="F33" s="30"/>
      <c r="G33" s="30"/>
      <c r="H33" s="30"/>
      <c r="I33" s="31"/>
      <c r="J33" s="31"/>
      <c r="K33" s="31"/>
      <c r="L33" s="31"/>
      <c r="M33" s="31"/>
      <c r="N33" s="31"/>
      <c r="O33" s="31"/>
      <c r="P33" s="31"/>
      <c r="Q33" s="31"/>
      <c r="R33" s="31"/>
      <c r="S33" s="31"/>
      <c r="T33" s="31"/>
      <c r="U33" s="31"/>
      <c r="V33" s="31"/>
      <c r="W33" s="31"/>
      <c r="X33" s="31"/>
      <c r="Y33" s="31"/>
    </row>
    <row r="34" spans="1:26" x14ac:dyDescent="0.25">
      <c r="A34" s="1" t="s">
        <v>54</v>
      </c>
      <c r="B34" s="1" t="s">
        <v>46</v>
      </c>
      <c r="C34" s="1" t="s">
        <v>47</v>
      </c>
      <c r="D34" s="41">
        <f>'RAB Inputs'!D27</f>
        <v>2116.7832446290081</v>
      </c>
      <c r="E34" s="41">
        <f>'RAB Inputs'!E27</f>
        <v>1262.6801421709006</v>
      </c>
      <c r="F34" s="41">
        <f>'RAB Inputs'!F27</f>
        <v>2346.1860374137109</v>
      </c>
      <c r="G34" s="41">
        <f>'RAB Inputs'!G27</f>
        <v>1466.300982890592</v>
      </c>
      <c r="H34" s="41">
        <f>'RAB Inputs'!H27</f>
        <v>0</v>
      </c>
      <c r="I34" s="41">
        <f>'RAB Inputs'!I27</f>
        <v>0</v>
      </c>
      <c r="J34" s="41">
        <f>'RAB Inputs'!J27</f>
        <v>0</v>
      </c>
      <c r="K34" s="41">
        <f>'RAB Inputs'!K27</f>
        <v>0</v>
      </c>
      <c r="L34" s="41">
        <f>'RAB Inputs'!L27</f>
        <v>0</v>
      </c>
      <c r="M34" s="41">
        <f>'RAB Inputs'!M27</f>
        <v>0</v>
      </c>
      <c r="N34" s="41">
        <f>'RAB Inputs'!N27</f>
        <v>0</v>
      </c>
      <c r="O34" s="41">
        <f>'RAB Inputs'!O27</f>
        <v>0</v>
      </c>
      <c r="P34" s="41">
        <f>'RAB Inputs'!P27</f>
        <v>0</v>
      </c>
      <c r="Q34" s="41">
        <f>'RAB Inputs'!Q27</f>
        <v>0</v>
      </c>
      <c r="R34" s="41">
        <f>'RAB Inputs'!R27</f>
        <v>0</v>
      </c>
      <c r="S34" s="41">
        <f>'RAB Inputs'!S27</f>
        <v>0</v>
      </c>
      <c r="T34" s="41">
        <f>'RAB Inputs'!T27</f>
        <v>0</v>
      </c>
      <c r="U34" s="41">
        <f>'RAB Inputs'!U27</f>
        <v>0</v>
      </c>
      <c r="V34" s="41">
        <f>'RAB Inputs'!V27</f>
        <v>0</v>
      </c>
      <c r="W34" s="41">
        <f>'RAB Inputs'!W27</f>
        <v>0</v>
      </c>
      <c r="X34" s="41">
        <f>'RAB Inputs'!X27</f>
        <v>0</v>
      </c>
    </row>
    <row r="35" spans="1:26" x14ac:dyDescent="0.25">
      <c r="A35" s="1" t="s">
        <v>55</v>
      </c>
      <c r="B35" s="1" t="s">
        <v>46</v>
      </c>
      <c r="C35" s="1" t="s">
        <v>47</v>
      </c>
      <c r="D35" s="41">
        <f>'RAB Inputs'!D28</f>
        <v>0</v>
      </c>
      <c r="E35" s="41">
        <f>'RAB Inputs'!E28</f>
        <v>0</v>
      </c>
      <c r="F35" s="41">
        <f>'RAB Inputs'!F28</f>
        <v>1308.4658697862565</v>
      </c>
      <c r="G35" s="41">
        <f>'RAB Inputs'!G28</f>
        <v>1568.8724418280337</v>
      </c>
      <c r="H35" s="41">
        <f>'RAB Inputs'!H28</f>
        <v>0</v>
      </c>
      <c r="I35" s="41">
        <f>'RAB Inputs'!I28</f>
        <v>0</v>
      </c>
      <c r="J35" s="41">
        <f>'RAB Inputs'!J28</f>
        <v>0</v>
      </c>
      <c r="K35" s="41">
        <f>'RAB Inputs'!K28</f>
        <v>0</v>
      </c>
      <c r="L35" s="41">
        <f>'RAB Inputs'!L28</f>
        <v>0</v>
      </c>
      <c r="M35" s="41">
        <f>'RAB Inputs'!M28</f>
        <v>0</v>
      </c>
      <c r="N35" s="41">
        <f>'RAB Inputs'!N28</f>
        <v>0</v>
      </c>
      <c r="O35" s="41">
        <f>'RAB Inputs'!O28</f>
        <v>0</v>
      </c>
      <c r="P35" s="41">
        <f>'RAB Inputs'!P28</f>
        <v>0</v>
      </c>
      <c r="Q35" s="41">
        <f>'RAB Inputs'!Q28</f>
        <v>0</v>
      </c>
      <c r="R35" s="41">
        <f>'RAB Inputs'!R28</f>
        <v>0</v>
      </c>
      <c r="S35" s="41">
        <f>'RAB Inputs'!S28</f>
        <v>0</v>
      </c>
      <c r="T35" s="41">
        <f>'RAB Inputs'!T28</f>
        <v>0</v>
      </c>
      <c r="U35" s="41">
        <f>'RAB Inputs'!U28</f>
        <v>0</v>
      </c>
      <c r="V35" s="41">
        <f>'RAB Inputs'!V28</f>
        <v>0</v>
      </c>
      <c r="W35" s="41">
        <f>'RAB Inputs'!W28</f>
        <v>0</v>
      </c>
      <c r="X35" s="41">
        <f>'RAB Inputs'!X28</f>
        <v>0</v>
      </c>
    </row>
    <row r="36" spans="1:26" x14ac:dyDescent="0.25">
      <c r="A36" s="1" t="s">
        <v>56</v>
      </c>
      <c r="B36" s="1" t="s">
        <v>46</v>
      </c>
      <c r="C36" s="1" t="s">
        <v>47</v>
      </c>
      <c r="D36" s="41">
        <f>'RAB Inputs'!D29</f>
        <v>0</v>
      </c>
      <c r="E36" s="41">
        <f>'RAB Inputs'!E29</f>
        <v>0</v>
      </c>
      <c r="F36" s="41">
        <f>'RAB Inputs'!F29</f>
        <v>0</v>
      </c>
      <c r="G36" s="41">
        <f>'RAB Inputs'!G29</f>
        <v>0</v>
      </c>
      <c r="H36" s="41">
        <f>'RAB Inputs'!H29</f>
        <v>1047.8191202872531</v>
      </c>
      <c r="I36" s="41">
        <f>'RAB Inputs'!I29</f>
        <v>1013.3891382405744</v>
      </c>
      <c r="J36" s="41">
        <f>'RAB Inputs'!J29</f>
        <v>1365.722621184919</v>
      </c>
      <c r="K36" s="41">
        <f>'RAB Inputs'!K29</f>
        <v>281.17818671454216</v>
      </c>
      <c r="L36" s="41">
        <f>'RAB Inputs'!L29</f>
        <v>1589.5175044883301</v>
      </c>
      <c r="M36" s="41">
        <f>'RAB Inputs'!M29</f>
        <v>418.89811490125669</v>
      </c>
      <c r="N36" s="41">
        <f>'RAB Inputs'!N29</f>
        <v>0</v>
      </c>
      <c r="O36" s="41">
        <f>'RAB Inputs'!O29</f>
        <v>0</v>
      </c>
      <c r="P36" s="41">
        <f>'RAB Inputs'!P29</f>
        <v>0</v>
      </c>
      <c r="Q36" s="41">
        <f>'RAB Inputs'!Q29</f>
        <v>0</v>
      </c>
      <c r="R36" s="41">
        <f>'RAB Inputs'!R29</f>
        <v>0</v>
      </c>
      <c r="S36" s="41">
        <f>'RAB Inputs'!S29</f>
        <v>0</v>
      </c>
      <c r="T36" s="41">
        <f>'RAB Inputs'!T29</f>
        <v>0</v>
      </c>
      <c r="U36" s="41">
        <f>'RAB Inputs'!U29</f>
        <v>0</v>
      </c>
      <c r="V36" s="41">
        <f>'RAB Inputs'!V29</f>
        <v>0</v>
      </c>
      <c r="W36" s="41">
        <f>'RAB Inputs'!W29</f>
        <v>0</v>
      </c>
      <c r="X36" s="41">
        <f>'RAB Inputs'!X29</f>
        <v>0</v>
      </c>
    </row>
    <row r="37" spans="1:26" x14ac:dyDescent="0.25">
      <c r="A37" s="1" t="s">
        <v>57</v>
      </c>
      <c r="B37" s="1" t="s">
        <v>46</v>
      </c>
      <c r="C37" s="1" t="s">
        <v>47</v>
      </c>
      <c r="D37" s="41">
        <f>'RAB Inputs'!D30</f>
        <v>687.15121839654023</v>
      </c>
      <c r="E37" s="41">
        <f>'RAB Inputs'!E30</f>
        <v>827.64373752494998</v>
      </c>
      <c r="F37" s="41">
        <f>'RAB Inputs'!F30</f>
        <v>1656.5634231536922</v>
      </c>
      <c r="G37" s="41">
        <f>'RAB Inputs'!G30</f>
        <v>828.28171157684608</v>
      </c>
      <c r="H37" s="41">
        <f>'RAB Inputs'!H30</f>
        <v>1034.5546719061877</v>
      </c>
      <c r="I37" s="41">
        <f>'RAB Inputs'!I30</f>
        <v>2069.1093438123753</v>
      </c>
      <c r="J37" s="41">
        <f>'RAB Inputs'!J30</f>
        <v>2069.1093438123753</v>
      </c>
      <c r="K37" s="41">
        <f>'RAB Inputs'!K30</f>
        <v>2069.1093438123753</v>
      </c>
      <c r="L37" s="41">
        <f>'RAB Inputs'!L30</f>
        <v>2069.1093438123753</v>
      </c>
      <c r="M37" s="41">
        <f>'RAB Inputs'!M30</f>
        <v>2069.1093438123753</v>
      </c>
      <c r="N37" s="41">
        <f>'RAB Inputs'!N30</f>
        <v>0</v>
      </c>
      <c r="O37" s="41">
        <f>'RAB Inputs'!O30</f>
        <v>0</v>
      </c>
      <c r="P37" s="41">
        <f>'RAB Inputs'!P30</f>
        <v>0</v>
      </c>
      <c r="Q37" s="41">
        <f>'RAB Inputs'!Q30</f>
        <v>0</v>
      </c>
      <c r="R37" s="41">
        <f>'RAB Inputs'!R30</f>
        <v>0</v>
      </c>
      <c r="S37" s="41">
        <f>'RAB Inputs'!S30</f>
        <v>0</v>
      </c>
      <c r="T37" s="41">
        <f>'RAB Inputs'!T30</f>
        <v>0</v>
      </c>
      <c r="U37" s="41">
        <f>'RAB Inputs'!U30</f>
        <v>0</v>
      </c>
      <c r="V37" s="41">
        <f>'RAB Inputs'!V30</f>
        <v>0</v>
      </c>
      <c r="W37" s="41">
        <f>'RAB Inputs'!W30</f>
        <v>0</v>
      </c>
      <c r="X37" s="41">
        <f>'RAB Inputs'!X30</f>
        <v>0</v>
      </c>
    </row>
    <row r="38" spans="1:26" x14ac:dyDescent="0.25">
      <c r="A38" s="1" t="s">
        <v>58</v>
      </c>
      <c r="B38" s="1" t="s">
        <v>46</v>
      </c>
      <c r="C38" s="1" t="s">
        <v>47</v>
      </c>
      <c r="D38" s="41">
        <f>'RAB Inputs'!D31</f>
        <v>0</v>
      </c>
      <c r="E38" s="41">
        <f>'RAB Inputs'!E31</f>
        <v>0</v>
      </c>
      <c r="F38" s="41">
        <f>'RAB Inputs'!F31</f>
        <v>71.046407396004938</v>
      </c>
      <c r="G38" s="41">
        <f>'RAB Inputs'!G31</f>
        <v>65.423293489312812</v>
      </c>
      <c r="H38" s="41">
        <f>'RAB Inputs'!H31</f>
        <v>0</v>
      </c>
      <c r="I38" s="41">
        <f>'RAB Inputs'!I31</f>
        <v>0</v>
      </c>
      <c r="J38" s="41">
        <f>'RAB Inputs'!J31</f>
        <v>0</v>
      </c>
      <c r="K38" s="41">
        <f>'RAB Inputs'!K31</f>
        <v>0</v>
      </c>
      <c r="L38" s="41">
        <f>'RAB Inputs'!L31</f>
        <v>0</v>
      </c>
      <c r="M38" s="41">
        <f>'RAB Inputs'!M31</f>
        <v>0</v>
      </c>
      <c r="N38" s="41">
        <f>'RAB Inputs'!N31</f>
        <v>0</v>
      </c>
      <c r="O38" s="41">
        <f>'RAB Inputs'!O31</f>
        <v>0</v>
      </c>
      <c r="P38" s="41">
        <f>'RAB Inputs'!P31</f>
        <v>0</v>
      </c>
      <c r="Q38" s="41">
        <f>'RAB Inputs'!Q31</f>
        <v>0</v>
      </c>
      <c r="R38" s="41">
        <f>'RAB Inputs'!R31</f>
        <v>0</v>
      </c>
      <c r="S38" s="41">
        <f>'RAB Inputs'!S31</f>
        <v>0</v>
      </c>
      <c r="T38" s="41">
        <f>'RAB Inputs'!T31</f>
        <v>0</v>
      </c>
      <c r="U38" s="41">
        <f>'RAB Inputs'!U31</f>
        <v>0</v>
      </c>
      <c r="V38" s="41">
        <f>'RAB Inputs'!V31</f>
        <v>0</v>
      </c>
      <c r="W38" s="41">
        <f>'RAB Inputs'!W31</f>
        <v>0</v>
      </c>
      <c r="X38" s="41">
        <f>'RAB Inputs'!X31</f>
        <v>0</v>
      </c>
    </row>
    <row r="39" spans="1:26" x14ac:dyDescent="0.25">
      <c r="A39" s="1" t="s">
        <v>59</v>
      </c>
      <c r="B39" s="1" t="s">
        <v>46</v>
      </c>
      <c r="C39" s="1" t="s">
        <v>47</v>
      </c>
      <c r="D39" s="41">
        <f>'RAB Inputs'!D32</f>
        <v>0</v>
      </c>
      <c r="E39" s="41">
        <f>'RAB Inputs'!E32</f>
        <v>0</v>
      </c>
      <c r="F39" s="41">
        <f>'RAB Inputs'!F32</f>
        <v>0</v>
      </c>
      <c r="G39" s="41">
        <f>'RAB Inputs'!G32</f>
        <v>12.377105725354388</v>
      </c>
      <c r="H39" s="41">
        <f>'RAB Inputs'!H32</f>
        <v>0</v>
      </c>
      <c r="I39" s="41">
        <f>'RAB Inputs'!I32</f>
        <v>0</v>
      </c>
      <c r="J39" s="41">
        <f>'RAB Inputs'!J32</f>
        <v>0</v>
      </c>
      <c r="K39" s="41">
        <f>'RAB Inputs'!K32</f>
        <v>0</v>
      </c>
      <c r="L39" s="41">
        <f>'RAB Inputs'!L32</f>
        <v>0</v>
      </c>
      <c r="M39" s="41">
        <f>'RAB Inputs'!M32</f>
        <v>0</v>
      </c>
      <c r="N39" s="41">
        <f>'RAB Inputs'!N32</f>
        <v>0</v>
      </c>
      <c r="O39" s="41">
        <f>'RAB Inputs'!O32</f>
        <v>0</v>
      </c>
      <c r="P39" s="41">
        <f>'RAB Inputs'!P32</f>
        <v>0</v>
      </c>
      <c r="Q39" s="41">
        <f>'RAB Inputs'!Q32</f>
        <v>0</v>
      </c>
      <c r="R39" s="41">
        <f>'RAB Inputs'!R32</f>
        <v>0</v>
      </c>
      <c r="S39" s="41">
        <f>'RAB Inputs'!S32</f>
        <v>0</v>
      </c>
      <c r="T39" s="41">
        <f>'RAB Inputs'!T32</f>
        <v>0</v>
      </c>
      <c r="U39" s="41">
        <f>'RAB Inputs'!U32</f>
        <v>0</v>
      </c>
      <c r="V39" s="41">
        <f>'RAB Inputs'!V32</f>
        <v>0</v>
      </c>
      <c r="W39" s="41">
        <f>'RAB Inputs'!W32</f>
        <v>0</v>
      </c>
      <c r="X39" s="41">
        <f>'RAB Inputs'!X32</f>
        <v>0</v>
      </c>
    </row>
    <row r="40" spans="1:26" x14ac:dyDescent="0.25">
      <c r="D40" s="29"/>
      <c r="E40" s="29"/>
      <c r="F40" s="29"/>
      <c r="G40" s="29"/>
      <c r="H40" s="29"/>
      <c r="I40" s="29"/>
      <c r="J40" s="29"/>
      <c r="K40" s="29"/>
      <c r="L40" s="29"/>
      <c r="M40" s="29"/>
      <c r="N40" s="29"/>
      <c r="O40" s="29"/>
      <c r="P40" s="29"/>
      <c r="Q40" s="29"/>
      <c r="R40" s="29"/>
      <c r="S40" s="29"/>
      <c r="T40" s="29"/>
      <c r="U40" s="29"/>
      <c r="V40" s="29"/>
      <c r="W40" s="29"/>
    </row>
    <row r="41" spans="1:26" ht="13" x14ac:dyDescent="0.3">
      <c r="A41" s="10" t="s">
        <v>194</v>
      </c>
    </row>
    <row r="42" spans="1:26" x14ac:dyDescent="0.25">
      <c r="A42" s="2" t="s">
        <v>193</v>
      </c>
      <c r="B42" s="1" t="s">
        <v>46</v>
      </c>
      <c r="C42" s="1" t="s">
        <v>47</v>
      </c>
      <c r="D42" s="29"/>
      <c r="E42" s="29"/>
      <c r="F42" s="29"/>
      <c r="G42" s="29"/>
      <c r="H42" s="29"/>
      <c r="I42" s="29"/>
      <c r="J42" s="29"/>
      <c r="K42" s="29"/>
      <c r="L42" s="29"/>
      <c r="M42" s="29"/>
      <c r="N42" s="29">
        <f>D27</f>
        <v>1087.0352574483547</v>
      </c>
      <c r="O42" s="29">
        <f>E27</f>
        <v>969.58812986881003</v>
      </c>
      <c r="P42" s="29">
        <f>F27</f>
        <v>678.2998887039688</v>
      </c>
      <c r="Q42" s="29">
        <f>G27</f>
        <v>1035.5856961398335</v>
      </c>
      <c r="R42" s="29">
        <f>H27</f>
        <v>1169.9988181476417</v>
      </c>
      <c r="S42" s="29"/>
      <c r="T42" s="29"/>
      <c r="U42" s="29"/>
      <c r="V42" s="29"/>
      <c r="W42" s="29"/>
    </row>
    <row r="43" spans="1:26" x14ac:dyDescent="0.25">
      <c r="D43" s="29"/>
      <c r="E43" s="29"/>
      <c r="F43" s="29"/>
      <c r="G43" s="29"/>
      <c r="H43" s="29"/>
      <c r="I43" s="29"/>
      <c r="J43" s="29"/>
      <c r="K43" s="29"/>
      <c r="L43" s="29"/>
      <c r="M43" s="29"/>
      <c r="N43" s="29"/>
      <c r="O43" s="29"/>
      <c r="P43" s="29"/>
      <c r="Q43" s="29"/>
      <c r="R43" s="29"/>
      <c r="S43" s="29"/>
      <c r="T43" s="29"/>
      <c r="U43" s="29"/>
      <c r="V43" s="29"/>
      <c r="W43" s="29"/>
    </row>
    <row r="44" spans="1:26" ht="13" x14ac:dyDescent="0.3">
      <c r="A44" s="16" t="s">
        <v>270</v>
      </c>
    </row>
    <row r="45" spans="1:26" x14ac:dyDescent="0.25">
      <c r="A45" s="2" t="s">
        <v>271</v>
      </c>
      <c r="B45" s="1" t="s">
        <v>46</v>
      </c>
      <c r="C45" s="1" t="s">
        <v>60</v>
      </c>
      <c r="D45" s="29"/>
      <c r="E45" s="29"/>
      <c r="F45" s="29"/>
      <c r="G45" s="29"/>
      <c r="H45" s="29"/>
      <c r="I45" s="29"/>
      <c r="J45" s="29"/>
      <c r="K45" s="29"/>
      <c r="L45" s="29"/>
      <c r="M45" s="29"/>
      <c r="N45" s="29"/>
      <c r="O45" s="29"/>
      <c r="P45" s="29"/>
      <c r="Q45" s="29"/>
      <c r="R45" s="29"/>
      <c r="S45" s="29">
        <f>'Cost Sharing'!D45/K7</f>
        <v>1607.7065233509113</v>
      </c>
      <c r="T45" s="29">
        <f>'Cost Sharing'!E45/L7</f>
        <v>3223.0138152498284</v>
      </c>
      <c r="U45" s="29">
        <f>'Cost Sharing'!F45/M7</f>
        <v>2519.5735303009892</v>
      </c>
      <c r="V45" s="29">
        <f>'Cost Sharing'!G45/N7</f>
        <v>2626.9686782433678</v>
      </c>
      <c r="W45" s="29">
        <f>'Cost Sharing'!H45/O7</f>
        <v>1480.0943</v>
      </c>
      <c r="X45" s="29">
        <f>'Cost Sharing'!I45/P7</f>
        <v>515.66000000000008</v>
      </c>
      <c r="Y45" s="29">
        <f>'Cost Sharing'!J45/Q7</f>
        <v>515.66000000000008</v>
      </c>
    </row>
    <row r="48" spans="1:26" ht="13" x14ac:dyDescent="0.3">
      <c r="A48" s="16" t="s">
        <v>61</v>
      </c>
      <c r="B48" s="26"/>
      <c r="C48" s="23" t="s">
        <v>44</v>
      </c>
      <c r="D48" s="32" t="s">
        <v>62</v>
      </c>
      <c r="E48" s="26" t="s">
        <v>47</v>
      </c>
      <c r="F48" s="26" t="s">
        <v>47</v>
      </c>
      <c r="G48" s="26" t="s">
        <v>47</v>
      </c>
      <c r="H48" s="26" t="s">
        <v>47</v>
      </c>
      <c r="I48" s="26" t="s">
        <v>47</v>
      </c>
      <c r="J48" s="26" t="s">
        <v>47</v>
      </c>
      <c r="K48" s="26" t="s">
        <v>47</v>
      </c>
      <c r="L48" s="26" t="s">
        <v>47</v>
      </c>
      <c r="M48" s="26" t="s">
        <v>47</v>
      </c>
      <c r="N48" s="26" t="s">
        <v>47</v>
      </c>
      <c r="O48" s="26" t="s">
        <v>47</v>
      </c>
      <c r="P48" s="26" t="s">
        <v>47</v>
      </c>
      <c r="Q48" s="26" t="s">
        <v>47</v>
      </c>
      <c r="R48" s="26" t="s">
        <v>47</v>
      </c>
      <c r="S48" s="26" t="s">
        <v>47</v>
      </c>
      <c r="T48" s="26" t="s">
        <v>60</v>
      </c>
      <c r="U48" s="26" t="s">
        <v>60</v>
      </c>
      <c r="V48" s="26" t="s">
        <v>60</v>
      </c>
      <c r="W48" s="26" t="s">
        <v>60</v>
      </c>
      <c r="X48" s="26" t="s">
        <v>60</v>
      </c>
      <c r="Y48" s="26" t="s">
        <v>60</v>
      </c>
      <c r="Z48" s="26" t="s">
        <v>60</v>
      </c>
    </row>
    <row r="49" spans="1:26" ht="13" x14ac:dyDescent="0.3">
      <c r="B49" s="26"/>
      <c r="C49" s="23" t="s">
        <v>63</v>
      </c>
      <c r="D49" s="24">
        <v>39386</v>
      </c>
      <c r="E49" s="24">
        <v>39538</v>
      </c>
      <c r="F49" s="24">
        <v>39721</v>
      </c>
      <c r="G49" s="24">
        <v>40086</v>
      </c>
      <c r="H49" s="24">
        <v>40268</v>
      </c>
      <c r="I49" s="24">
        <v>40451</v>
      </c>
      <c r="J49" s="24">
        <v>40816</v>
      </c>
      <c r="K49" s="24">
        <v>41182</v>
      </c>
      <c r="L49" s="24">
        <v>41547</v>
      </c>
      <c r="M49" s="24">
        <v>41912</v>
      </c>
      <c r="N49" s="24">
        <v>42277</v>
      </c>
      <c r="O49" s="24">
        <v>42643</v>
      </c>
      <c r="P49" s="24">
        <v>43008</v>
      </c>
      <c r="Q49" s="24">
        <v>43373</v>
      </c>
      <c r="R49" s="24">
        <v>43738</v>
      </c>
      <c r="S49" s="24">
        <v>44104</v>
      </c>
      <c r="T49" s="24">
        <v>44469</v>
      </c>
      <c r="U49" s="24">
        <v>44834</v>
      </c>
      <c r="V49" s="24">
        <v>45199</v>
      </c>
      <c r="W49" s="24">
        <v>45565</v>
      </c>
      <c r="X49" s="24">
        <v>45930</v>
      </c>
      <c r="Y49" s="24">
        <v>46295</v>
      </c>
      <c r="Z49" s="24">
        <v>46660</v>
      </c>
    </row>
    <row r="50" spans="1:26" ht="13" x14ac:dyDescent="0.3">
      <c r="B50" s="26"/>
      <c r="C50" s="23" t="s">
        <v>64</v>
      </c>
      <c r="D50" s="32" t="s">
        <v>62</v>
      </c>
      <c r="E50" s="33">
        <f t="shared" ref="E50:Z50" si="8">MAX(0,(YEAR(E49)-YEAR(D49))*12+(MONTH(E49)-MONTH(D49)))</f>
        <v>5</v>
      </c>
      <c r="F50" s="33">
        <f t="shared" si="8"/>
        <v>6</v>
      </c>
      <c r="G50" s="33">
        <f t="shared" si="8"/>
        <v>12</v>
      </c>
      <c r="H50" s="33">
        <f t="shared" si="8"/>
        <v>6</v>
      </c>
      <c r="I50" s="33">
        <f t="shared" si="8"/>
        <v>6</v>
      </c>
      <c r="J50" s="33">
        <f t="shared" si="8"/>
        <v>12</v>
      </c>
      <c r="K50" s="33">
        <f t="shared" si="8"/>
        <v>12</v>
      </c>
      <c r="L50" s="33">
        <f t="shared" si="8"/>
        <v>12</v>
      </c>
      <c r="M50" s="33">
        <f t="shared" si="8"/>
        <v>12</v>
      </c>
      <c r="N50" s="33">
        <f t="shared" si="8"/>
        <v>12</v>
      </c>
      <c r="O50" s="33">
        <f t="shared" si="8"/>
        <v>12</v>
      </c>
      <c r="P50" s="33">
        <f t="shared" si="8"/>
        <v>12</v>
      </c>
      <c r="Q50" s="33">
        <f t="shared" si="8"/>
        <v>12</v>
      </c>
      <c r="R50" s="33">
        <f t="shared" si="8"/>
        <v>12</v>
      </c>
      <c r="S50" s="33">
        <f t="shared" si="8"/>
        <v>12</v>
      </c>
      <c r="T50" s="33">
        <f t="shared" si="8"/>
        <v>12</v>
      </c>
      <c r="U50" s="33">
        <f t="shared" si="8"/>
        <v>12</v>
      </c>
      <c r="V50" s="33">
        <f t="shared" si="8"/>
        <v>12</v>
      </c>
      <c r="W50" s="33">
        <f t="shared" si="8"/>
        <v>12</v>
      </c>
      <c r="X50" s="33">
        <f t="shared" si="8"/>
        <v>12</v>
      </c>
      <c r="Y50" s="33">
        <f t="shared" si="8"/>
        <v>12</v>
      </c>
      <c r="Z50" s="33">
        <f t="shared" si="8"/>
        <v>12</v>
      </c>
    </row>
    <row r="51" spans="1:26" ht="13" x14ac:dyDescent="0.3">
      <c r="A51" s="16"/>
      <c r="B51" s="26"/>
      <c r="C51" s="26"/>
      <c r="D51" s="30"/>
      <c r="E51" s="34"/>
      <c r="F51" s="34"/>
      <c r="G51" s="34"/>
      <c r="H51" s="34"/>
      <c r="I51" s="34"/>
      <c r="J51" s="34"/>
      <c r="K51" s="34"/>
      <c r="L51" s="34"/>
      <c r="M51" s="34"/>
      <c r="N51" s="34"/>
      <c r="O51" s="34"/>
      <c r="P51" s="34"/>
      <c r="Q51" s="34"/>
      <c r="R51" s="34"/>
      <c r="S51" s="34"/>
      <c r="T51" s="34"/>
      <c r="U51" s="34"/>
      <c r="V51" s="34"/>
      <c r="W51" s="34"/>
      <c r="X51" s="34"/>
      <c r="Y51" s="34"/>
      <c r="Z51" s="34"/>
    </row>
    <row r="52" spans="1:26" ht="13" x14ac:dyDescent="0.3">
      <c r="A52" s="16" t="s">
        <v>65</v>
      </c>
      <c r="B52" s="20" t="s">
        <v>33</v>
      </c>
      <c r="C52" s="20"/>
      <c r="D52" s="26"/>
      <c r="E52" s="26"/>
      <c r="F52" s="26"/>
      <c r="G52" s="26"/>
      <c r="H52" s="26"/>
      <c r="I52" s="26"/>
      <c r="J52" s="26"/>
      <c r="K52" s="26"/>
      <c r="L52" s="26"/>
      <c r="M52" s="26"/>
      <c r="N52" s="26"/>
      <c r="O52" s="26"/>
      <c r="P52" s="26"/>
      <c r="Q52" s="26"/>
      <c r="R52" s="26"/>
      <c r="S52" s="26"/>
      <c r="T52" s="26"/>
      <c r="U52" s="26"/>
      <c r="V52" s="26"/>
      <c r="W52" s="26"/>
      <c r="X52" s="26"/>
      <c r="Y52" s="26"/>
      <c r="Z52" s="26"/>
    </row>
    <row r="53" spans="1:26" x14ac:dyDescent="0.25">
      <c r="A53" s="35" t="s">
        <v>66</v>
      </c>
      <c r="B53" s="1" t="s">
        <v>46</v>
      </c>
      <c r="D53" s="36"/>
      <c r="E53" s="36">
        <f t="shared" ref="E53:N53" si="9">D37</f>
        <v>687.15121839654023</v>
      </c>
      <c r="F53" s="36">
        <f t="shared" si="9"/>
        <v>827.64373752494998</v>
      </c>
      <c r="G53" s="36">
        <f t="shared" si="9"/>
        <v>1656.5634231536922</v>
      </c>
      <c r="H53" s="36">
        <f t="shared" si="9"/>
        <v>828.28171157684608</v>
      </c>
      <c r="I53" s="36">
        <f t="shared" si="9"/>
        <v>1034.5546719061877</v>
      </c>
      <c r="J53" s="36">
        <f t="shared" si="9"/>
        <v>2069.1093438123753</v>
      </c>
      <c r="K53" s="36">
        <f t="shared" si="9"/>
        <v>2069.1093438123753</v>
      </c>
      <c r="L53" s="36">
        <f t="shared" si="9"/>
        <v>2069.1093438123753</v>
      </c>
      <c r="M53" s="36">
        <f t="shared" si="9"/>
        <v>2069.1093438123753</v>
      </c>
      <c r="N53" s="36">
        <f t="shared" si="9"/>
        <v>2069.1093438123753</v>
      </c>
      <c r="O53" s="36">
        <v>1173.1332688789171</v>
      </c>
      <c r="P53" s="36"/>
      <c r="Q53" s="36"/>
      <c r="R53" s="36"/>
      <c r="S53" s="36"/>
      <c r="T53" s="36"/>
      <c r="U53" s="37"/>
      <c r="V53" s="37"/>
      <c r="W53" s="37"/>
      <c r="X53" s="37"/>
    </row>
    <row r="54" spans="1:26" x14ac:dyDescent="0.25">
      <c r="A54" s="38">
        <v>39538</v>
      </c>
      <c r="B54" s="1" t="s">
        <v>46</v>
      </c>
      <c r="D54" s="37"/>
      <c r="E54" s="36">
        <f t="shared" ref="E54:N54" si="10">$D34/12*E$50/D$18</f>
        <v>88.199301859542004</v>
      </c>
      <c r="F54" s="36">
        <f t="shared" si="10"/>
        <v>105.8391622314504</v>
      </c>
      <c r="G54" s="36">
        <f t="shared" si="10"/>
        <v>211.6783244629008</v>
      </c>
      <c r="H54" s="36">
        <f t="shared" si="10"/>
        <v>105.8391622314504</v>
      </c>
      <c r="I54" s="36">
        <f t="shared" si="10"/>
        <v>132.29895278931301</v>
      </c>
      <c r="J54" s="36">
        <f t="shared" si="10"/>
        <v>264.59790557862601</v>
      </c>
      <c r="K54" s="36">
        <f t="shared" si="10"/>
        <v>264.59790557862601</v>
      </c>
      <c r="L54" s="36">
        <f t="shared" si="10"/>
        <v>264.59790557862601</v>
      </c>
      <c r="M54" s="36">
        <f t="shared" si="10"/>
        <v>264.59790557862601</v>
      </c>
      <c r="N54" s="36">
        <f t="shared" si="10"/>
        <v>264.59790557862601</v>
      </c>
      <c r="O54" s="36">
        <f>$D34-SUM(E54:N54)</f>
        <v>149.93881316122111</v>
      </c>
      <c r="P54" s="36"/>
      <c r="Q54" s="36"/>
      <c r="R54" s="36"/>
      <c r="S54" s="36"/>
      <c r="T54" s="36"/>
      <c r="U54" s="37"/>
      <c r="V54" s="37"/>
      <c r="W54" s="37"/>
      <c r="X54" s="37"/>
    </row>
    <row r="55" spans="1:26" x14ac:dyDescent="0.25">
      <c r="A55" s="38">
        <v>39721</v>
      </c>
      <c r="B55" s="1" t="s">
        <v>46</v>
      </c>
      <c r="D55" s="37"/>
      <c r="E55" s="36"/>
      <c r="F55" s="36">
        <f t="shared" ref="F55:N55" si="11">$E34/12*F$50/E$18</f>
        <v>63.134007108545028</v>
      </c>
      <c r="G55" s="36">
        <f t="shared" si="11"/>
        <v>126.26801421709006</v>
      </c>
      <c r="H55" s="36">
        <f t="shared" si="11"/>
        <v>63.134007108545028</v>
      </c>
      <c r="I55" s="36">
        <f t="shared" si="11"/>
        <v>78.917508885681286</v>
      </c>
      <c r="J55" s="36">
        <f t="shared" si="11"/>
        <v>157.83501777136257</v>
      </c>
      <c r="K55" s="36">
        <f t="shared" si="11"/>
        <v>157.83501777136257</v>
      </c>
      <c r="L55" s="36">
        <f t="shared" si="11"/>
        <v>157.83501777136257</v>
      </c>
      <c r="M55" s="36">
        <f t="shared" si="11"/>
        <v>157.83501777136257</v>
      </c>
      <c r="N55" s="36">
        <f t="shared" si="11"/>
        <v>157.83501777136257</v>
      </c>
      <c r="O55" s="36">
        <f>$E34-SUM(E55:N55)</f>
        <v>142.05151599422629</v>
      </c>
      <c r="P55" s="36"/>
      <c r="Q55" s="36"/>
      <c r="R55" s="36"/>
      <c r="S55" s="36"/>
      <c r="T55" s="36"/>
      <c r="U55" s="37"/>
      <c r="V55" s="37"/>
      <c r="W55" s="37"/>
      <c r="X55" s="37"/>
    </row>
    <row r="56" spans="1:26" x14ac:dyDescent="0.25">
      <c r="A56" s="38">
        <v>40086</v>
      </c>
      <c r="B56" s="1" t="s">
        <v>46</v>
      </c>
      <c r="D56" s="37"/>
      <c r="E56" s="36"/>
      <c r="F56" s="36"/>
      <c r="G56" s="36">
        <f t="shared" ref="G56:N56" si="12">$F34/12*G$50/F$18</f>
        <v>234.61860374137109</v>
      </c>
      <c r="H56" s="36">
        <f t="shared" si="12"/>
        <v>117.30930187068554</v>
      </c>
      <c r="I56" s="36">
        <f t="shared" si="12"/>
        <v>146.63662733835693</v>
      </c>
      <c r="J56" s="36">
        <f t="shared" si="12"/>
        <v>293.27325467671386</v>
      </c>
      <c r="K56" s="36">
        <f t="shared" si="12"/>
        <v>293.27325467671386</v>
      </c>
      <c r="L56" s="36">
        <f t="shared" si="12"/>
        <v>293.27325467671386</v>
      </c>
      <c r="M56" s="36">
        <f t="shared" si="12"/>
        <v>293.27325467671386</v>
      </c>
      <c r="N56" s="36">
        <f t="shared" si="12"/>
        <v>293.27325467671386</v>
      </c>
      <c r="O56" s="36">
        <f>$F34-SUM(E56:N56)</f>
        <v>381.25523107972822</v>
      </c>
      <c r="P56" s="36"/>
      <c r="Q56" s="36"/>
      <c r="R56" s="36"/>
      <c r="S56" s="36"/>
      <c r="T56" s="36"/>
      <c r="U56" s="36"/>
      <c r="V56" s="36"/>
      <c r="W56" s="36"/>
      <c r="X56" s="36"/>
    </row>
    <row r="57" spans="1:26" x14ac:dyDescent="0.25">
      <c r="A57" s="38" t="s">
        <v>67</v>
      </c>
      <c r="B57" s="1" t="s">
        <v>46</v>
      </c>
      <c r="D57" s="39"/>
      <c r="E57" s="36"/>
      <c r="F57" s="36"/>
      <c r="G57" s="36">
        <f>F38</f>
        <v>71.046407396004938</v>
      </c>
      <c r="H57" s="36">
        <f>G38</f>
        <v>65.423293489312812</v>
      </c>
      <c r="I57" s="36">
        <f t="shared" ref="I57:O57" si="13">$F35/12*I$50/H$18</f>
        <v>81.779116861641029</v>
      </c>
      <c r="J57" s="36">
        <f t="shared" si="13"/>
        <v>163.55823372328206</v>
      </c>
      <c r="K57" s="36">
        <f t="shared" si="13"/>
        <v>163.55823372328206</v>
      </c>
      <c r="L57" s="36">
        <f t="shared" si="13"/>
        <v>163.55823372328206</v>
      </c>
      <c r="M57" s="36">
        <f t="shared" si="13"/>
        <v>163.55823372328206</v>
      </c>
      <c r="N57" s="36">
        <f t="shared" si="13"/>
        <v>163.55823372328206</v>
      </c>
      <c r="O57" s="36">
        <f t="shared" si="13"/>
        <v>261.6931739572513</v>
      </c>
      <c r="P57" s="36">
        <f>$F35-SUM(F57:O57)</f>
        <v>10.73270946563639</v>
      </c>
      <c r="Q57" s="36"/>
      <c r="R57" s="36"/>
      <c r="S57" s="36"/>
      <c r="T57" s="36"/>
      <c r="U57" s="36"/>
      <c r="V57" s="36"/>
      <c r="W57" s="36"/>
      <c r="X57" s="36"/>
    </row>
    <row r="58" spans="1:26" x14ac:dyDescent="0.25">
      <c r="A58" s="38">
        <v>40268</v>
      </c>
      <c r="B58" s="1" t="s">
        <v>46</v>
      </c>
      <c r="D58" s="37"/>
      <c r="E58" s="36"/>
      <c r="F58" s="36"/>
      <c r="G58" s="36"/>
      <c r="H58" s="36">
        <f t="shared" ref="H58:O58" si="14">$G34/12*H$50/G$18</f>
        <v>73.315049144529596</v>
      </c>
      <c r="I58" s="36">
        <f t="shared" si="14"/>
        <v>91.643811430661998</v>
      </c>
      <c r="J58" s="36">
        <f t="shared" si="14"/>
        <v>183.287622861324</v>
      </c>
      <c r="K58" s="36">
        <f t="shared" si="14"/>
        <v>183.287622861324</v>
      </c>
      <c r="L58" s="36">
        <f t="shared" si="14"/>
        <v>183.287622861324</v>
      </c>
      <c r="M58" s="36">
        <f t="shared" si="14"/>
        <v>183.287622861324</v>
      </c>
      <c r="N58" s="36">
        <f t="shared" si="14"/>
        <v>183.287622861324</v>
      </c>
      <c r="O58" s="36">
        <f t="shared" si="14"/>
        <v>293.26019657811838</v>
      </c>
      <c r="P58" s="36">
        <f>$G34-SUM(F58:O58)</f>
        <v>91.643811430661799</v>
      </c>
      <c r="Q58" s="36"/>
      <c r="R58" s="36"/>
      <c r="S58" s="36"/>
      <c r="T58" s="36"/>
      <c r="U58" s="36"/>
      <c r="V58" s="36"/>
      <c r="W58" s="36"/>
      <c r="X58" s="36"/>
    </row>
    <row r="59" spans="1:26" x14ac:dyDescent="0.25">
      <c r="A59" s="38" t="s">
        <v>68</v>
      </c>
      <c r="B59" s="1" t="s">
        <v>46</v>
      </c>
      <c r="D59" s="39"/>
      <c r="E59" s="36"/>
      <c r="F59" s="36"/>
      <c r="G59" s="36"/>
      <c r="H59" s="36">
        <f>G39</f>
        <v>12.377105725354388</v>
      </c>
      <c r="I59" s="36">
        <f t="shared" ref="I59:O59" si="15">$G35/12*I$50/H$18</f>
        <v>98.054527614252095</v>
      </c>
      <c r="J59" s="36">
        <f t="shared" si="15"/>
        <v>196.10905522850419</v>
      </c>
      <c r="K59" s="36">
        <f t="shared" si="15"/>
        <v>196.10905522850419</v>
      </c>
      <c r="L59" s="36">
        <f t="shared" si="15"/>
        <v>196.10905522850419</v>
      </c>
      <c r="M59" s="36">
        <f t="shared" si="15"/>
        <v>196.10905522850419</v>
      </c>
      <c r="N59" s="36">
        <f t="shared" si="15"/>
        <v>196.10905522850419</v>
      </c>
      <c r="O59" s="36">
        <f t="shared" si="15"/>
        <v>313.77448836560671</v>
      </c>
      <c r="P59" s="36">
        <f>$G35-SUM(F59:O59)</f>
        <v>164.12104398029965</v>
      </c>
      <c r="Q59" s="36"/>
      <c r="R59" s="36"/>
      <c r="S59" s="36"/>
      <c r="T59" s="36"/>
      <c r="U59" s="36"/>
      <c r="V59" s="36"/>
      <c r="W59" s="36"/>
      <c r="X59" s="36"/>
    </row>
    <row r="60" spans="1:26" x14ac:dyDescent="0.25">
      <c r="A60" s="38">
        <v>40451</v>
      </c>
      <c r="B60" s="1" t="s">
        <v>46</v>
      </c>
      <c r="D60" s="37"/>
      <c r="E60" s="36"/>
      <c r="F60" s="36"/>
      <c r="G60" s="36"/>
      <c r="H60" s="36"/>
      <c r="I60" s="36">
        <f>$H36/12*I$50/H$18/2</f>
        <v>32.744347508976659</v>
      </c>
      <c r="J60" s="36">
        <f>$H36/12*J$50/I$18</f>
        <v>130.97739003590664</v>
      </c>
      <c r="K60" s="36">
        <f>$H36/12*K$50/J$18</f>
        <v>130.97739003590664</v>
      </c>
      <c r="L60" s="36">
        <f>$H36/12*L$50/K$18</f>
        <v>130.97739003590664</v>
      </c>
      <c r="M60" s="36">
        <f>$H36/12*M$50/L$18</f>
        <v>130.97739003590664</v>
      </c>
      <c r="N60" s="36">
        <f>$H36/12*N$50/M$18</f>
        <v>130.97739003590664</v>
      </c>
      <c r="O60" s="36">
        <f>IF($H36-SUM($G60:N60)&lt;=0,0,IF($H36-SUM($G60:N60)&lt;$H36/12*O$50/N$18,$H36-SUM($G60:N60),$H36/12*O$50/N$18))</f>
        <v>209.56382405745063</v>
      </c>
      <c r="P60" s="36">
        <f>IF($H36-SUM($G60:O60)&lt;=0,0,IF($H36-SUM($G60:O60)&lt;$H36/12*P$50/O$18,$H36-SUM($G60:O60),$H36/12*P$50/O$18))</f>
        <v>150.62399854129262</v>
      </c>
      <c r="Q60" s="36">
        <f>IF($H36-SUM($G60:P60)&lt;=0,0,IF($H36-SUM($G60:P60)&lt;$H36/12*Q$50/P$18,$H36-SUM($G60:P60),$H36/12*Q$50/P$18))</f>
        <v>0</v>
      </c>
      <c r="R60" s="36">
        <f>IF($H36-SUM($G60:Q60)&lt;=0,0,IF($H36-SUM($G60:Q60)&lt;$H36/12*R$50/Q$18,$H36-SUM($G60:Q60),$H36/12*R$50/Q$18))</f>
        <v>0</v>
      </c>
      <c r="S60" s="36">
        <f>IF($H36-SUM($G60:R60)&lt;=0,0,IF($H36-SUM($G60:R60)&lt;$H36/12*S$50/R$18,$H36-SUM($G60:R60),$H36/12*S$50/R$18))</f>
        <v>0</v>
      </c>
      <c r="T60" s="36"/>
      <c r="U60" s="36"/>
      <c r="V60" s="36"/>
      <c r="W60" s="36"/>
      <c r="X60" s="36"/>
    </row>
    <row r="61" spans="1:26" x14ac:dyDescent="0.25">
      <c r="A61" s="38">
        <v>40816</v>
      </c>
      <c r="B61" s="1" t="s">
        <v>46</v>
      </c>
      <c r="D61" s="37"/>
      <c r="E61" s="36"/>
      <c r="F61" s="36"/>
      <c r="G61" s="36"/>
      <c r="H61" s="36"/>
      <c r="I61" s="36"/>
      <c r="J61" s="36">
        <f>$I36/12*J$50/I$18/2</f>
        <v>63.336821140035894</v>
      </c>
      <c r="K61" s="36">
        <f>$I36/12*K$50/J$18</f>
        <v>126.67364228007179</v>
      </c>
      <c r="L61" s="36">
        <f>$I36/12*L$50/K$18</f>
        <v>126.67364228007179</v>
      </c>
      <c r="M61" s="36">
        <f>$I36/12*M$50/L$18</f>
        <v>126.67364228007179</v>
      </c>
      <c r="N61" s="36">
        <f>$I36/12*N$50/M$18</f>
        <v>126.67364228007179</v>
      </c>
      <c r="O61" s="36">
        <f>IF($I36-SUM($G61:N61)&lt;=0,0,IF($I36-SUM($G61:N61)&lt;$I36/12*O$50/N$18,$I36-SUM($G61:N61),$I36/12*O$50/N$18))</f>
        <v>202.67782764811486</v>
      </c>
      <c r="P61" s="36">
        <f>IF($I36-SUM($G61:O61)&lt;=0,0,IF($I36-SUM($G61:O61)&lt;$I36/12*P$50/O$18,$I36-SUM($G61:O61),$I36/12*P$50/O$18))</f>
        <v>202.67782764811486</v>
      </c>
      <c r="Q61" s="36">
        <f>IF($I36-SUM($G61:P61)&lt;=0,0,IF($I36-SUM($G61:P61)&lt;$I36/12*Q$50/P$18,$I36-SUM($G61:P61),$I36/12*Q$50/P$18))</f>
        <v>38.002092684021591</v>
      </c>
      <c r="R61" s="36">
        <f>IF($I36-SUM($G61:Q61)&lt;=0,0,IF($I36-SUM($G61:Q61)&lt;$I36/12*R$50/Q$18,$I36-SUM($G61:Q61),$I36/12*R$50/Q$18))</f>
        <v>0</v>
      </c>
      <c r="S61" s="36">
        <f>IF($I36-SUM($G61:R61)&lt;=0,0,IF($I36-SUM($G61:R61)&lt;$I36/12*S$50/R$18,$I36-SUM($G61:R61),$I36/12*S$50/R$18))</f>
        <v>0</v>
      </c>
      <c r="T61" s="36"/>
      <c r="U61" s="36"/>
      <c r="V61" s="36"/>
      <c r="W61" s="36"/>
      <c r="X61" s="36"/>
    </row>
    <row r="62" spans="1:26" x14ac:dyDescent="0.25">
      <c r="A62" s="38">
        <v>41182</v>
      </c>
      <c r="B62" s="1" t="s">
        <v>46</v>
      </c>
      <c r="D62" s="37"/>
      <c r="E62" s="36"/>
      <c r="F62" s="36"/>
      <c r="G62" s="36"/>
      <c r="H62" s="36"/>
      <c r="I62" s="36"/>
      <c r="J62" s="36"/>
      <c r="K62" s="36">
        <f>$J36/12*K$50/J$18/2</f>
        <v>85.35766382405744</v>
      </c>
      <c r="L62" s="36">
        <f>$J36/12*L$50/K$18</f>
        <v>170.71532764811488</v>
      </c>
      <c r="M62" s="36">
        <f>$J36/12*M$50/L$18</f>
        <v>170.71532764811488</v>
      </c>
      <c r="N62" s="36">
        <f>$J36/12*N$50/M$18</f>
        <v>170.71532764811488</v>
      </c>
      <c r="O62" s="36">
        <f>IF($J36-SUM($G62:N62)&lt;=0,0,IF($J36-SUM($G62:N62)&lt;$J36/12*O$50/N$18,$J36-SUM($G62:N62),$J36/12*O$50/N$18))</f>
        <v>273.14452423698378</v>
      </c>
      <c r="P62" s="36">
        <f>IF($J36-SUM($G62:O62)&lt;=0,0,IF($J36-SUM($G62:O62)&lt;$J36/12*P$50/O$18,$J36-SUM($G62:O62),$J36/12*P$50/O$18))</f>
        <v>273.14452423698378</v>
      </c>
      <c r="Q62" s="36">
        <f>IF($J36-SUM($G62:P62)&lt;=0,0,IF($J36-SUM($G62:P62)&lt;$J36/12*Q$50/P$18,$J36-SUM($G62:P62),$J36/12*Q$50/P$18))</f>
        <v>221.92992594254952</v>
      </c>
      <c r="R62" s="36">
        <f>IF($J36-SUM($G62:Q62)&lt;=0,0,IF($J36-SUM($G62:Q62)&lt;$J36/12*R$50/Q$18,$J36-SUM($G62:Q62),$J36/12*R$50/Q$18))</f>
        <v>0</v>
      </c>
      <c r="S62" s="36">
        <f>IF($J36-SUM($G62:R62)&lt;=0,0,IF($J36-SUM($G62:R62)&lt;$J36/12*S$50/R$18,$J36-SUM($G62:R62),$J36/12*S$50/R$18))</f>
        <v>0</v>
      </c>
      <c r="T62" s="36"/>
      <c r="U62" s="36"/>
      <c r="V62" s="36"/>
      <c r="W62" s="36"/>
      <c r="X62" s="36"/>
    </row>
    <row r="63" spans="1:26" x14ac:dyDescent="0.25">
      <c r="A63" s="38">
        <v>41547</v>
      </c>
      <c r="B63" s="1" t="s">
        <v>46</v>
      </c>
      <c r="D63" s="37"/>
      <c r="E63" s="36"/>
      <c r="F63" s="36"/>
      <c r="G63" s="36"/>
      <c r="H63" s="36"/>
      <c r="I63" s="36"/>
      <c r="J63" s="36"/>
      <c r="K63" s="36"/>
      <c r="L63" s="36">
        <f>$K36/12*L$50/K$18/2</f>
        <v>17.573636669658885</v>
      </c>
      <c r="M63" s="36">
        <f>$K36/12*M$50/L$18</f>
        <v>35.147273339317771</v>
      </c>
      <c r="N63" s="36">
        <f>$K36/12*N$50/M$18</f>
        <v>35.147273339317771</v>
      </c>
      <c r="O63" s="36">
        <f>IF($K36-SUM($G63:N63)&lt;=0,0,IF($K36-SUM($G63:N63)&lt;$K36/12*O$50/N$18,$K36-SUM($G63:N63),$K36/12*O$50/N$18))</f>
        <v>56.235637342908433</v>
      </c>
      <c r="P63" s="36">
        <f>IF($K36-SUM($G63:O63)&lt;=0,0,IF($K36-SUM($G63:O63)&lt;$K36/12*P$50/O$18,$K36-SUM($G63:O63),$K36/12*P$50/O$18))</f>
        <v>56.235637342908433</v>
      </c>
      <c r="Q63" s="36">
        <f>IF($K36-SUM($G63:P63)&lt;=0,0,IF($K36-SUM($G63:P63)&lt;$K36/12*Q$50/P$18,$K36-SUM($G63:P63),$K36/12*Q$50/P$18))</f>
        <v>56.235637342908433</v>
      </c>
      <c r="R63" s="36">
        <f>IF($K36-SUM($G63:Q63)&lt;=0,0,IF($K36-SUM($G63:Q63)&lt;$K36/12*R$50/Q$18,$K36-SUM($G63:Q63),$K36/12*R$50/Q$18))</f>
        <v>24.603091337522471</v>
      </c>
      <c r="S63" s="36">
        <f>IF($K36-SUM($G63:R63)&lt;=0,0,IF($K36-SUM($G63:R63)&lt;$K36/12*S$50/R$18,$K36-SUM($G63:R63),$K36/12*S$50/R$18))</f>
        <v>0</v>
      </c>
      <c r="T63" s="36"/>
      <c r="U63" s="36"/>
      <c r="V63" s="36"/>
      <c r="W63" s="36"/>
      <c r="X63" s="36"/>
    </row>
    <row r="64" spans="1:26" x14ac:dyDescent="0.25">
      <c r="A64" s="38">
        <v>41912</v>
      </c>
      <c r="B64" s="1" t="s">
        <v>46</v>
      </c>
      <c r="D64" s="37"/>
      <c r="E64" s="36"/>
      <c r="F64" s="36"/>
      <c r="G64" s="36"/>
      <c r="H64" s="36"/>
      <c r="I64" s="36"/>
      <c r="J64" s="36"/>
      <c r="K64" s="36"/>
      <c r="L64" s="36"/>
      <c r="M64" s="36">
        <f>$L36/12*M$50/L$18/2</f>
        <v>99.344844030520619</v>
      </c>
      <c r="N64" s="36">
        <f>$L36/12*N$50/M$18</f>
        <v>198.68968806104124</v>
      </c>
      <c r="O64" s="36">
        <f>IF($L36-SUM($G64:N64)&lt;=0,0,IF($L36-SUM($G64:N64)&lt;$L36/12*O$50/N$18,$L36-SUM($G64:N64),$L36/12*O$50/N$18))</f>
        <v>317.90350089766599</v>
      </c>
      <c r="P64" s="36">
        <f>IF($L36-SUM($G64:O64)&lt;=0,0,IF($L36-SUM($G64:O64)&lt;$L36/12*P$50/O$18,$L36-SUM($G64:O64),$L36/12*P$50/O$18))</f>
        <v>317.90350089766599</v>
      </c>
      <c r="Q64" s="36">
        <f>IF($L36-SUM($G64:P64)&lt;=0,0,IF($L36-SUM($G64:P64)&lt;$L36/12*Q$50/P$18,$L36-SUM($G64:P64),$L36/12*Q$50/P$18))</f>
        <v>317.90350089766599</v>
      </c>
      <c r="R64" s="36">
        <f>IF($L36-SUM($G64:Q64)&lt;=0,0,IF($L36-SUM($G64:Q64)&lt;$L36/12*R$50/Q$18,$L36-SUM($G64:Q64),$L36/12*R$50/Q$18))</f>
        <v>317.90350089766599</v>
      </c>
      <c r="S64" s="36">
        <f>IF($L36-SUM($G64:R64)&lt;=0,0,IF($L36-SUM($G64:R64)&lt;$L36/12*S$50/R$18,$L36-SUM($G64:R64),$L36/12*S$50/R$18))</f>
        <v>19.868968806104476</v>
      </c>
      <c r="T64" s="36"/>
      <c r="U64" s="36"/>
      <c r="V64" s="36"/>
      <c r="W64" s="36"/>
      <c r="X64" s="36"/>
    </row>
    <row r="65" spans="1:26" x14ac:dyDescent="0.25">
      <c r="A65" s="38">
        <v>42277</v>
      </c>
      <c r="B65" s="1" t="s">
        <v>46</v>
      </c>
      <c r="D65" s="37"/>
      <c r="E65" s="36"/>
      <c r="F65" s="36"/>
      <c r="G65" s="36"/>
      <c r="H65" s="36"/>
      <c r="I65" s="36"/>
      <c r="J65" s="36"/>
      <c r="K65" s="36"/>
      <c r="L65" s="36"/>
      <c r="M65" s="36"/>
      <c r="N65" s="36">
        <f>$M36/12*N$50/M$18/2</f>
        <v>26.181132181328543</v>
      </c>
      <c r="O65" s="36">
        <f>IF($M36-SUM($G65:N65)&lt;=0,0,IF($M36-SUM($G65:N65)&lt;$M36/12*O$50/N$18,$M36-SUM($G65:N65),$M36/12*O$50/N$18))</f>
        <v>83.779622980251332</v>
      </c>
      <c r="P65" s="36">
        <f>IF($M36-SUM($G65:O65)&lt;=0,0,IF($M36-SUM($G65:O65)&lt;$M36/12*P$50/O$18,$M36-SUM($G65:O65),$M36/12*P$50/O$18))</f>
        <v>83.779622980251332</v>
      </c>
      <c r="Q65" s="36">
        <f>IF($M36-SUM($G65:P65)&lt;=0,0,IF($M36-SUM($G65:P65)&lt;$M36/12*Q$50/P$18,$M36-SUM($G65:P65),$M36/12*Q$50/P$18))</f>
        <v>83.779622980251332</v>
      </c>
      <c r="R65" s="36">
        <f>IF($M36-SUM($G65:Q65)&lt;=0,0,IF($M36-SUM($G65:Q65)&lt;$M36/12*R$50/Q$18,$M36-SUM($G65:Q65),$M36/12*R$50/Q$18))</f>
        <v>83.779622980251332</v>
      </c>
      <c r="S65" s="36">
        <f>IF($M36-SUM($G65:R65)&lt;=0,0,IF($M36-SUM($G65:R65)&lt;$M36/12*S$50/R$18,$M36-SUM($G65:R65),$M36/12*S$50/R$18))</f>
        <v>57.598490798922853</v>
      </c>
      <c r="T65" s="36"/>
      <c r="U65" s="36"/>
      <c r="V65" s="36"/>
      <c r="W65" s="36"/>
      <c r="X65" s="36"/>
    </row>
    <row r="66" spans="1:26" x14ac:dyDescent="0.25">
      <c r="A66" s="38">
        <v>42643</v>
      </c>
      <c r="B66" s="1" t="s">
        <v>46</v>
      </c>
      <c r="D66" s="36"/>
      <c r="E66" s="36"/>
      <c r="F66" s="36"/>
      <c r="G66" s="36"/>
      <c r="H66" s="36"/>
      <c r="I66" s="36"/>
      <c r="J66" s="36"/>
      <c r="K66" s="36"/>
      <c r="L66" s="36"/>
      <c r="M66" s="36"/>
      <c r="N66" s="36"/>
      <c r="O66" s="36">
        <f>0.5*IF($N42-SUM($N66:N66)&lt;=0,0,IF($N42-SUM($N66:N66)&lt;$N42/12*O$50/N$18,$N42-SUM($N66:N66),$N42/12*O$50/N$18))</f>
        <v>108.70352574483547</v>
      </c>
      <c r="P66" s="36">
        <f>IF($N42-SUM($N66:O66)&lt;=0,0,IF($N42-SUM($N66:O66)&lt;$N42/12*P$50/O$18,$N42-SUM($N66:O66),$N42/12*P$50/O$18))</f>
        <v>217.40705148967095</v>
      </c>
      <c r="Q66" s="36">
        <f>IF($N42-SUM($N66:P66)&lt;=0,0,IF($N42-SUM($N66:P66)&lt;$N42/12*Q$50/P$18,$N42-SUM($N66:P66),$N42/12*Q$50/P$18))</f>
        <v>217.40705148967095</v>
      </c>
      <c r="R66" s="36">
        <f>IF($N42-SUM($N66:Q66)&lt;=0,0,IF($N42-SUM($N66:Q66)&lt;$N42/12*R$50/Q$18,$N42-SUM($N66:Q66),$N42/12*R$50/Q$18))</f>
        <v>217.40705148967095</v>
      </c>
      <c r="S66" s="36">
        <f>IF($N42-SUM($N66:R66)&lt;=0,0,IF($N42-SUM($N66:R66)&lt;$N42/12*S$50/R$18,$N42-SUM($N66:R66),$N42/12*S$50/R$18))</f>
        <v>217.40705148967095</v>
      </c>
      <c r="T66" s="36">
        <f>(N$42-SUM(O$66:S$66))*K14</f>
        <v>123.24510248126228</v>
      </c>
      <c r="U66" s="36"/>
      <c r="V66" s="36"/>
      <c r="W66" s="36"/>
      <c r="X66" s="36"/>
    </row>
    <row r="67" spans="1:26" x14ac:dyDescent="0.25">
      <c r="A67" s="38">
        <v>43008</v>
      </c>
      <c r="B67" s="1" t="s">
        <v>46</v>
      </c>
      <c r="D67" s="36"/>
      <c r="E67" s="36"/>
      <c r="F67" s="36"/>
      <c r="G67" s="36"/>
      <c r="H67" s="36"/>
      <c r="I67" s="36"/>
      <c r="J67" s="36"/>
      <c r="K67" s="36"/>
      <c r="L67" s="36"/>
      <c r="M67" s="36"/>
      <c r="N67" s="36"/>
      <c r="O67" s="36"/>
      <c r="P67" s="36">
        <f>0.5*IF($O42-SUM($N67:O67)&lt;=0,0,IF($O42-SUM($N67:O67)&lt;$O42/12*P$50/O$18,$O42-SUM($N67:O67),$O42/12*P$50/O$18))</f>
        <v>96.958812986881</v>
      </c>
      <c r="Q67" s="36">
        <f>IF($O42-SUM($N67:P67)&lt;=0,0,IF($O42-SUM($N67:P67)&lt;$O42/12*Q$50/P$18,$O42-SUM($N67:P67),$O42/12*Q$50/P$18))</f>
        <v>193.917625973762</v>
      </c>
      <c r="R67" s="36">
        <f>IF($O42-SUM($N67:Q67)&lt;=0,0,IF($O42-SUM($N67:Q67)&lt;$O42/12*R$50/Q$18,$O42-SUM($N67:Q67),$O42/12*R$50/Q$18))</f>
        <v>193.917625973762</v>
      </c>
      <c r="S67" s="36">
        <f>IF($O42-SUM($N67:R67)&lt;=0,0,IF($O42-SUM($N67:R67)&lt;$O42/12*S$50/R$18,$O42-SUM($N67:R67),$O42/12*S$50/R$18))</f>
        <v>193.917625973762</v>
      </c>
      <c r="T67" s="36">
        <f>(($O$42-SUM($P$67:S$67))*$K$14)/1.5</f>
        <v>219.85853285163429</v>
      </c>
      <c r="U67" s="36">
        <f>T67*0.5</f>
        <v>109.92926642581715</v>
      </c>
      <c r="V67" s="36"/>
      <c r="W67" s="36"/>
      <c r="X67" s="36"/>
    </row>
    <row r="68" spans="1:26" x14ac:dyDescent="0.25">
      <c r="A68" s="38">
        <v>43373</v>
      </c>
      <c r="B68" s="1" t="s">
        <v>46</v>
      </c>
      <c r="D68" s="36"/>
      <c r="E68" s="36"/>
      <c r="F68" s="36"/>
      <c r="G68" s="36"/>
      <c r="H68" s="36"/>
      <c r="I68" s="36"/>
      <c r="J68" s="36"/>
      <c r="K68" s="36"/>
      <c r="L68" s="36"/>
      <c r="M68" s="36"/>
      <c r="N68" s="36"/>
      <c r="O68" s="36"/>
      <c r="P68" s="36"/>
      <c r="Q68" s="36">
        <f>0.5*IF($P42-SUM($N68:P68)&lt;=0,0,IF($P42-SUM($N68:P68)&lt;$P42/12*Q$50/P$18,$P42-SUM($N68:P68),$P42/12*Q$50/P$18))</f>
        <v>67.829988870396875</v>
      </c>
      <c r="R68" s="36">
        <f>IF($P42-SUM($N68:Q68)&lt;=0,0,IF($P42-SUM($N68:Q68)&lt;$P42/12*R$50/Q$18,$P42-SUM($N68:Q68),$P42/12*R$50/Q$18))</f>
        <v>135.65997774079375</v>
      </c>
      <c r="S68" s="36">
        <f>IF($P42-SUM($N68:R68)&lt;=0,0,IF($P42-SUM($N68:R68)&lt;$P42/12*S$50/R$18,$P42-SUM($N68:R68),$P42/12*S$50/R$18))</f>
        <v>135.65997774079375</v>
      </c>
      <c r="T68" s="36">
        <f>(($P$42-SUM($Q$68:S$68))*$K$14)/2.5</f>
        <v>153.80759496721507</v>
      </c>
      <c r="U68" s="36">
        <f>T68</f>
        <v>153.80759496721507</v>
      </c>
      <c r="V68" s="36">
        <f>U68*0.5</f>
        <v>76.903797483607534</v>
      </c>
      <c r="W68" s="36"/>
      <c r="X68" s="36"/>
    </row>
    <row r="69" spans="1:26" x14ac:dyDescent="0.25">
      <c r="A69" s="38">
        <v>43738</v>
      </c>
      <c r="B69" s="1" t="s">
        <v>46</v>
      </c>
      <c r="D69" s="36"/>
      <c r="E69" s="36"/>
      <c r="F69" s="36"/>
      <c r="G69" s="36"/>
      <c r="H69" s="36"/>
      <c r="I69" s="36"/>
      <c r="J69" s="36"/>
      <c r="K69" s="36"/>
      <c r="L69" s="36"/>
      <c r="M69" s="36"/>
      <c r="N69" s="36"/>
      <c r="O69" s="36"/>
      <c r="P69" s="36"/>
      <c r="Q69" s="36"/>
      <c r="R69" s="36">
        <f>0.5*IF($Q42-SUM($N69:Q69)&lt;=0,0,IF($Q42-SUM($N69:Q69)&lt;$Q42/12*R$50/Q$18,$Q42-SUM($N69:Q69),$Q42/12*R$50/Q$18))</f>
        <v>103.55856961398335</v>
      </c>
      <c r="S69" s="36">
        <f>IF($Q42-SUM($N69:R69)&lt;=0,0,IF($Q42-SUM($N69:R69)&lt;$Q42/12*S$50/R$18,$Q42-SUM($N69:R69),$Q42/12*S$50/R$18))</f>
        <v>207.1171392279667</v>
      </c>
      <c r="T69" s="36">
        <f>(($Q$42-SUM($Q$69:S$69))*$K$14)/3.5</f>
        <v>234.82378216227616</v>
      </c>
      <c r="U69" s="36">
        <f>T69</f>
        <v>234.82378216227616</v>
      </c>
      <c r="V69" s="36">
        <f>U69</f>
        <v>234.82378216227616</v>
      </c>
      <c r="W69" s="36">
        <f>V69*0.5</f>
        <v>117.41189108113808</v>
      </c>
      <c r="X69" s="36"/>
    </row>
    <row r="70" spans="1:26" x14ac:dyDescent="0.25">
      <c r="A70" s="38">
        <v>44104</v>
      </c>
      <c r="B70" s="1" t="s">
        <v>46</v>
      </c>
      <c r="D70" s="36"/>
      <c r="E70" s="36"/>
      <c r="F70" s="36"/>
      <c r="G70" s="36"/>
      <c r="H70" s="36"/>
      <c r="I70" s="36"/>
      <c r="J70" s="36"/>
      <c r="K70" s="36"/>
      <c r="L70" s="36"/>
      <c r="M70" s="36"/>
      <c r="N70" s="36"/>
      <c r="O70" s="36"/>
      <c r="P70" s="36"/>
      <c r="Q70" s="36"/>
      <c r="R70" s="36"/>
      <c r="S70" s="36">
        <f>0.5*IF($R42-SUM($N70:R70)&lt;=0,0,IF($R42-SUM($N70:R70)&lt;$R42/12*S$50/R$18,$R42-SUM($N70:R70),$R42/12*S$50/R$18))</f>
        <v>116.99988181476417</v>
      </c>
      <c r="T70" s="36">
        <f>(($R$42-SUM($P$70:S$70))*$K$14)/4.5</f>
        <v>265.30257092863917</v>
      </c>
      <c r="U70" s="36">
        <f>T70</f>
        <v>265.30257092863917</v>
      </c>
      <c r="V70" s="36">
        <f>U70</f>
        <v>265.30257092863917</v>
      </c>
      <c r="W70" s="36">
        <f>V70</f>
        <v>265.30257092863917</v>
      </c>
      <c r="X70" s="36">
        <f>W70*0.5</f>
        <v>132.65128546431959</v>
      </c>
    </row>
    <row r="71" spans="1:26" x14ac:dyDescent="0.25">
      <c r="A71" s="38">
        <v>44469</v>
      </c>
      <c r="B71" s="1" t="s">
        <v>46</v>
      </c>
      <c r="D71" s="36"/>
      <c r="E71" s="36"/>
      <c r="F71" s="36"/>
      <c r="G71" s="36"/>
      <c r="H71" s="36"/>
      <c r="I71" s="36"/>
      <c r="J71" s="36"/>
      <c r="K71" s="36"/>
      <c r="L71" s="36"/>
      <c r="M71" s="36"/>
      <c r="N71" s="36"/>
      <c r="O71" s="36"/>
      <c r="P71" s="36"/>
      <c r="Q71" s="36"/>
      <c r="R71" s="36"/>
      <c r="S71" s="36"/>
      <c r="T71" s="36">
        <f>0.5*IF($S45-SUM($N71:S71)&lt;=0,0,IF($S45-SUM($N71:S71)&lt;$S45/12*T$50/S$18,$S45-SUM($N71:S71),$S45/12*T$50/S$18))</f>
        <v>160.77065233509111</v>
      </c>
      <c r="U71" s="36">
        <f>IF($S45-SUM($N71:T71)&lt;=0,0,IF($S45-SUM($N71:T71)&lt;$S45/12*U$50/T$18,$S45-SUM($N71:T71),$S45/12*U$50/T$18))</f>
        <v>321.54130467018223</v>
      </c>
      <c r="V71" s="36">
        <f>IF($S45-SUM($N71:U71)&lt;=0,0,IF($S45-SUM($N71:U71)&lt;$S45/12*V$50/U$18,$S45-SUM($N71:U71),$S45/12*V$50/U$18))</f>
        <v>321.54130467018223</v>
      </c>
      <c r="W71" s="36">
        <f>IF($S45-SUM($N71:V71)&lt;=0,0,IF($S45-SUM($N71:V71)&lt;$S45/12*W$50/V$18,$S45-SUM($N71:V71),$S45/12*W$50/V$18))</f>
        <v>321.54130467018223</v>
      </c>
      <c r="X71" s="36">
        <f>IF($S45-SUM($N71:W71)&lt;=0,0,IF($S45-SUM($N71:W71)&lt;$S45/12*X$50/W$18,$S45-SUM($N71:W71),$S45/12*X$50/W$18))</f>
        <v>321.54130467018223</v>
      </c>
      <c r="Y71" s="36">
        <f>X71*0.5</f>
        <v>160.77065233509111</v>
      </c>
    </row>
    <row r="72" spans="1:26" x14ac:dyDescent="0.25">
      <c r="A72" s="38">
        <v>44834</v>
      </c>
      <c r="B72" s="1" t="s">
        <v>46</v>
      </c>
      <c r="D72" s="36"/>
      <c r="E72" s="36"/>
      <c r="F72" s="36"/>
      <c r="G72" s="36"/>
      <c r="H72" s="36"/>
      <c r="I72" s="36"/>
      <c r="J72" s="36"/>
      <c r="K72" s="36"/>
      <c r="L72" s="36"/>
      <c r="M72" s="36"/>
      <c r="N72" s="36"/>
      <c r="O72" s="36"/>
      <c r="P72" s="36"/>
      <c r="Q72" s="36"/>
      <c r="R72" s="36"/>
      <c r="S72" s="36"/>
      <c r="T72" s="36"/>
      <c r="U72" s="36">
        <f>0.5*IF($T45-SUM($N72:T72)&lt;=0,0,IF($T45-SUM($N72:T72)&lt;$T45/12*U$50/T$18,$T45-SUM($N72:T72),$T45/12*U$50/T$18))</f>
        <v>322.30138152498284</v>
      </c>
      <c r="V72" s="36">
        <f>IF($T45-SUM($N72:U72)&lt;=0,0,IF($T45-SUM($N72:U72)&lt;$T45/12*V$50/U$18,$T45-SUM($N72:U72),$T45/12*V$50/U$18))</f>
        <v>644.60276304996569</v>
      </c>
      <c r="W72" s="36">
        <f>IF($T45-SUM($N72:V72)&lt;=0,0,IF($T45-SUM($N72:V72)&lt;$T45/12*W$50/V$18,$T45-SUM($N72:V72),$T45/12*W$50/V$18))</f>
        <v>644.60276304996569</v>
      </c>
      <c r="X72" s="36">
        <f>IF($T45-SUM($N72:W72)&lt;=0,0,IF($T45-SUM($N72:W72)&lt;$T45/12*X$50/W$18,$T45-SUM($N72:W72),$T45/12*X$50/W$18))</f>
        <v>644.60276304996569</v>
      </c>
      <c r="Y72" s="36">
        <f>IF($T45-SUM($N72:X72)&lt;=0,0,IF($T45-SUM($N72:X72)&lt;$T45/12*Y$50/X$18,$T45-SUM($N72:X72),$T45/12*Y$50/X$18))</f>
        <v>644.60276304996569</v>
      </c>
      <c r="Z72" s="36">
        <f>Y72*0.5</f>
        <v>322.30138152498284</v>
      </c>
    </row>
    <row r="73" spans="1:26" x14ac:dyDescent="0.25">
      <c r="A73" s="38">
        <v>45199</v>
      </c>
      <c r="B73" s="1" t="s">
        <v>46</v>
      </c>
      <c r="D73" s="36"/>
      <c r="E73" s="36"/>
      <c r="F73" s="36"/>
      <c r="G73" s="36"/>
      <c r="H73" s="36"/>
      <c r="I73" s="36"/>
      <c r="J73" s="36"/>
      <c r="K73" s="36"/>
      <c r="L73" s="36"/>
      <c r="M73" s="36"/>
      <c r="N73" s="36"/>
      <c r="O73" s="36"/>
      <c r="P73" s="36"/>
      <c r="Q73" s="36"/>
      <c r="R73" s="36"/>
      <c r="S73" s="36"/>
      <c r="T73" s="36"/>
      <c r="U73" s="36"/>
      <c r="V73" s="36">
        <f>0.5*IF($U45-SUM($N73:U73)&lt;=0,0,IF($U45-SUM($N73:U73)&lt;$U45/12*V$50/U$18,$U45-SUM($N73:U73),$U45/12*V$50/U$18))</f>
        <v>251.95735303009891</v>
      </c>
      <c r="W73" s="36">
        <f>IF($U45-SUM($N73:V73)&lt;=0,0,IF($U45-SUM($N73:V73)&lt;$U45/12*W$50/V$18,$U45-SUM($N73:V73),$U45/12*W$50/V$18))</f>
        <v>503.91470606019783</v>
      </c>
      <c r="X73" s="36">
        <f>IF($U45-SUM($N73:W73)&lt;=0,0,IF($U45-SUM($N73:W73)&lt;$U45/12*X$50/W$18,$U45-SUM($N73:W73),$U45/12*X$50/W$18))</f>
        <v>503.91470606019783</v>
      </c>
      <c r="Y73" s="36">
        <f>IF($U45-SUM($N73:X73)&lt;=0,0,IF($U45-SUM($N73:X73)&lt;$U45/12*Y$50/X$18,$U45-SUM($N73:X73),$U45/12*Y$50/X$18))</f>
        <v>503.91470606019783</v>
      </c>
      <c r="Z73" s="36">
        <f>IF($U45-SUM($N73:Y73)&lt;=0,0,IF($U45-SUM($N73:Y73)&lt;$U45/12*Z$50/Y$18,$U45-SUM($N73:Y73),$U45/12*Z$50/Y$18))</f>
        <v>503.91470606019783</v>
      </c>
    </row>
    <row r="74" spans="1:26" x14ac:dyDescent="0.25">
      <c r="A74" s="38">
        <v>45565</v>
      </c>
      <c r="B74" s="1" t="s">
        <v>46</v>
      </c>
      <c r="D74" s="36"/>
      <c r="E74" s="36"/>
      <c r="F74" s="36"/>
      <c r="G74" s="36"/>
      <c r="H74" s="36"/>
      <c r="I74" s="36"/>
      <c r="J74" s="36"/>
      <c r="K74" s="36"/>
      <c r="L74" s="36"/>
      <c r="M74" s="36"/>
      <c r="N74" s="36"/>
      <c r="O74" s="36"/>
      <c r="P74" s="36"/>
      <c r="Q74" s="36"/>
      <c r="R74" s="36"/>
      <c r="S74" s="36"/>
      <c r="T74" s="36"/>
      <c r="U74" s="36"/>
      <c r="V74" s="36"/>
      <c r="W74" s="36">
        <f>0.5*IF($V45-SUM($N74:V74)&lt;=0,0,IF($V45-SUM($N74:V74)&lt;$V45/12*W$50/V$18,$V45-SUM($N74:V74),$V45/12*W$50/V$18))</f>
        <v>262.69686782433678</v>
      </c>
      <c r="X74" s="36">
        <f>IF($V45-SUM($N74:W74)&lt;=0,0,IF($V45-SUM($N74:W74)&lt;$V45/12*X$50/W$18,$V45-SUM($N74:W74),$V45/12*X$50/W$18))</f>
        <v>525.39373564867356</v>
      </c>
      <c r="Y74" s="36">
        <f>IF($V45-SUM($N74:X74)&lt;=0,0,IF($V45-SUM($N74:X74)&lt;$V45/12*Y$50/X$18,$V45-SUM($N74:X74),$V45/12*Y$50/X$18))</f>
        <v>525.39373564867356</v>
      </c>
      <c r="Z74" s="36">
        <f>IF($V45-SUM($N74:Y74)&lt;=0,0,IF($V45-SUM($N74:Y74)&lt;$V45/12*Z$50/Y$18,$V45-SUM($N74:Y74),$V45/12*Z$50/Y$18))</f>
        <v>525.39373564867356</v>
      </c>
    </row>
    <row r="75" spans="1:26" x14ac:dyDescent="0.25">
      <c r="A75" s="38">
        <v>45930</v>
      </c>
      <c r="B75" s="1" t="s">
        <v>46</v>
      </c>
      <c r="D75" s="36"/>
      <c r="E75" s="36"/>
      <c r="F75" s="36"/>
      <c r="G75" s="36"/>
      <c r="H75" s="36"/>
      <c r="I75" s="36"/>
      <c r="J75" s="36"/>
      <c r="K75" s="36"/>
      <c r="L75" s="36"/>
      <c r="M75" s="36"/>
      <c r="N75" s="36"/>
      <c r="O75" s="36"/>
      <c r="P75" s="36"/>
      <c r="Q75" s="36"/>
      <c r="R75" s="36"/>
      <c r="S75" s="36"/>
      <c r="T75" s="36"/>
      <c r="U75" s="36"/>
      <c r="V75" s="36"/>
      <c r="W75" s="36"/>
      <c r="X75" s="36">
        <f>0.5*IF($W45-SUM($N75:W75)&lt;=0,0,IF($W45-SUM($N75:W75)&lt;$W45/12*X$50/W$18,$W45-SUM($N75:W75),$W45/12*X$50/W$18))</f>
        <v>148.00943000000001</v>
      </c>
      <c r="Y75" s="36">
        <f>IF($W45-SUM($N75:X75)&lt;=0,0,IF($W45-SUM($N75:X75)&lt;$W45/12*Y$50/X$18,$W45-SUM($N75:X75),$W45/12*Y$50/X$18))</f>
        <v>296.01886000000002</v>
      </c>
      <c r="Z75" s="36">
        <f>IF($W45-SUM($N75:Y75)&lt;=0,0,IF($W45-SUM($N75:Y75)&lt;$W45/12*Z$50/Y$18,$W45-SUM($N75:Y75),$W45/12*Z$50/Y$18))</f>
        <v>296.01886000000002</v>
      </c>
    </row>
    <row r="76" spans="1:26" x14ac:dyDescent="0.25">
      <c r="A76" s="38">
        <v>46295</v>
      </c>
      <c r="B76" s="1" t="s">
        <v>46</v>
      </c>
      <c r="Y76" s="3">
        <f>0.5*IF($X45-SUM($N76:X76)&lt;=0,0,IF($X45-SUM($N76:X76)&lt;$X45/12*Y$50/X$18,$X45-SUM($N76:X76),$X45/12*Y$50/X$18))</f>
        <v>51.56600000000001</v>
      </c>
      <c r="Z76" s="3">
        <f>IF($X45-SUM($N76:Y76)&lt;=0,0,IF($X45-SUM($N76:Y76)&lt;$X45/12*Z$50/Y$18,$X45-SUM($N76:Y76),$X45/12*Z$50/Y$18))</f>
        <v>103.13200000000002</v>
      </c>
    </row>
    <row r="77" spans="1:26" x14ac:dyDescent="0.25">
      <c r="A77" s="38">
        <v>46660</v>
      </c>
      <c r="B77" s="1" t="s">
        <v>46</v>
      </c>
      <c r="Y77" s="3"/>
      <c r="Z77" s="3">
        <f>0.5*IF($Y45-SUM($N77:Y77)&lt;=0,0,IF($Y45-SUM($N77:Y77)&lt;$Y45/12*Z$50/Y$18,$Y45-SUM($N77:Y77),$Y45/12*Z$50/Y$18))</f>
        <v>51.56600000000001</v>
      </c>
    </row>
    <row r="78" spans="1:26" x14ac:dyDescent="0.25">
      <c r="A78" s="38"/>
      <c r="Y78" s="3"/>
    </row>
    <row r="79" spans="1:26" ht="13" x14ac:dyDescent="0.3">
      <c r="B79" s="26"/>
      <c r="C79" s="23" t="s">
        <v>63</v>
      </c>
      <c r="D79" s="24">
        <f t="shared" ref="D79:S79" si="16">D49</f>
        <v>39386</v>
      </c>
      <c r="E79" s="24">
        <f t="shared" si="16"/>
        <v>39538</v>
      </c>
      <c r="F79" s="24">
        <f t="shared" si="16"/>
        <v>39721</v>
      </c>
      <c r="G79" s="24">
        <f t="shared" si="16"/>
        <v>40086</v>
      </c>
      <c r="H79" s="24">
        <f t="shared" si="16"/>
        <v>40268</v>
      </c>
      <c r="I79" s="24">
        <f t="shared" si="16"/>
        <v>40451</v>
      </c>
      <c r="J79" s="24">
        <f t="shared" si="16"/>
        <v>40816</v>
      </c>
      <c r="K79" s="24">
        <f t="shared" si="16"/>
        <v>41182</v>
      </c>
      <c r="L79" s="24">
        <f t="shared" si="16"/>
        <v>41547</v>
      </c>
      <c r="M79" s="24">
        <f t="shared" si="16"/>
        <v>41912</v>
      </c>
      <c r="N79" s="24">
        <f t="shared" si="16"/>
        <v>42277</v>
      </c>
      <c r="O79" s="24">
        <f t="shared" si="16"/>
        <v>42643</v>
      </c>
      <c r="P79" s="24">
        <f t="shared" si="16"/>
        <v>43008</v>
      </c>
      <c r="Q79" s="24">
        <f t="shared" si="16"/>
        <v>43373</v>
      </c>
      <c r="R79" s="24">
        <f t="shared" si="16"/>
        <v>43738</v>
      </c>
      <c r="S79" s="24">
        <f t="shared" si="16"/>
        <v>44104</v>
      </c>
    </row>
    <row r="80" spans="1:26" ht="13" x14ac:dyDescent="0.3">
      <c r="B80" s="26"/>
      <c r="C80" s="20" t="s">
        <v>44</v>
      </c>
      <c r="D80" s="24"/>
      <c r="E80" s="24"/>
      <c r="F80" s="24"/>
      <c r="G80" s="24"/>
      <c r="H80" s="24"/>
      <c r="I80" s="24"/>
      <c r="J80" s="24"/>
      <c r="K80" s="24"/>
      <c r="L80" s="24"/>
      <c r="M80" s="24"/>
      <c r="N80" s="24"/>
      <c r="O80" s="24"/>
      <c r="P80" s="24"/>
      <c r="Q80" s="24"/>
      <c r="R80" s="24"/>
      <c r="S80" s="24"/>
    </row>
    <row r="81" spans="1:19" ht="13" x14ac:dyDescent="0.3">
      <c r="A81" s="10" t="s">
        <v>208</v>
      </c>
      <c r="B81" s="1" t="s">
        <v>46</v>
      </c>
      <c r="C81" s="1" t="s">
        <v>47</v>
      </c>
      <c r="D81" s="29">
        <f t="shared" ref="D81:S81" si="17">SUM(D53:D76)</f>
        <v>0</v>
      </c>
      <c r="E81" s="29">
        <f t="shared" si="17"/>
        <v>775.35052025608229</v>
      </c>
      <c r="F81" s="29">
        <f t="shared" si="17"/>
        <v>996.61690686494535</v>
      </c>
      <c r="G81" s="29">
        <f t="shared" si="17"/>
        <v>2300.1747729710587</v>
      </c>
      <c r="H81" s="29">
        <f t="shared" si="17"/>
        <v>1265.6796311467238</v>
      </c>
      <c r="I81" s="29">
        <f t="shared" si="17"/>
        <v>1696.6295643350707</v>
      </c>
      <c r="J81" s="29">
        <f t="shared" si="17"/>
        <v>3522.08464482813</v>
      </c>
      <c r="K81" s="29">
        <f t="shared" si="17"/>
        <v>3670.7791297922236</v>
      </c>
      <c r="L81" s="29">
        <f t="shared" si="17"/>
        <v>3773.7104302859398</v>
      </c>
      <c r="M81" s="29">
        <f t="shared" si="17"/>
        <v>3890.6289109861195</v>
      </c>
      <c r="N81" s="29">
        <f t="shared" si="17"/>
        <v>4016.1548871979685</v>
      </c>
      <c r="O81" s="29">
        <f t="shared" si="17"/>
        <v>3967.11515092328</v>
      </c>
      <c r="P81" s="29">
        <f t="shared" si="17"/>
        <v>1665.2285410003667</v>
      </c>
      <c r="Q81" s="29">
        <f t="shared" si="17"/>
        <v>1197.0054461812267</v>
      </c>
      <c r="R81" s="29">
        <f t="shared" si="17"/>
        <v>1076.8294400336499</v>
      </c>
      <c r="S81" s="29">
        <f t="shared" si="17"/>
        <v>948.56913585198492</v>
      </c>
    </row>
    <row r="82" spans="1:19" x14ac:dyDescent="0.25">
      <c r="A82" s="2"/>
    </row>
    <row r="83" spans="1:19" ht="13" x14ac:dyDescent="0.3">
      <c r="A83" s="10" t="s">
        <v>280</v>
      </c>
      <c r="B83" s="26"/>
      <c r="C83" s="23" t="s">
        <v>63</v>
      </c>
      <c r="D83" s="24">
        <v>44469</v>
      </c>
      <c r="E83" s="24">
        <v>44834</v>
      </c>
      <c r="F83" s="24">
        <v>45199</v>
      </c>
      <c r="G83" s="24">
        <v>45565</v>
      </c>
      <c r="H83" s="24">
        <v>45930</v>
      </c>
      <c r="I83" s="24">
        <v>46295</v>
      </c>
      <c r="J83" s="24">
        <v>46660</v>
      </c>
    </row>
    <row r="84" spans="1:19" x14ac:dyDescent="0.25">
      <c r="A84" s="2" t="s">
        <v>69</v>
      </c>
      <c r="B84" s="1" t="s">
        <v>46</v>
      </c>
      <c r="C84" s="1" t="s">
        <v>60</v>
      </c>
      <c r="D84" s="29">
        <f>SUM(T53:T70)</f>
        <v>997.03758339102706</v>
      </c>
      <c r="E84" s="29">
        <f t="shared" ref="E84:J84" si="18">SUM(U53:U70)</f>
        <v>763.86321448394756</v>
      </c>
      <c r="F84" s="29">
        <f t="shared" si="18"/>
        <v>577.03015057452285</v>
      </c>
      <c r="G84" s="29">
        <f t="shared" si="18"/>
        <v>382.71446200977726</v>
      </c>
      <c r="H84" s="29">
        <f t="shared" si="18"/>
        <v>132.65128546431959</v>
      </c>
      <c r="I84" s="29">
        <f t="shared" si="18"/>
        <v>0</v>
      </c>
      <c r="J84" s="29">
        <f t="shared" si="18"/>
        <v>0</v>
      </c>
    </row>
    <row r="85" spans="1:19" x14ac:dyDescent="0.25">
      <c r="A85" s="2" t="s">
        <v>70</v>
      </c>
      <c r="B85" s="1" t="s">
        <v>46</v>
      </c>
      <c r="C85" s="1" t="s">
        <v>60</v>
      </c>
      <c r="D85" s="29">
        <f>SUM(T71:T78)</f>
        <v>160.77065233509111</v>
      </c>
      <c r="E85" s="29">
        <f t="shared" ref="E85:J85" si="19">SUM(U71:U78)</f>
        <v>643.84268619516502</v>
      </c>
      <c r="F85" s="29">
        <f t="shared" si="19"/>
        <v>1218.1014207502467</v>
      </c>
      <c r="G85" s="29">
        <f t="shared" si="19"/>
        <v>1732.7556416046825</v>
      </c>
      <c r="H85" s="29">
        <f t="shared" si="19"/>
        <v>2143.4619394290194</v>
      </c>
      <c r="I85" s="29">
        <f t="shared" si="19"/>
        <v>2182.266717093928</v>
      </c>
      <c r="J85" s="29">
        <f t="shared" si="19"/>
        <v>1802.3266832338543</v>
      </c>
    </row>
    <row r="86" spans="1:19" ht="13" x14ac:dyDescent="0.3">
      <c r="A86" s="10" t="s">
        <v>281</v>
      </c>
      <c r="B86" s="16" t="s">
        <v>46</v>
      </c>
      <c r="C86" s="16" t="s">
        <v>60</v>
      </c>
      <c r="D86" s="88">
        <f>D84+D85</f>
        <v>1157.8082357261183</v>
      </c>
      <c r="E86" s="88">
        <f t="shared" ref="E86:J86" si="20">E84+E85</f>
        <v>1407.7059006791126</v>
      </c>
      <c r="F86" s="88">
        <f t="shared" si="20"/>
        <v>1795.1315713247695</v>
      </c>
      <c r="G86" s="88">
        <f t="shared" si="20"/>
        <v>2115.4701036144597</v>
      </c>
      <c r="H86" s="88">
        <f t="shared" si="20"/>
        <v>2276.1132248933391</v>
      </c>
      <c r="I86" s="88">
        <f t="shared" si="20"/>
        <v>2182.266717093928</v>
      </c>
      <c r="J86" s="88">
        <f t="shared" si="20"/>
        <v>1802.3266832338543</v>
      </c>
    </row>
    <row r="87" spans="1:19" ht="14.25" customHeight="1" x14ac:dyDescent="0.25"/>
    <row r="88" spans="1:19" ht="14.25" customHeight="1" x14ac:dyDescent="0.25"/>
    <row r="90" spans="1:19" ht="13" x14ac:dyDescent="0.3">
      <c r="A90" s="7" t="s">
        <v>76</v>
      </c>
      <c r="B90" s="18"/>
    </row>
    <row r="91" spans="1:19" ht="13" x14ac:dyDescent="0.3">
      <c r="B91" s="26"/>
      <c r="C91" s="23" t="s">
        <v>63</v>
      </c>
      <c r="D91" s="24">
        <v>39538</v>
      </c>
      <c r="E91" s="24">
        <v>39721</v>
      </c>
      <c r="F91" s="24">
        <v>40086</v>
      </c>
      <c r="G91" s="24">
        <v>40268</v>
      </c>
      <c r="H91" s="24">
        <v>40451</v>
      </c>
      <c r="I91" s="24">
        <v>40816</v>
      </c>
      <c r="J91" s="24">
        <v>41182</v>
      </c>
      <c r="K91" s="24">
        <v>41547</v>
      </c>
      <c r="L91" s="24">
        <v>41912</v>
      </c>
      <c r="M91" s="24">
        <v>42277</v>
      </c>
      <c r="N91" s="24">
        <v>42643</v>
      </c>
      <c r="O91" s="24">
        <v>43008</v>
      </c>
      <c r="P91" s="24">
        <v>43373</v>
      </c>
      <c r="Q91" s="24">
        <v>43738</v>
      </c>
      <c r="R91" s="24">
        <v>44104</v>
      </c>
    </row>
    <row r="92" spans="1:19" ht="13" x14ac:dyDescent="0.3">
      <c r="A92" s="16" t="s">
        <v>52</v>
      </c>
      <c r="B92" s="20" t="s">
        <v>33</v>
      </c>
      <c r="C92" s="20" t="s">
        <v>44</v>
      </c>
      <c r="D92" s="24"/>
      <c r="E92" s="24"/>
      <c r="F92" s="24"/>
      <c r="G92" s="24"/>
      <c r="H92" s="24"/>
      <c r="I92" s="24"/>
      <c r="J92" s="24"/>
      <c r="K92" s="24"/>
      <c r="L92" s="24"/>
      <c r="M92" s="24"/>
      <c r="N92" s="24"/>
      <c r="O92" s="24"/>
      <c r="P92" s="24"/>
      <c r="Q92" s="24"/>
      <c r="R92" s="24"/>
    </row>
    <row r="93" spans="1:19" x14ac:dyDescent="0.25">
      <c r="A93" s="1" t="s">
        <v>72</v>
      </c>
      <c r="B93" s="56" t="s">
        <v>46</v>
      </c>
      <c r="C93" s="1" t="s">
        <v>47</v>
      </c>
      <c r="D93" s="29">
        <f>'RAB Inputs'!D21</f>
        <v>16552.87475049901</v>
      </c>
      <c r="E93" s="29">
        <f t="shared" ref="E93:M93" si="21">D97</f>
        <v>17894.307474871937</v>
      </c>
      <c r="F93" s="29">
        <f t="shared" si="21"/>
        <v>18160.370710177893</v>
      </c>
      <c r="G93" s="29">
        <f t="shared" si="21"/>
        <v>19514.847844406802</v>
      </c>
      <c r="H93" s="29">
        <f t="shared" si="21"/>
        <v>21284.341637978705</v>
      </c>
      <c r="I93" s="29">
        <f t="shared" si="21"/>
        <v>20635.531193930885</v>
      </c>
      <c r="J93" s="29">
        <f t="shared" si="21"/>
        <v>18126.835687343329</v>
      </c>
      <c r="K93" s="29">
        <f t="shared" si="21"/>
        <v>15821.779178736026</v>
      </c>
      <c r="L93" s="29">
        <f t="shared" si="21"/>
        <v>12329.246935164629</v>
      </c>
      <c r="M93" s="29">
        <f t="shared" si="21"/>
        <v>10028.13552866684</v>
      </c>
      <c r="N93" s="29">
        <f>M97</f>
        <v>6430.878756370128</v>
      </c>
      <c r="O93" s="29">
        <f>N97</f>
        <v>3550.798862895203</v>
      </c>
      <c r="P93" s="29">
        <f>O97</f>
        <v>2855.1584517636466</v>
      </c>
      <c r="Q93" s="29">
        <f>P97</f>
        <v>2336.452894286389</v>
      </c>
      <c r="R93" s="29">
        <f>Q97</f>
        <v>2295.2091503925726</v>
      </c>
    </row>
    <row r="94" spans="1:19" x14ac:dyDescent="0.25">
      <c r="A94" s="1" t="s">
        <v>77</v>
      </c>
      <c r="B94" s="56" t="s">
        <v>46</v>
      </c>
      <c r="C94" s="1" t="s">
        <v>47</v>
      </c>
      <c r="D94" s="29">
        <f t="shared" ref="D94:R94" si="22">SUM(D34:D36)</f>
        <v>2116.7832446290081</v>
      </c>
      <c r="E94" s="29">
        <f t="shared" si="22"/>
        <v>1262.6801421709006</v>
      </c>
      <c r="F94" s="29">
        <f t="shared" si="22"/>
        <v>3654.6519071999674</v>
      </c>
      <c r="G94" s="29">
        <f t="shared" si="22"/>
        <v>3035.1734247186259</v>
      </c>
      <c r="H94" s="29">
        <f t="shared" si="22"/>
        <v>1047.8191202872531</v>
      </c>
      <c r="I94" s="29">
        <f t="shared" si="22"/>
        <v>1013.3891382405744</v>
      </c>
      <c r="J94" s="29">
        <f t="shared" si="22"/>
        <v>1365.722621184919</v>
      </c>
      <c r="K94" s="29">
        <f t="shared" si="22"/>
        <v>281.17818671454216</v>
      </c>
      <c r="L94" s="29">
        <f t="shared" si="22"/>
        <v>1589.5175044883301</v>
      </c>
      <c r="M94" s="29">
        <f t="shared" si="22"/>
        <v>418.89811490125669</v>
      </c>
      <c r="N94" s="29">
        <f t="shared" si="22"/>
        <v>0</v>
      </c>
      <c r="O94" s="29">
        <f t="shared" si="22"/>
        <v>0</v>
      </c>
      <c r="P94" s="29">
        <f t="shared" si="22"/>
        <v>0</v>
      </c>
      <c r="Q94" s="29">
        <f t="shared" si="22"/>
        <v>0</v>
      </c>
      <c r="R94" s="29">
        <f t="shared" si="22"/>
        <v>0</v>
      </c>
    </row>
    <row r="95" spans="1:19" x14ac:dyDescent="0.25">
      <c r="A95" s="1" t="s">
        <v>196</v>
      </c>
      <c r="B95" s="56" t="s">
        <v>46</v>
      </c>
      <c r="C95" s="1" t="s">
        <v>47</v>
      </c>
      <c r="D95" s="29"/>
      <c r="E95" s="29"/>
      <c r="F95" s="29"/>
      <c r="G95" s="29"/>
      <c r="H95" s="29"/>
      <c r="I95" s="29"/>
      <c r="J95" s="29"/>
      <c r="K95" s="29"/>
      <c r="L95" s="29"/>
      <c r="M95" s="29"/>
      <c r="N95" s="29">
        <f>N42</f>
        <v>1087.0352574483547</v>
      </c>
      <c r="O95" s="29">
        <f>O42</f>
        <v>969.58812986881003</v>
      </c>
      <c r="P95" s="29">
        <f>P42</f>
        <v>678.2998887039688</v>
      </c>
      <c r="Q95" s="29">
        <f>Q42</f>
        <v>1035.5856961398335</v>
      </c>
      <c r="R95" s="29">
        <f>R42</f>
        <v>1169.9988181476417</v>
      </c>
    </row>
    <row r="96" spans="1:19" x14ac:dyDescent="0.25">
      <c r="A96" s="1" t="s">
        <v>79</v>
      </c>
      <c r="B96" s="56" t="s">
        <v>46</v>
      </c>
      <c r="C96" s="1" t="s">
        <v>47</v>
      </c>
      <c r="D96" s="29">
        <f t="shared" ref="D96:R96" si="23">E81</f>
        <v>775.35052025608229</v>
      </c>
      <c r="E96" s="29">
        <f t="shared" si="23"/>
        <v>996.61690686494535</v>
      </c>
      <c r="F96" s="29">
        <f t="shared" si="23"/>
        <v>2300.1747729710587</v>
      </c>
      <c r="G96" s="29">
        <f t="shared" si="23"/>
        <v>1265.6796311467238</v>
      </c>
      <c r="H96" s="29">
        <f t="shared" si="23"/>
        <v>1696.6295643350707</v>
      </c>
      <c r="I96" s="29">
        <f t="shared" si="23"/>
        <v>3522.08464482813</v>
      </c>
      <c r="J96" s="29">
        <f t="shared" si="23"/>
        <v>3670.7791297922236</v>
      </c>
      <c r="K96" s="29">
        <f t="shared" si="23"/>
        <v>3773.7104302859398</v>
      </c>
      <c r="L96" s="29">
        <f t="shared" si="23"/>
        <v>3890.6289109861195</v>
      </c>
      <c r="M96" s="29">
        <f t="shared" si="23"/>
        <v>4016.1548871979685</v>
      </c>
      <c r="N96" s="29">
        <f t="shared" si="23"/>
        <v>3967.11515092328</v>
      </c>
      <c r="O96" s="29">
        <f t="shared" si="23"/>
        <v>1665.2285410003667</v>
      </c>
      <c r="P96" s="29">
        <f t="shared" si="23"/>
        <v>1197.0054461812267</v>
      </c>
      <c r="Q96" s="29">
        <f t="shared" si="23"/>
        <v>1076.8294400336499</v>
      </c>
      <c r="R96" s="29">
        <f t="shared" si="23"/>
        <v>948.56913585198492</v>
      </c>
    </row>
    <row r="97" spans="1:18" x14ac:dyDescent="0.25">
      <c r="A97" s="1" t="s">
        <v>74</v>
      </c>
      <c r="B97" s="56" t="s">
        <v>46</v>
      </c>
      <c r="C97" s="1" t="s">
        <v>47</v>
      </c>
      <c r="D97" s="29">
        <f>D93+D94+D95-D96</f>
        <v>17894.307474871937</v>
      </c>
      <c r="E97" s="29">
        <f t="shared" ref="E97:R97" si="24">E93+E94+E95-E96</f>
        <v>18160.370710177893</v>
      </c>
      <c r="F97" s="29">
        <f t="shared" si="24"/>
        <v>19514.847844406802</v>
      </c>
      <c r="G97" s="29">
        <f t="shared" si="24"/>
        <v>21284.341637978705</v>
      </c>
      <c r="H97" s="29">
        <f t="shared" si="24"/>
        <v>20635.531193930885</v>
      </c>
      <c r="I97" s="29">
        <f t="shared" si="24"/>
        <v>18126.835687343329</v>
      </c>
      <c r="J97" s="29">
        <f t="shared" si="24"/>
        <v>15821.779178736026</v>
      </c>
      <c r="K97" s="29">
        <f t="shared" si="24"/>
        <v>12329.246935164629</v>
      </c>
      <c r="L97" s="29">
        <f t="shared" si="24"/>
        <v>10028.13552866684</v>
      </c>
      <c r="M97" s="29">
        <f t="shared" si="24"/>
        <v>6430.878756370128</v>
      </c>
      <c r="N97" s="29">
        <f t="shared" si="24"/>
        <v>3550.798862895203</v>
      </c>
      <c r="O97" s="29">
        <f t="shared" si="24"/>
        <v>2855.1584517636466</v>
      </c>
      <c r="P97" s="29">
        <f t="shared" si="24"/>
        <v>2336.452894286389</v>
      </c>
      <c r="Q97" s="29">
        <f t="shared" si="24"/>
        <v>2295.2091503925726</v>
      </c>
      <c r="R97" s="29">
        <f t="shared" si="24"/>
        <v>2516.6388326882293</v>
      </c>
    </row>
    <row r="98" spans="1:18" x14ac:dyDescent="0.25">
      <c r="A98" s="1" t="s">
        <v>75</v>
      </c>
      <c r="B98" s="56" t="s">
        <v>46</v>
      </c>
      <c r="C98" s="1" t="s">
        <v>47</v>
      </c>
      <c r="D98" s="29">
        <f t="shared" ref="D98:R98" si="25">(D93+D97)/2</f>
        <v>17223.591112685473</v>
      </c>
      <c r="E98" s="29">
        <f t="shared" si="25"/>
        <v>18027.339092524915</v>
      </c>
      <c r="F98" s="29">
        <f t="shared" si="25"/>
        <v>18837.609277292348</v>
      </c>
      <c r="G98" s="29">
        <f t="shared" si="25"/>
        <v>20399.594741192755</v>
      </c>
      <c r="H98" s="29">
        <f t="shared" si="25"/>
        <v>20959.936415954795</v>
      </c>
      <c r="I98" s="29">
        <f t="shared" si="25"/>
        <v>19381.183440637105</v>
      </c>
      <c r="J98" s="29">
        <f t="shared" si="25"/>
        <v>16974.307433039678</v>
      </c>
      <c r="K98" s="29">
        <f t="shared" si="25"/>
        <v>14075.513056950327</v>
      </c>
      <c r="L98" s="29">
        <f t="shared" si="25"/>
        <v>11178.691231915735</v>
      </c>
      <c r="M98" s="29">
        <f t="shared" si="25"/>
        <v>8229.5071425184833</v>
      </c>
      <c r="N98" s="29">
        <f t="shared" si="25"/>
        <v>4990.8388096326653</v>
      </c>
      <c r="O98" s="29">
        <f t="shared" si="25"/>
        <v>3202.978657329425</v>
      </c>
      <c r="P98" s="29">
        <f t="shared" si="25"/>
        <v>2595.8056730250178</v>
      </c>
      <c r="Q98" s="29">
        <f t="shared" si="25"/>
        <v>2315.831022339481</v>
      </c>
      <c r="R98" s="29">
        <f t="shared" si="25"/>
        <v>2405.9239915404009</v>
      </c>
    </row>
    <row r="102" spans="1:18" ht="13" x14ac:dyDescent="0.3">
      <c r="A102" s="10" t="s">
        <v>200</v>
      </c>
      <c r="B102" s="2"/>
    </row>
    <row r="103" spans="1:18" x14ac:dyDescent="0.25">
      <c r="A103" s="2"/>
    </row>
    <row r="104" spans="1:18" ht="13" x14ac:dyDescent="0.3">
      <c r="A104" s="10" t="s">
        <v>272</v>
      </c>
    </row>
    <row r="105" spans="1:18" x14ac:dyDescent="0.25">
      <c r="A105" s="1" t="s">
        <v>80</v>
      </c>
      <c r="D105" s="40">
        <v>0.93745800262644219</v>
      </c>
    </row>
    <row r="106" spans="1:18" x14ac:dyDescent="0.25">
      <c r="A106" s="1" t="s">
        <v>42</v>
      </c>
      <c r="D106" s="14">
        <v>6.2541997373557812E-2</v>
      </c>
    </row>
    <row r="108" spans="1:18" ht="13" x14ac:dyDescent="0.3">
      <c r="A108" s="121" t="s">
        <v>201</v>
      </c>
      <c r="B108" s="20" t="s">
        <v>33</v>
      </c>
      <c r="C108" s="20" t="s">
        <v>44</v>
      </c>
      <c r="D108" s="21" t="s">
        <v>20</v>
      </c>
      <c r="E108" s="21" t="s">
        <v>21</v>
      </c>
      <c r="F108" s="21" t="s">
        <v>22</v>
      </c>
      <c r="G108" s="21" t="s">
        <v>23</v>
      </c>
      <c r="H108" s="21" t="s">
        <v>24</v>
      </c>
      <c r="I108" s="21" t="s">
        <v>45</v>
      </c>
    </row>
    <row r="109" spans="1:18" x14ac:dyDescent="0.25">
      <c r="A109" s="1" t="s">
        <v>80</v>
      </c>
      <c r="B109" s="56" t="s">
        <v>46</v>
      </c>
      <c r="C109" s="1" t="s">
        <v>47</v>
      </c>
      <c r="D109" s="112">
        <f>'RAB Inputs'!N36</f>
        <v>3999.2616251784443</v>
      </c>
      <c r="E109" s="112">
        <f>'RAB Inputs'!O36</f>
        <v>1762.9726765238149</v>
      </c>
      <c r="F109" s="112">
        <f>'RAB Inputs'!P36</f>
        <v>1363.870779847397</v>
      </c>
      <c r="G109" s="112">
        <f>'RAB Inputs'!Q36</f>
        <v>1312.7862152154398</v>
      </c>
      <c r="H109" s="112">
        <f>'RAB Inputs'!R36</f>
        <v>1272.6674596050275</v>
      </c>
      <c r="I109" s="29">
        <f>SUM(D109:H109)</f>
        <v>9711.5587563701229</v>
      </c>
    </row>
    <row r="110" spans="1:18" x14ac:dyDescent="0.25">
      <c r="A110" s="1" t="s">
        <v>42</v>
      </c>
      <c r="B110" s="56" t="s">
        <v>46</v>
      </c>
      <c r="C110" s="1" t="s">
        <v>47</v>
      </c>
      <c r="D110" s="29">
        <f>'RAB Inputs'!N51</f>
        <v>116.32743267504486</v>
      </c>
      <c r="E110" s="29">
        <f>'RAB Inputs'!O51</f>
        <v>116.32743267504486</v>
      </c>
      <c r="F110" s="29">
        <f>'RAB Inputs'!P51</f>
        <v>116.32743267504486</v>
      </c>
      <c r="G110" s="29">
        <f>'RAB Inputs'!Q51</f>
        <v>116.32743267504486</v>
      </c>
      <c r="H110" s="29">
        <f>'RAB Inputs'!R51</f>
        <v>116.32743267504486</v>
      </c>
      <c r="I110" s="29">
        <f>SUM(D110:H110)</f>
        <v>581.6371633752243</v>
      </c>
    </row>
    <row r="111" spans="1:18" x14ac:dyDescent="0.25">
      <c r="A111" s="1" t="s">
        <v>81</v>
      </c>
      <c r="B111" s="56" t="s">
        <v>46</v>
      </c>
      <c r="C111" s="1" t="s">
        <v>47</v>
      </c>
      <c r="D111" s="29">
        <f>'RAB Inputs'!N56</f>
        <v>0</v>
      </c>
      <c r="E111" s="29">
        <f>'RAB Inputs'!O56</f>
        <v>0</v>
      </c>
      <c r="F111" s="29">
        <f>'RAB Inputs'!P56</f>
        <v>0</v>
      </c>
      <c r="G111" s="29">
        <f>'RAB Inputs'!Q56</f>
        <v>850</v>
      </c>
      <c r="H111" s="29">
        <f>'RAB Inputs'!R56</f>
        <v>850</v>
      </c>
      <c r="I111" s="29">
        <f>SUM(D111:H111)</f>
        <v>1700</v>
      </c>
    </row>
    <row r="113" spans="1:9" ht="13" x14ac:dyDescent="0.3">
      <c r="A113" s="121" t="s">
        <v>202</v>
      </c>
      <c r="B113" s="26"/>
      <c r="C113" s="26"/>
      <c r="D113" s="21" t="s">
        <v>20</v>
      </c>
      <c r="E113" s="21" t="s">
        <v>21</v>
      </c>
      <c r="F113" s="21" t="s">
        <v>22</v>
      </c>
      <c r="G113" s="21" t="s">
        <v>23</v>
      </c>
      <c r="H113" s="21" t="s">
        <v>24</v>
      </c>
      <c r="I113" s="21" t="s">
        <v>45</v>
      </c>
    </row>
    <row r="114" spans="1:9" x14ac:dyDescent="0.25">
      <c r="A114" s="1" t="s">
        <v>80</v>
      </c>
      <c r="B114" s="56" t="s">
        <v>46</v>
      </c>
      <c r="C114" s="1" t="s">
        <v>47</v>
      </c>
      <c r="D114" s="29">
        <f>('RAB Inputs'!D$11*$D105)/F12</f>
        <v>2937.7510677600244</v>
      </c>
      <c r="E114" s="29">
        <f>('RAB Inputs'!E$11*$D105)/G12</f>
        <v>1846.8394303497021</v>
      </c>
      <c r="F114" s="29">
        <f>('RAB Inputs'!F$11*$D105)/H12</f>
        <v>1314.1771546970208</v>
      </c>
      <c r="G114" s="29">
        <f>('RAB Inputs'!G$11*$D105)/I12</f>
        <v>1991.121906032794</v>
      </c>
      <c r="H114" s="29">
        <f>('RAB Inputs'!H$11*$D105)/J12</f>
        <v>2184.2255926184084</v>
      </c>
      <c r="I114" s="29">
        <f>SUM(D114:H114)</f>
        <v>10274.115151457951</v>
      </c>
    </row>
    <row r="115" spans="1:9" x14ac:dyDescent="0.25">
      <c r="A115" s="1" t="s">
        <v>42</v>
      </c>
      <c r="B115" s="56" t="s">
        <v>46</v>
      </c>
      <c r="C115" s="1" t="s">
        <v>47</v>
      </c>
      <c r="D115" s="29">
        <f>('RAB Inputs'!D$11*$D106)/F12</f>
        <v>195.99045402488056</v>
      </c>
      <c r="E115" s="29">
        <f>('RAB Inputs'!E$11*$D106)/G12</f>
        <v>123.21088142477616</v>
      </c>
      <c r="F115" s="29">
        <f>('RAB Inputs'!F$11*$D106)/H12</f>
        <v>87.674609344822343</v>
      </c>
      <c r="G115" s="29">
        <f>('RAB Inputs'!G$11*$D106)/I12</f>
        <v>132.8366077932545</v>
      </c>
      <c r="H115" s="29">
        <f>('RAB Inputs'!H$11*$D106)/J12</f>
        <v>145.71941451678327</v>
      </c>
      <c r="I115" s="29">
        <f>SUM(D115:H115)</f>
        <v>685.43196710451684</v>
      </c>
    </row>
    <row r="116" spans="1:9" x14ac:dyDescent="0.25">
      <c r="A116" s="1" t="s">
        <v>81</v>
      </c>
      <c r="B116" s="56" t="s">
        <v>46</v>
      </c>
      <c r="C116" s="1" t="s">
        <v>47</v>
      </c>
      <c r="D116" s="29">
        <f>D111</f>
        <v>0</v>
      </c>
      <c r="E116" s="29">
        <f>E111</f>
        <v>0</v>
      </c>
      <c r="F116" s="29">
        <f>F111</f>
        <v>0</v>
      </c>
      <c r="G116" s="29">
        <f>G111</f>
        <v>850</v>
      </c>
      <c r="H116" s="29">
        <f>H111</f>
        <v>850</v>
      </c>
      <c r="I116" s="29">
        <f>SUM(D116:H116)</f>
        <v>1700</v>
      </c>
    </row>
    <row r="118" spans="1:9" ht="13" x14ac:dyDescent="0.3">
      <c r="A118" s="121" t="s">
        <v>203</v>
      </c>
      <c r="B118" s="26"/>
      <c r="C118" s="26"/>
      <c r="D118" s="21" t="s">
        <v>20</v>
      </c>
      <c r="E118" s="21" t="s">
        <v>21</v>
      </c>
      <c r="F118" s="21" t="s">
        <v>22</v>
      </c>
      <c r="G118" s="21" t="s">
        <v>23</v>
      </c>
      <c r="H118" s="21" t="s">
        <v>24</v>
      </c>
      <c r="I118" s="21" t="s">
        <v>45</v>
      </c>
    </row>
    <row r="119" spans="1:9" x14ac:dyDescent="0.25">
      <c r="A119" s="1" t="s">
        <v>80</v>
      </c>
      <c r="B119" s="56" t="s">
        <v>46</v>
      </c>
      <c r="C119" s="1" t="s">
        <v>47</v>
      </c>
      <c r="D119" s="29">
        <f>(D109-D114)*0.5</f>
        <v>530.75527870920996</v>
      </c>
      <c r="E119" s="29">
        <f>(E109-E114)*0.5</f>
        <v>-41.933376912943572</v>
      </c>
      <c r="F119" s="29">
        <f>(F109-F114)*0.5</f>
        <v>24.846812575188096</v>
      </c>
      <c r="G119" s="29">
        <f>(G109-G114)*0.5</f>
        <v>-339.16784540867707</v>
      </c>
      <c r="H119" s="29">
        <f>(H109-H114)*0.5</f>
        <v>-455.77906650669047</v>
      </c>
      <c r="I119" s="29">
        <f>SUM(D119:H119)</f>
        <v>-281.27819754391305</v>
      </c>
    </row>
    <row r="120" spans="1:9" x14ac:dyDescent="0.25">
      <c r="A120" s="1" t="s">
        <v>42</v>
      </c>
      <c r="B120" s="56" t="s">
        <v>46</v>
      </c>
      <c r="C120" s="1" t="s">
        <v>47</v>
      </c>
      <c r="D120" s="29">
        <f>(D110-D115)*0.5</f>
        <v>-39.831510674917851</v>
      </c>
      <c r="E120" s="29">
        <f t="shared" ref="E120:H120" si="26">(E110-E115)*0.5</f>
        <v>-3.4417243748656503</v>
      </c>
      <c r="F120" s="29">
        <f t="shared" si="26"/>
        <v>14.326411665111259</v>
      </c>
      <c r="G120" s="29">
        <f t="shared" si="26"/>
        <v>-8.2545875591048201</v>
      </c>
      <c r="H120" s="29">
        <f t="shared" si="26"/>
        <v>-14.695990920869207</v>
      </c>
      <c r="I120" s="29">
        <f>SUM(D120:H120)</f>
        <v>-51.89740186464627</v>
      </c>
    </row>
    <row r="121" spans="1:9" x14ac:dyDescent="0.25">
      <c r="A121" s="1" t="s">
        <v>81</v>
      </c>
      <c r="B121" s="56" t="s">
        <v>46</v>
      </c>
      <c r="C121" s="1" t="s">
        <v>47</v>
      </c>
      <c r="D121" s="29">
        <f>(D111-D116)*0.5</f>
        <v>0</v>
      </c>
      <c r="E121" s="29">
        <f>(E111-E116)*0.5</f>
        <v>0</v>
      </c>
      <c r="F121" s="29">
        <f>(F111-F116)*0.5</f>
        <v>0</v>
      </c>
      <c r="G121" s="29">
        <f>(G111-G116)*0.5</f>
        <v>0</v>
      </c>
      <c r="H121" s="29">
        <f>(H111-H116)*0.5</f>
        <v>0</v>
      </c>
      <c r="I121" s="29">
        <f>SUM(D121:H121)</f>
        <v>0</v>
      </c>
    </row>
    <row r="123" spans="1:9" ht="13" x14ac:dyDescent="0.3">
      <c r="A123" s="121" t="s">
        <v>204</v>
      </c>
      <c r="B123" s="26"/>
      <c r="C123" s="26"/>
      <c r="D123" s="21" t="s">
        <v>20</v>
      </c>
      <c r="E123" s="21" t="s">
        <v>21</v>
      </c>
      <c r="F123" s="21" t="s">
        <v>22</v>
      </c>
      <c r="G123" s="21" t="s">
        <v>23</v>
      </c>
      <c r="H123" s="21" t="s">
        <v>24</v>
      </c>
      <c r="I123" s="21" t="s">
        <v>45</v>
      </c>
    </row>
    <row r="124" spans="1:9" x14ac:dyDescent="0.25">
      <c r="A124" s="1" t="s">
        <v>80</v>
      </c>
      <c r="B124" s="56" t="s">
        <v>46</v>
      </c>
      <c r="C124" s="1" t="s">
        <v>47</v>
      </c>
      <c r="D124" s="29">
        <f>D109-D119</f>
        <v>3468.5063464692344</v>
      </c>
      <c r="E124" s="29">
        <f t="shared" ref="E124:H124" si="27">E109-E119</f>
        <v>1804.9060534367586</v>
      </c>
      <c r="F124" s="29">
        <f t="shared" si="27"/>
        <v>1339.0239672722089</v>
      </c>
      <c r="G124" s="29">
        <f t="shared" si="27"/>
        <v>1651.9540606241169</v>
      </c>
      <c r="H124" s="29">
        <f t="shared" si="27"/>
        <v>1728.446526111718</v>
      </c>
      <c r="I124" s="29">
        <f>SUM(D124:H124)</f>
        <v>9992.8369539140367</v>
      </c>
    </row>
    <row r="125" spans="1:9" x14ac:dyDescent="0.25">
      <c r="A125" s="1" t="s">
        <v>42</v>
      </c>
      <c r="B125" s="56" t="s">
        <v>46</v>
      </c>
      <c r="C125" s="1" t="s">
        <v>47</v>
      </c>
      <c r="D125" s="29">
        <f>D110-D120</f>
        <v>156.15894334996273</v>
      </c>
      <c r="E125" s="29">
        <f t="shared" ref="E125:H125" si="28">E110-E120</f>
        <v>119.76915704991052</v>
      </c>
      <c r="F125" s="29">
        <f t="shared" si="28"/>
        <v>102.00102100993359</v>
      </c>
      <c r="G125" s="29">
        <f t="shared" si="28"/>
        <v>124.58202023414968</v>
      </c>
      <c r="H125" s="29">
        <f t="shared" si="28"/>
        <v>131.02342359591407</v>
      </c>
      <c r="I125" s="29">
        <f>SUM(D125:H125)</f>
        <v>633.53456523987063</v>
      </c>
    </row>
    <row r="126" spans="1:9" x14ac:dyDescent="0.25">
      <c r="A126" s="1" t="s">
        <v>81</v>
      </c>
      <c r="B126" s="56" t="s">
        <v>46</v>
      </c>
      <c r="C126" s="1" t="s">
        <v>47</v>
      </c>
      <c r="D126" s="29">
        <f>D111-D121</f>
        <v>0</v>
      </c>
      <c r="E126" s="29">
        <f>E111-E121</f>
        <v>0</v>
      </c>
      <c r="F126" s="29">
        <f>F111-F121</f>
        <v>0</v>
      </c>
      <c r="G126" s="29">
        <f>G111-G121</f>
        <v>850</v>
      </c>
      <c r="H126" s="29">
        <f>H111-H121</f>
        <v>850</v>
      </c>
      <c r="I126" s="29">
        <f>SUM(D126:H126)</f>
        <v>1700</v>
      </c>
    </row>
    <row r="129" spans="1:18" ht="13" x14ac:dyDescent="0.3">
      <c r="A129" s="7" t="s">
        <v>205</v>
      </c>
      <c r="B129" s="18"/>
    </row>
    <row r="130" spans="1:18" ht="13" x14ac:dyDescent="0.3">
      <c r="B130" s="26"/>
      <c r="C130" s="26" t="s">
        <v>63</v>
      </c>
      <c r="D130" s="28">
        <v>39538</v>
      </c>
      <c r="E130" s="28">
        <v>39721</v>
      </c>
      <c r="F130" s="28">
        <v>40086</v>
      </c>
      <c r="G130" s="28">
        <v>40268</v>
      </c>
      <c r="H130" s="28">
        <v>40451</v>
      </c>
      <c r="I130" s="28">
        <v>40816</v>
      </c>
      <c r="J130" s="28">
        <v>41182</v>
      </c>
      <c r="K130" s="28">
        <v>41547</v>
      </c>
      <c r="L130" s="28">
        <v>41912</v>
      </c>
      <c r="M130" s="28">
        <v>42277</v>
      </c>
      <c r="N130" s="28">
        <v>42643</v>
      </c>
      <c r="O130" s="28">
        <v>43008</v>
      </c>
      <c r="P130" s="28">
        <v>43373</v>
      </c>
      <c r="Q130" s="28">
        <v>43738</v>
      </c>
      <c r="R130" s="28">
        <v>44104</v>
      </c>
    </row>
    <row r="131" spans="1:18" ht="13" x14ac:dyDescent="0.3">
      <c r="A131" s="16" t="s">
        <v>52</v>
      </c>
      <c r="B131" s="16" t="s">
        <v>33</v>
      </c>
      <c r="C131" s="16" t="s">
        <v>44</v>
      </c>
      <c r="D131" s="115"/>
      <c r="E131" s="115"/>
      <c r="F131" s="115"/>
      <c r="G131" s="115"/>
      <c r="H131" s="115"/>
      <c r="I131" s="115"/>
      <c r="J131" s="115"/>
      <c r="K131" s="115"/>
      <c r="L131" s="115"/>
      <c r="M131" s="115"/>
      <c r="N131" s="115"/>
      <c r="O131" s="115"/>
      <c r="P131" s="115"/>
      <c r="Q131" s="115"/>
      <c r="R131" s="115"/>
    </row>
    <row r="132" spans="1:18" x14ac:dyDescent="0.25">
      <c r="A132" s="1" t="s">
        <v>72</v>
      </c>
      <c r="B132" s="116" t="s">
        <v>46</v>
      </c>
      <c r="C132" s="1" t="s">
        <v>47</v>
      </c>
      <c r="D132" s="29">
        <v>16552.87475049901</v>
      </c>
      <c r="E132" s="29">
        <f>D136</f>
        <v>17894.307474871937</v>
      </c>
      <c r="F132" s="29">
        <f t="shared" ref="F132:R132" si="29">E136</f>
        <v>18160.370710177893</v>
      </c>
      <c r="G132" s="29">
        <f t="shared" si="29"/>
        <v>19514.847844406802</v>
      </c>
      <c r="H132" s="29">
        <f t="shared" si="29"/>
        <v>21284.341637978705</v>
      </c>
      <c r="I132" s="29">
        <f t="shared" si="29"/>
        <v>20635.531193930885</v>
      </c>
      <c r="J132" s="29">
        <f t="shared" si="29"/>
        <v>18126.835687343329</v>
      </c>
      <c r="K132" s="29">
        <f t="shared" si="29"/>
        <v>15821.779178736026</v>
      </c>
      <c r="L132" s="29">
        <f t="shared" si="29"/>
        <v>12329.246935164629</v>
      </c>
      <c r="M132" s="29">
        <f t="shared" si="29"/>
        <v>10028.13552866684</v>
      </c>
      <c r="N132" s="29">
        <f t="shared" si="29"/>
        <v>6430.878756370128</v>
      </c>
      <c r="O132" s="29">
        <f t="shared" si="29"/>
        <v>4049.4076673492486</v>
      </c>
      <c r="P132" s="29">
        <f t="shared" si="29"/>
        <v>3214.0897437812996</v>
      </c>
      <c r="Q132" s="29">
        <f>P136</f>
        <v>2553.3656652130594</v>
      </c>
      <c r="R132" s="29">
        <f t="shared" si="29"/>
        <v>1936.9973007287761</v>
      </c>
    </row>
    <row r="133" spans="1:18" x14ac:dyDescent="0.25">
      <c r="A133" s="2" t="s">
        <v>219</v>
      </c>
      <c r="B133" s="116" t="s">
        <v>46</v>
      </c>
      <c r="C133" s="1" t="s">
        <v>47</v>
      </c>
      <c r="D133" s="29">
        <f t="shared" ref="D133:R133" si="30">SUM(D34:D36)</f>
        <v>2116.7832446290081</v>
      </c>
      <c r="E133" s="29">
        <f t="shared" si="30"/>
        <v>1262.6801421709006</v>
      </c>
      <c r="F133" s="29">
        <f t="shared" si="30"/>
        <v>3654.6519071999674</v>
      </c>
      <c r="G133" s="29">
        <f t="shared" si="30"/>
        <v>3035.1734247186259</v>
      </c>
      <c r="H133" s="29">
        <f t="shared" si="30"/>
        <v>1047.8191202872531</v>
      </c>
      <c r="I133" s="29">
        <f t="shared" si="30"/>
        <v>1013.3891382405744</v>
      </c>
      <c r="J133" s="29">
        <f t="shared" si="30"/>
        <v>1365.722621184919</v>
      </c>
      <c r="K133" s="29">
        <f t="shared" si="30"/>
        <v>281.17818671454216</v>
      </c>
      <c r="L133" s="29">
        <f t="shared" si="30"/>
        <v>1589.5175044883301</v>
      </c>
      <c r="M133" s="29">
        <f t="shared" si="30"/>
        <v>418.89811490125669</v>
      </c>
      <c r="N133" s="29">
        <f t="shared" si="30"/>
        <v>0</v>
      </c>
      <c r="O133" s="29">
        <f t="shared" si="30"/>
        <v>0</v>
      </c>
      <c r="P133" s="29">
        <f t="shared" si="30"/>
        <v>0</v>
      </c>
      <c r="Q133" s="29">
        <f t="shared" si="30"/>
        <v>0</v>
      </c>
      <c r="R133" s="29">
        <f t="shared" si="30"/>
        <v>0</v>
      </c>
    </row>
    <row r="134" spans="1:18" x14ac:dyDescent="0.25">
      <c r="A134" s="2" t="s">
        <v>193</v>
      </c>
      <c r="B134" s="116" t="s">
        <v>46</v>
      </c>
      <c r="C134" s="1" t="s">
        <v>47</v>
      </c>
      <c r="D134" s="29"/>
      <c r="E134" s="29"/>
      <c r="F134" s="29"/>
      <c r="G134" s="29"/>
      <c r="H134" s="29"/>
      <c r="I134" s="29"/>
      <c r="J134" s="29"/>
      <c r="K134" s="29"/>
      <c r="L134" s="29"/>
      <c r="M134" s="29"/>
      <c r="N134" s="29">
        <f>D27</f>
        <v>1087.0352574483547</v>
      </c>
      <c r="O134" s="29">
        <f>E27</f>
        <v>969.58812986881003</v>
      </c>
      <c r="P134" s="29">
        <f>F27</f>
        <v>678.2998887039688</v>
      </c>
      <c r="Q134" s="29">
        <f>G27</f>
        <v>1035.5856961398335</v>
      </c>
      <c r="R134" s="29">
        <f>H27</f>
        <v>1169.9988181476417</v>
      </c>
    </row>
    <row r="135" spans="1:18" x14ac:dyDescent="0.25">
      <c r="A135" s="2" t="s">
        <v>98</v>
      </c>
      <c r="B135" s="116" t="s">
        <v>46</v>
      </c>
      <c r="C135" s="1" t="s">
        <v>47</v>
      </c>
      <c r="D135" s="29">
        <f t="shared" ref="D135:M135" si="31">E81</f>
        <v>775.35052025608229</v>
      </c>
      <c r="E135" s="29">
        <f t="shared" si="31"/>
        <v>996.61690686494535</v>
      </c>
      <c r="F135" s="29">
        <f t="shared" si="31"/>
        <v>2300.1747729710587</v>
      </c>
      <c r="G135" s="29">
        <f t="shared" si="31"/>
        <v>1265.6796311467238</v>
      </c>
      <c r="H135" s="29">
        <f t="shared" si="31"/>
        <v>1696.6295643350707</v>
      </c>
      <c r="I135" s="29">
        <f t="shared" si="31"/>
        <v>3522.08464482813</v>
      </c>
      <c r="J135" s="29">
        <f t="shared" si="31"/>
        <v>3670.7791297922236</v>
      </c>
      <c r="K135" s="29">
        <f t="shared" si="31"/>
        <v>3773.7104302859398</v>
      </c>
      <c r="L135" s="29">
        <f t="shared" si="31"/>
        <v>3890.6289109861195</v>
      </c>
      <c r="M135" s="29">
        <f t="shared" si="31"/>
        <v>4016.1548871979685</v>
      </c>
      <c r="N135" s="29">
        <f>D124</f>
        <v>3468.5063464692344</v>
      </c>
      <c r="O135" s="29">
        <f t="shared" ref="O135:R135" si="32">E124</f>
        <v>1804.9060534367586</v>
      </c>
      <c r="P135" s="29">
        <f t="shared" si="32"/>
        <v>1339.0239672722089</v>
      </c>
      <c r="Q135" s="29">
        <f t="shared" si="32"/>
        <v>1651.9540606241169</v>
      </c>
      <c r="R135" s="29">
        <f t="shared" si="32"/>
        <v>1728.446526111718</v>
      </c>
    </row>
    <row r="136" spans="1:18" x14ac:dyDescent="0.25">
      <c r="A136" s="1" t="s">
        <v>74</v>
      </c>
      <c r="B136" s="116" t="s">
        <v>46</v>
      </c>
      <c r="C136" s="1" t="s">
        <v>47</v>
      </c>
      <c r="D136" s="29">
        <f t="shared" ref="D136:R136" si="33">D132+D133+D134-D135</f>
        <v>17894.307474871937</v>
      </c>
      <c r="E136" s="29">
        <f t="shared" si="33"/>
        <v>18160.370710177893</v>
      </c>
      <c r="F136" s="29">
        <f t="shared" si="33"/>
        <v>19514.847844406802</v>
      </c>
      <c r="G136" s="29">
        <f t="shared" si="33"/>
        <v>21284.341637978705</v>
      </c>
      <c r="H136" s="29">
        <f t="shared" si="33"/>
        <v>20635.531193930885</v>
      </c>
      <c r="I136" s="29">
        <f t="shared" si="33"/>
        <v>18126.835687343329</v>
      </c>
      <c r="J136" s="29">
        <f t="shared" si="33"/>
        <v>15821.779178736026</v>
      </c>
      <c r="K136" s="29">
        <f t="shared" si="33"/>
        <v>12329.246935164629</v>
      </c>
      <c r="L136" s="29">
        <f t="shared" si="33"/>
        <v>10028.13552866684</v>
      </c>
      <c r="M136" s="29">
        <f t="shared" si="33"/>
        <v>6430.878756370128</v>
      </c>
      <c r="N136" s="29">
        <f t="shared" si="33"/>
        <v>4049.4076673492486</v>
      </c>
      <c r="O136" s="29">
        <f t="shared" si="33"/>
        <v>3214.0897437812996</v>
      </c>
      <c r="P136" s="29">
        <f t="shared" si="33"/>
        <v>2553.3656652130594</v>
      </c>
      <c r="Q136" s="29">
        <f t="shared" si="33"/>
        <v>1936.9973007287761</v>
      </c>
      <c r="R136" s="29">
        <f t="shared" si="33"/>
        <v>1378.5495927646998</v>
      </c>
    </row>
    <row r="137" spans="1:18" x14ac:dyDescent="0.25">
      <c r="A137" s="1" t="s">
        <v>75</v>
      </c>
      <c r="B137" s="116" t="s">
        <v>46</v>
      </c>
      <c r="C137" s="1" t="s">
        <v>47</v>
      </c>
      <c r="D137" s="29">
        <f t="shared" ref="D137:R137" si="34">(D132+D136)/2</f>
        <v>17223.591112685473</v>
      </c>
      <c r="E137" s="29">
        <f t="shared" si="34"/>
        <v>18027.339092524915</v>
      </c>
      <c r="F137" s="29">
        <f t="shared" si="34"/>
        <v>18837.609277292348</v>
      </c>
      <c r="G137" s="29">
        <f t="shared" si="34"/>
        <v>20399.594741192755</v>
      </c>
      <c r="H137" s="29">
        <f t="shared" si="34"/>
        <v>20959.936415954795</v>
      </c>
      <c r="I137" s="29">
        <f t="shared" si="34"/>
        <v>19381.183440637105</v>
      </c>
      <c r="J137" s="29">
        <f t="shared" si="34"/>
        <v>16974.307433039678</v>
      </c>
      <c r="K137" s="29">
        <f t="shared" si="34"/>
        <v>14075.513056950327</v>
      </c>
      <c r="L137" s="29">
        <f t="shared" si="34"/>
        <v>11178.691231915735</v>
      </c>
      <c r="M137" s="29">
        <f t="shared" si="34"/>
        <v>8229.5071425184833</v>
      </c>
      <c r="N137" s="29">
        <f t="shared" si="34"/>
        <v>5240.1432118596886</v>
      </c>
      <c r="O137" s="29">
        <f t="shared" si="34"/>
        <v>3631.7487055652741</v>
      </c>
      <c r="P137" s="29">
        <f t="shared" si="34"/>
        <v>2883.7277044971797</v>
      </c>
      <c r="Q137" s="29">
        <f t="shared" si="34"/>
        <v>2245.1814829709178</v>
      </c>
      <c r="R137" s="29">
        <f t="shared" si="34"/>
        <v>1657.773446746738</v>
      </c>
    </row>
    <row r="138" spans="1:18" ht="14" customHeight="1" x14ac:dyDescent="0.25">
      <c r="D138" s="3"/>
      <c r="E138" s="3"/>
      <c r="F138" s="3"/>
      <c r="G138" s="3"/>
      <c r="H138" s="3"/>
      <c r="I138" s="3"/>
      <c r="J138" s="3"/>
      <c r="K138" s="3"/>
      <c r="L138" s="3"/>
      <c r="M138" s="3"/>
      <c r="N138" s="3"/>
      <c r="O138" s="3"/>
      <c r="P138" s="3"/>
      <c r="Q138" s="3"/>
      <c r="R138" s="3"/>
    </row>
    <row r="139" spans="1:18" ht="13" x14ac:dyDescent="0.3">
      <c r="A139" s="7" t="s">
        <v>206</v>
      </c>
      <c r="B139" s="18"/>
    </row>
    <row r="140" spans="1:18" ht="39" x14ac:dyDescent="0.3">
      <c r="A140" s="16" t="s">
        <v>106</v>
      </c>
      <c r="B140" s="20" t="s">
        <v>33</v>
      </c>
      <c r="C140" s="20" t="s">
        <v>44</v>
      </c>
      <c r="D140" s="61" t="s">
        <v>107</v>
      </c>
      <c r="E140" s="61" t="s">
        <v>207</v>
      </c>
      <c r="F140" s="61" t="s">
        <v>108</v>
      </c>
      <c r="G140" s="3"/>
      <c r="H140" s="3"/>
    </row>
    <row r="141" spans="1:18" x14ac:dyDescent="0.25">
      <c r="A141" s="1" t="s">
        <v>109</v>
      </c>
      <c r="B141" s="56" t="s">
        <v>46</v>
      </c>
      <c r="C141" s="1" t="s">
        <v>47</v>
      </c>
      <c r="D141" s="29">
        <f>SUM(N96:R96)</f>
        <v>8854.7477139905077</v>
      </c>
      <c r="E141" s="29">
        <f>I124</f>
        <v>9992.8369539140367</v>
      </c>
      <c r="F141" s="104">
        <f>D141-E141</f>
        <v>-1138.089239923529</v>
      </c>
      <c r="G141" s="3"/>
      <c r="H141" s="3"/>
    </row>
    <row r="143" spans="1:18" ht="13" x14ac:dyDescent="0.3">
      <c r="A143" s="16" t="s">
        <v>110</v>
      </c>
      <c r="B143" s="20" t="s">
        <v>33</v>
      </c>
      <c r="C143" s="20" t="s">
        <v>44</v>
      </c>
      <c r="D143" s="20"/>
      <c r="E143" s="20"/>
      <c r="F143" s="61" t="s">
        <v>108</v>
      </c>
    </row>
    <row r="144" spans="1:18" x14ac:dyDescent="0.25">
      <c r="A144" s="1" t="s">
        <v>109</v>
      </c>
      <c r="B144" s="56" t="s">
        <v>46</v>
      </c>
      <c r="C144" s="1" t="s">
        <v>60</v>
      </c>
      <c r="F144" s="29">
        <f>F141*K14</f>
        <v>-1290.3346422860732</v>
      </c>
    </row>
    <row r="146" spans="1:10" ht="13" x14ac:dyDescent="0.3">
      <c r="A146" s="7" t="s">
        <v>276</v>
      </c>
      <c r="B146" s="18"/>
    </row>
    <row r="147" spans="1:10" ht="13" x14ac:dyDescent="0.3">
      <c r="B147" s="26"/>
      <c r="C147" s="26"/>
      <c r="D147" s="21" t="s">
        <v>26</v>
      </c>
      <c r="E147" s="21" t="s">
        <v>27</v>
      </c>
      <c r="F147" s="21" t="s">
        <v>28</v>
      </c>
      <c r="G147" s="21" t="s">
        <v>29</v>
      </c>
      <c r="H147" s="21" t="s">
        <v>34</v>
      </c>
    </row>
    <row r="148" spans="1:10" x14ac:dyDescent="0.25">
      <c r="A148" s="1" t="s">
        <v>112</v>
      </c>
      <c r="D148" s="22">
        <v>0.2</v>
      </c>
      <c r="E148" s="22">
        <v>0.2</v>
      </c>
      <c r="F148" s="22">
        <v>0.2</v>
      </c>
      <c r="G148" s="22">
        <v>0.2</v>
      </c>
      <c r="H148" s="22">
        <v>0.2</v>
      </c>
    </row>
    <row r="149" spans="1:10" ht="13" x14ac:dyDescent="0.3">
      <c r="A149" s="10" t="s">
        <v>199</v>
      </c>
      <c r="B149" s="20" t="s">
        <v>33</v>
      </c>
      <c r="C149" s="20" t="s">
        <v>44</v>
      </c>
      <c r="D149" s="29"/>
      <c r="E149" s="29"/>
      <c r="F149" s="29"/>
      <c r="G149" s="29"/>
      <c r="H149" s="29"/>
    </row>
    <row r="150" spans="1:10" x14ac:dyDescent="0.25">
      <c r="A150" s="1" t="s">
        <v>109</v>
      </c>
      <c r="B150" s="56" t="s">
        <v>46</v>
      </c>
      <c r="C150" s="1" t="s">
        <v>60</v>
      </c>
      <c r="D150" s="104">
        <f>$F144*D$148</f>
        <v>-258.06692845721466</v>
      </c>
      <c r="E150" s="104">
        <f t="shared" ref="E150:H150" si="35">$F144*E$148</f>
        <v>-258.06692845721466</v>
      </c>
      <c r="F150" s="104">
        <f t="shared" si="35"/>
        <v>-258.06692845721466</v>
      </c>
      <c r="G150" s="104">
        <f t="shared" si="35"/>
        <v>-258.06692845721466</v>
      </c>
      <c r="H150" s="104">
        <f t="shared" si="35"/>
        <v>-258.06692845721466</v>
      </c>
    </row>
    <row r="153" spans="1:10" ht="13" x14ac:dyDescent="0.3">
      <c r="A153" s="7" t="s">
        <v>277</v>
      </c>
      <c r="B153" s="18"/>
    </row>
    <row r="155" spans="1:10" ht="13" x14ac:dyDescent="0.3">
      <c r="A155" s="16" t="s">
        <v>52</v>
      </c>
      <c r="B155" s="20" t="s">
        <v>33</v>
      </c>
      <c r="C155" s="20" t="s">
        <v>44</v>
      </c>
      <c r="D155" s="21" t="s">
        <v>26</v>
      </c>
      <c r="E155" s="21" t="s">
        <v>27</v>
      </c>
      <c r="F155" s="21" t="s">
        <v>28</v>
      </c>
      <c r="G155" s="21" t="s">
        <v>29</v>
      </c>
      <c r="H155" s="21" t="s">
        <v>34</v>
      </c>
      <c r="I155" s="21" t="s">
        <v>268</v>
      </c>
      <c r="J155" s="21" t="s">
        <v>275</v>
      </c>
    </row>
    <row r="156" spans="1:10" x14ac:dyDescent="0.25">
      <c r="A156" s="1" t="s">
        <v>72</v>
      </c>
      <c r="B156" s="56" t="s">
        <v>46</v>
      </c>
      <c r="C156" s="1" t="s">
        <v>60</v>
      </c>
      <c r="D156" s="29">
        <f>R136*K14</f>
        <v>1562.9620536375267</v>
      </c>
      <c r="E156" s="29">
        <f>D160</f>
        <v>2270.9272697195343</v>
      </c>
      <c r="F156" s="29">
        <f t="shared" ref="F156:J156" si="36">E160</f>
        <v>4344.3021127474658</v>
      </c>
      <c r="G156" s="29">
        <f t="shared" si="36"/>
        <v>5326.8110001809009</v>
      </c>
      <c r="H156" s="29">
        <f t="shared" si="36"/>
        <v>6096.3765032670244</v>
      </c>
      <c r="I156" s="29">
        <f t="shared" si="36"/>
        <v>5558.4245068309001</v>
      </c>
      <c r="J156" s="29">
        <f t="shared" si="36"/>
        <v>3891.8177897369719</v>
      </c>
    </row>
    <row r="157" spans="1:10" x14ac:dyDescent="0.25">
      <c r="A157" s="1" t="s">
        <v>83</v>
      </c>
      <c r="B157" s="56" t="s">
        <v>46</v>
      </c>
      <c r="C157" s="1" t="s">
        <v>60</v>
      </c>
      <c r="D157" s="29">
        <f t="shared" ref="D157:J157" si="37">S45</f>
        <v>1607.7065233509113</v>
      </c>
      <c r="E157" s="29">
        <f t="shared" si="37"/>
        <v>3223.0138152498284</v>
      </c>
      <c r="F157" s="29">
        <f t="shared" si="37"/>
        <v>2519.5735303009892</v>
      </c>
      <c r="G157" s="29">
        <f t="shared" si="37"/>
        <v>2626.9686782433678</v>
      </c>
      <c r="H157" s="29">
        <f t="shared" si="37"/>
        <v>1480.0943</v>
      </c>
      <c r="I157" s="29">
        <f t="shared" si="37"/>
        <v>515.66000000000008</v>
      </c>
      <c r="J157" s="29">
        <f t="shared" si="37"/>
        <v>515.66000000000008</v>
      </c>
    </row>
    <row r="158" spans="1:10" x14ac:dyDescent="0.25">
      <c r="A158" s="1" t="s">
        <v>84</v>
      </c>
      <c r="B158" s="56" t="s">
        <v>46</v>
      </c>
      <c r="C158" s="1" t="s">
        <v>60</v>
      </c>
      <c r="D158" s="29">
        <f t="shared" ref="D158:J158" si="38">D86</f>
        <v>1157.8082357261183</v>
      </c>
      <c r="E158" s="29">
        <f t="shared" si="38"/>
        <v>1407.7059006791126</v>
      </c>
      <c r="F158" s="29">
        <f t="shared" si="38"/>
        <v>1795.1315713247695</v>
      </c>
      <c r="G158" s="29">
        <f t="shared" si="38"/>
        <v>2115.4701036144597</v>
      </c>
      <c r="H158" s="29">
        <f t="shared" si="38"/>
        <v>2276.1132248933391</v>
      </c>
      <c r="I158" s="29">
        <f t="shared" si="38"/>
        <v>2182.266717093928</v>
      </c>
      <c r="J158" s="29">
        <f t="shared" si="38"/>
        <v>1802.3266832338543</v>
      </c>
    </row>
    <row r="159" spans="1:10" x14ac:dyDescent="0.25">
      <c r="A159" s="2" t="s">
        <v>216</v>
      </c>
      <c r="B159" s="56" t="s">
        <v>46</v>
      </c>
      <c r="C159" s="1" t="s">
        <v>60</v>
      </c>
      <c r="D159" s="104">
        <f>D150</f>
        <v>-258.06692845721466</v>
      </c>
      <c r="E159" s="104">
        <f t="shared" ref="E159:J159" si="39">E150</f>
        <v>-258.06692845721466</v>
      </c>
      <c r="F159" s="104">
        <f t="shared" si="39"/>
        <v>-258.06692845721466</v>
      </c>
      <c r="G159" s="104">
        <f t="shared" si="39"/>
        <v>-258.06692845721466</v>
      </c>
      <c r="H159" s="104">
        <f t="shared" si="39"/>
        <v>-258.06692845721466</v>
      </c>
      <c r="I159" s="104">
        <f t="shared" si="39"/>
        <v>0</v>
      </c>
      <c r="J159" s="104">
        <f t="shared" si="39"/>
        <v>0</v>
      </c>
    </row>
    <row r="160" spans="1:10" x14ac:dyDescent="0.25">
      <c r="A160" s="1" t="s">
        <v>74</v>
      </c>
      <c r="B160" s="56" t="s">
        <v>46</v>
      </c>
      <c r="C160" s="1" t="s">
        <v>60</v>
      </c>
      <c r="D160" s="29">
        <f>D156+D157-D158-D159</f>
        <v>2270.9272697195343</v>
      </c>
      <c r="E160" s="29">
        <f t="shared" ref="E160:J160" si="40">E156+E157-E158-E159</f>
        <v>4344.3021127474658</v>
      </c>
      <c r="F160" s="29">
        <f t="shared" si="40"/>
        <v>5326.8110001809009</v>
      </c>
      <c r="G160" s="29">
        <f t="shared" si="40"/>
        <v>6096.3765032670244</v>
      </c>
      <c r="H160" s="29">
        <f t="shared" si="40"/>
        <v>5558.4245068309001</v>
      </c>
      <c r="I160" s="29">
        <f t="shared" si="40"/>
        <v>3891.8177897369719</v>
      </c>
      <c r="J160" s="29">
        <f t="shared" si="40"/>
        <v>2605.1511065031182</v>
      </c>
    </row>
    <row r="161" spans="1:13" x14ac:dyDescent="0.25">
      <c r="A161" s="1" t="s">
        <v>75</v>
      </c>
      <c r="B161" s="56" t="s">
        <v>46</v>
      </c>
      <c r="C161" s="1" t="s">
        <v>60</v>
      </c>
      <c r="D161" s="29">
        <f>AVERAGE(D156,D160)</f>
        <v>1916.9446616785303</v>
      </c>
      <c r="E161" s="29">
        <f t="shared" ref="E161:J161" si="41">AVERAGE(E156,E160)</f>
        <v>3307.6146912334998</v>
      </c>
      <c r="F161" s="29">
        <f t="shared" si="41"/>
        <v>4835.5565564641838</v>
      </c>
      <c r="G161" s="29">
        <f t="shared" si="41"/>
        <v>5711.5937517239627</v>
      </c>
      <c r="H161" s="29">
        <f t="shared" si="41"/>
        <v>5827.4005050489623</v>
      </c>
      <c r="I161" s="29">
        <f t="shared" si="41"/>
        <v>4725.1211482839362</v>
      </c>
      <c r="J161" s="29">
        <f t="shared" si="41"/>
        <v>3248.4844481200453</v>
      </c>
    </row>
    <row r="162" spans="1:13" x14ac:dyDescent="0.25">
      <c r="D162" s="3"/>
      <c r="E162" s="3"/>
      <c r="F162" s="3"/>
      <c r="G162" s="3"/>
      <c r="H162" s="3"/>
    </row>
    <row r="163" spans="1:13" x14ac:dyDescent="0.25">
      <c r="D163" s="29"/>
    </row>
    <row r="164" spans="1:13" ht="13" x14ac:dyDescent="0.3">
      <c r="A164" s="7" t="s">
        <v>277</v>
      </c>
      <c r="B164" s="18"/>
    </row>
    <row r="166" spans="1:13" ht="13" x14ac:dyDescent="0.3">
      <c r="A166" s="16" t="s">
        <v>52</v>
      </c>
      <c r="B166" s="20" t="s">
        <v>33</v>
      </c>
      <c r="C166" s="20" t="s">
        <v>44</v>
      </c>
      <c r="D166" s="21" t="s">
        <v>26</v>
      </c>
      <c r="E166" s="21" t="s">
        <v>27</v>
      </c>
      <c r="F166" s="21" t="s">
        <v>28</v>
      </c>
      <c r="G166" s="21" t="s">
        <v>29</v>
      </c>
      <c r="H166" s="21" t="s">
        <v>34</v>
      </c>
      <c r="I166" s="21" t="s">
        <v>268</v>
      </c>
      <c r="J166" s="21" t="s">
        <v>275</v>
      </c>
    </row>
    <row r="167" spans="1:13" ht="13" x14ac:dyDescent="0.3">
      <c r="A167" s="1" t="s">
        <v>164</v>
      </c>
      <c r="B167" s="56" t="s">
        <v>46</v>
      </c>
      <c r="C167" s="1" t="s">
        <v>85</v>
      </c>
      <c r="D167" s="29">
        <f>(R136*$K$14)*K7</f>
        <v>1603.633928639247</v>
      </c>
      <c r="E167" s="29">
        <f t="shared" ref="E167:J167" si="42">D170*(L5/K5)</f>
        <v>2511.5273707864744</v>
      </c>
      <c r="F167" s="29">
        <f t="shared" si="42"/>
        <v>5180.055400236989</v>
      </c>
      <c r="G167" s="29">
        <f t="shared" si="42"/>
        <v>6544.6506898133375</v>
      </c>
      <c r="H167" s="29">
        <f t="shared" si="42"/>
        <v>7610.0002724127417</v>
      </c>
      <c r="I167" s="29">
        <f t="shared" si="42"/>
        <v>7166.0376165745529</v>
      </c>
      <c r="J167" s="29">
        <f t="shared" si="42"/>
        <v>5123.9657678049034</v>
      </c>
    </row>
    <row r="168" spans="1:13" ht="13" x14ac:dyDescent="0.3">
      <c r="A168" s="1" t="s">
        <v>165</v>
      </c>
      <c r="B168" s="56" t="s">
        <v>46</v>
      </c>
      <c r="C168" s="1" t="s">
        <v>85</v>
      </c>
      <c r="D168" s="29">
        <f t="shared" ref="D168:J168" si="43">S45*K7</f>
        <v>1649.5427525830914</v>
      </c>
      <c r="E168" s="29">
        <f t="shared" si="43"/>
        <v>3564.4855391703495</v>
      </c>
      <c r="F168" s="29">
        <f t="shared" si="43"/>
        <v>3004.287025442537</v>
      </c>
      <c r="G168" s="29">
        <f t="shared" si="43"/>
        <v>3227.5581715964049</v>
      </c>
      <c r="H168" s="29">
        <f t="shared" si="43"/>
        <v>1847.5758543063198</v>
      </c>
      <c r="I168" s="29">
        <f t="shared" si="43"/>
        <v>664.79970229363653</v>
      </c>
      <c r="J168" s="29">
        <f t="shared" si="43"/>
        <v>678.91775272573932</v>
      </c>
    </row>
    <row r="169" spans="1:13" ht="13" x14ac:dyDescent="0.3">
      <c r="A169" s="2" t="s">
        <v>187</v>
      </c>
      <c r="B169" s="56" t="s">
        <v>46</v>
      </c>
      <c r="C169" s="1" t="s">
        <v>85</v>
      </c>
      <c r="D169" s="29">
        <f t="shared" ref="D169:I169" si="44">(D158+D159)*K7</f>
        <v>923.1546498372395</v>
      </c>
      <c r="E169" s="29">
        <f t="shared" si="44"/>
        <v>1271.4408707658536</v>
      </c>
      <c r="F169" s="29">
        <f t="shared" si="44"/>
        <v>1832.7638817835254</v>
      </c>
      <c r="G169" s="29">
        <f t="shared" si="44"/>
        <v>2282.0511129720057</v>
      </c>
      <c r="H169" s="29">
        <f t="shared" si="44"/>
        <v>2519.0919322962582</v>
      </c>
      <c r="I169" s="29">
        <f t="shared" si="44"/>
        <v>2813.4240853456827</v>
      </c>
      <c r="J169" s="29">
        <f>(J158+J159)*Q7</f>
        <v>2372.9426006647086</v>
      </c>
    </row>
    <row r="170" spans="1:13" ht="13" x14ac:dyDescent="0.3">
      <c r="A170" s="1" t="s">
        <v>166</v>
      </c>
      <c r="B170" s="56" t="s">
        <v>46</v>
      </c>
      <c r="C170" s="1" t="s">
        <v>85</v>
      </c>
      <c r="D170" s="29">
        <f>D167+D168-D169</f>
        <v>2330.0220313850991</v>
      </c>
      <c r="E170" s="29">
        <f t="shared" ref="E170:H170" si="45">E167+E168-E169</f>
        <v>4804.5720391909708</v>
      </c>
      <c r="F170" s="29">
        <f t="shared" si="45"/>
        <v>6351.5785438960011</v>
      </c>
      <c r="G170" s="29">
        <f t="shared" si="45"/>
        <v>7490.1577484377376</v>
      </c>
      <c r="H170" s="29">
        <f t="shared" si="45"/>
        <v>6938.4841944228028</v>
      </c>
      <c r="I170" s="29">
        <f>I167+I168-I169</f>
        <v>5017.4132335225058</v>
      </c>
      <c r="J170" s="29">
        <f>J167+J168-J169</f>
        <v>3429.9409198659337</v>
      </c>
    </row>
    <row r="171" spans="1:13" x14ac:dyDescent="0.25">
      <c r="A171" s="1" t="s">
        <v>75</v>
      </c>
      <c r="B171" s="56" t="s">
        <v>46</v>
      </c>
      <c r="C171" s="1" t="s">
        <v>85</v>
      </c>
      <c r="D171" s="29">
        <f t="shared" ref="D171:J171" si="46">AVERAGE(D167,D170)</f>
        <v>1966.8279800121732</v>
      </c>
      <c r="E171" s="29">
        <f t="shared" si="46"/>
        <v>3658.0497049887226</v>
      </c>
      <c r="F171" s="29">
        <f t="shared" si="46"/>
        <v>5765.8169720664955</v>
      </c>
      <c r="G171" s="29">
        <f t="shared" si="46"/>
        <v>7017.4042191255376</v>
      </c>
      <c r="H171" s="29">
        <f t="shared" si="46"/>
        <v>7274.2422334177718</v>
      </c>
      <c r="I171" s="29">
        <f t="shared" si="46"/>
        <v>6091.7254250485294</v>
      </c>
      <c r="J171" s="29">
        <f t="shared" si="46"/>
        <v>4276.9533438354183</v>
      </c>
      <c r="K171" s="57"/>
      <c r="L171" s="57"/>
      <c r="M171" s="57"/>
    </row>
    <row r="172" spans="1:13" x14ac:dyDescent="0.25">
      <c r="D172" s="29"/>
      <c r="E172" s="29"/>
      <c r="F172" s="29"/>
      <c r="G172" s="29"/>
      <c r="H172" s="29"/>
      <c r="I172" s="57"/>
      <c r="J172" s="57"/>
      <c r="K172" s="57"/>
      <c r="L172" s="57"/>
      <c r="M172" s="57"/>
    </row>
    <row r="173" spans="1:13" x14ac:dyDescent="0.25">
      <c r="D173" s="57"/>
      <c r="E173" s="57"/>
      <c r="F173" s="57"/>
      <c r="G173" s="57"/>
      <c r="H173" s="57"/>
      <c r="I173" s="57"/>
      <c r="J173" s="57"/>
      <c r="K173" s="57"/>
      <c r="L173" s="57"/>
      <c r="M173" s="57"/>
    </row>
    <row r="174" spans="1:13" x14ac:dyDescent="0.25">
      <c r="D174" s="29"/>
      <c r="E174" s="29"/>
      <c r="F174" s="29"/>
      <c r="G174" s="29"/>
      <c r="H174" s="29"/>
      <c r="I174" s="57"/>
      <c r="J174" s="57"/>
      <c r="K174" s="57"/>
      <c r="L174" s="57"/>
      <c r="M174" s="57"/>
    </row>
    <row r="175" spans="1:13" x14ac:dyDescent="0.25">
      <c r="D175" s="29"/>
      <c r="E175" s="29"/>
      <c r="F175" s="29"/>
      <c r="G175" s="29"/>
      <c r="H175" s="29"/>
      <c r="I175" s="57"/>
      <c r="J175" s="57"/>
      <c r="K175" s="57"/>
      <c r="L175" s="57"/>
      <c r="M175" s="57"/>
    </row>
    <row r="176" spans="1:13" x14ac:dyDescent="0.25">
      <c r="D176" s="29"/>
      <c r="E176" s="29"/>
      <c r="F176" s="29"/>
      <c r="G176" s="29"/>
      <c r="H176" s="29"/>
    </row>
    <row r="177" spans="4:8" x14ac:dyDescent="0.25">
      <c r="D177" s="29"/>
      <c r="E177" s="29"/>
      <c r="F177" s="29"/>
      <c r="G177" s="29"/>
      <c r="H177" s="29"/>
    </row>
    <row r="178" spans="4:8" x14ac:dyDescent="0.25">
      <c r="D178" s="29"/>
      <c r="E178" s="29"/>
      <c r="F178" s="29"/>
      <c r="G178" s="29"/>
      <c r="H178" s="29"/>
    </row>
  </sheetData>
  <phoneticPr fontId="20" type="noConversion"/>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BG141"/>
  <sheetViews>
    <sheetView showGridLines="0" zoomScale="71" zoomScaleNormal="85" workbookViewId="0"/>
  </sheetViews>
  <sheetFormatPr defaultColWidth="9.08984375" defaultRowHeight="12.5" x14ac:dyDescent="0.25"/>
  <cols>
    <col min="1" max="1" width="60" style="1" customWidth="1"/>
    <col min="2" max="2" width="19.36328125" style="1" bestFit="1" customWidth="1"/>
    <col min="3" max="3" width="17.36328125" style="1" bestFit="1" customWidth="1"/>
    <col min="4" max="4" width="12.36328125" style="1" bestFit="1" customWidth="1"/>
    <col min="5" max="5" width="13.08984375" style="1" customWidth="1"/>
    <col min="6" max="42" width="12.36328125" style="1" bestFit="1" customWidth="1"/>
    <col min="43" max="55" width="10.08984375" style="1" customWidth="1"/>
    <col min="56" max="16384" width="9.08984375" style="1"/>
  </cols>
  <sheetData>
    <row r="1" spans="1:26" ht="13" x14ac:dyDescent="0.3">
      <c r="A1" s="7" t="s">
        <v>31</v>
      </c>
      <c r="B1" s="18"/>
    </row>
    <row r="3" spans="1:26" ht="13" x14ac:dyDescent="0.3">
      <c r="A3" s="7" t="s">
        <v>32</v>
      </c>
      <c r="B3" s="18"/>
      <c r="J3" s="19"/>
      <c r="K3" s="19">
        <v>1</v>
      </c>
      <c r="L3" s="19">
        <v>2</v>
      </c>
      <c r="M3" s="19">
        <v>3</v>
      </c>
      <c r="N3" s="19">
        <v>4</v>
      </c>
      <c r="O3" s="19">
        <v>5</v>
      </c>
      <c r="P3" s="19">
        <v>6</v>
      </c>
      <c r="Q3" s="19">
        <v>7</v>
      </c>
    </row>
    <row r="4" spans="1:26" ht="13" x14ac:dyDescent="0.3">
      <c r="B4" s="20" t="s">
        <v>33</v>
      </c>
      <c r="C4" s="20"/>
      <c r="D4" s="21" t="s">
        <v>18</v>
      </c>
      <c r="E4" s="21" t="s">
        <v>19</v>
      </c>
      <c r="F4" s="21" t="s">
        <v>20</v>
      </c>
      <c r="G4" s="21" t="s">
        <v>21</v>
      </c>
      <c r="H4" s="21" t="s">
        <v>22</v>
      </c>
      <c r="I4" s="21" t="s">
        <v>23</v>
      </c>
      <c r="J4" s="21" t="s">
        <v>24</v>
      </c>
      <c r="K4" s="21" t="s">
        <v>26</v>
      </c>
      <c r="L4" s="21" t="s">
        <v>27</v>
      </c>
      <c r="M4" s="21" t="s">
        <v>28</v>
      </c>
      <c r="N4" s="21" t="s">
        <v>29</v>
      </c>
      <c r="O4" s="21" t="s">
        <v>34</v>
      </c>
      <c r="P4" s="21" t="s">
        <v>268</v>
      </c>
      <c r="Q4" s="21" t="s">
        <v>275</v>
      </c>
    </row>
    <row r="5" spans="1:26" x14ac:dyDescent="0.25">
      <c r="A5" s="2" t="s">
        <v>13</v>
      </c>
      <c r="B5" s="1" t="s">
        <v>11</v>
      </c>
      <c r="D5" s="58">
        <f>Inflation!G3</f>
        <v>99.6</v>
      </c>
      <c r="E5" s="58">
        <f>Inflation!H3</f>
        <v>99.9</v>
      </c>
      <c r="F5" s="58">
        <f>Inflation!I3</f>
        <v>100.6</v>
      </c>
      <c r="G5" s="58">
        <f>Inflation!J3</f>
        <v>103.2</v>
      </c>
      <c r="H5" s="58">
        <f>Inflation!K3</f>
        <v>105.5</v>
      </c>
      <c r="I5" s="58">
        <f>Inflation!L3</f>
        <v>107.6</v>
      </c>
      <c r="J5" s="58">
        <f>Inflation!M3</f>
        <v>108.6</v>
      </c>
      <c r="K5" s="132">
        <f>Inflation!N3</f>
        <v>110.4</v>
      </c>
      <c r="L5" s="132">
        <f>Inflation!O3</f>
        <v>119</v>
      </c>
      <c r="M5" s="132">
        <f>Inflation!P3</f>
        <v>128.30000000000001</v>
      </c>
      <c r="N5" s="132">
        <f>Inflation!Q3</f>
        <v>132.19999999999999</v>
      </c>
      <c r="O5" s="59">
        <f>Inflation!R3</f>
        <v>134.3152</v>
      </c>
      <c r="P5" s="59">
        <f>Inflation!S3</f>
        <v>138.7201798991492</v>
      </c>
      <c r="Q5" s="59">
        <f>Inflation!T3</f>
        <v>141.66611758385281</v>
      </c>
    </row>
    <row r="6" spans="1:26" x14ac:dyDescent="0.25">
      <c r="A6" s="1" t="s">
        <v>35</v>
      </c>
      <c r="B6" s="1" t="s">
        <v>36</v>
      </c>
      <c r="D6" s="22">
        <f>$J$5/D5</f>
        <v>1.0903614457831325</v>
      </c>
      <c r="E6" s="22">
        <f t="shared" ref="E6:O6" si="0">$J$5/E5</f>
        <v>1.087087087087087</v>
      </c>
      <c r="F6" s="22">
        <f t="shared" si="0"/>
        <v>1.0795228628230615</v>
      </c>
      <c r="G6" s="22">
        <f t="shared" si="0"/>
        <v>1.0523255813953487</v>
      </c>
      <c r="H6" s="22">
        <f t="shared" si="0"/>
        <v>1.0293838862559241</v>
      </c>
      <c r="I6" s="22">
        <f t="shared" si="0"/>
        <v>1.0092936802973977</v>
      </c>
      <c r="J6" s="22">
        <f t="shared" si="0"/>
        <v>1</v>
      </c>
      <c r="K6" s="22">
        <f t="shared" si="0"/>
        <v>0.98369565217391297</v>
      </c>
      <c r="L6" s="22">
        <f t="shared" si="0"/>
        <v>0.9126050420168067</v>
      </c>
      <c r="M6" s="22">
        <f t="shared" si="0"/>
        <v>0.84645362431800453</v>
      </c>
      <c r="N6" s="22">
        <f t="shared" si="0"/>
        <v>0.82148260211800306</v>
      </c>
      <c r="O6" s="22">
        <f t="shared" si="0"/>
        <v>0.80854586822638086</v>
      </c>
      <c r="P6" s="22">
        <f t="shared" ref="P6:Q6" si="1">$J$5/P5</f>
        <v>0.78287095705147702</v>
      </c>
      <c r="Q6" s="22">
        <f t="shared" si="1"/>
        <v>0.76659120650863588</v>
      </c>
    </row>
    <row r="7" spans="1:26" x14ac:dyDescent="0.25">
      <c r="A7" s="1" t="s">
        <v>167</v>
      </c>
      <c r="B7" s="1" t="s">
        <v>36</v>
      </c>
      <c r="D7" s="22">
        <f>D5/$I$5</f>
        <v>0.92565055762081783</v>
      </c>
      <c r="E7" s="22">
        <f t="shared" ref="E7:O7" si="2">E5/$I$5</f>
        <v>0.92843866171003731</v>
      </c>
      <c r="F7" s="22">
        <f t="shared" si="2"/>
        <v>0.93494423791821557</v>
      </c>
      <c r="G7" s="22">
        <f t="shared" si="2"/>
        <v>0.9591078066914499</v>
      </c>
      <c r="H7" s="22">
        <f t="shared" si="2"/>
        <v>0.98048327137546476</v>
      </c>
      <c r="I7" s="22">
        <f t="shared" si="2"/>
        <v>1</v>
      </c>
      <c r="J7" s="22">
        <f t="shared" si="2"/>
        <v>1.0092936802973977</v>
      </c>
      <c r="K7" s="22">
        <f t="shared" si="2"/>
        <v>1.0260223048327139</v>
      </c>
      <c r="L7" s="22">
        <f t="shared" si="2"/>
        <v>1.1059479553903346</v>
      </c>
      <c r="M7" s="22">
        <f t="shared" si="2"/>
        <v>1.192379182156134</v>
      </c>
      <c r="N7" s="22">
        <f t="shared" si="2"/>
        <v>1.228624535315985</v>
      </c>
      <c r="O7" s="22">
        <f t="shared" si="2"/>
        <v>1.248282527881041</v>
      </c>
      <c r="P7" s="22">
        <f t="shared" ref="P7:Q7" si="3">P5/$I$5</f>
        <v>1.2892210027801971</v>
      </c>
      <c r="Q7" s="22">
        <f t="shared" si="3"/>
        <v>1.3165996057978886</v>
      </c>
    </row>
    <row r="8" spans="1:26" x14ac:dyDescent="0.25">
      <c r="D8" s="22"/>
      <c r="E8" s="22"/>
      <c r="F8" s="22"/>
      <c r="G8" s="22"/>
      <c r="H8" s="22"/>
      <c r="I8" s="22"/>
      <c r="J8" s="22"/>
      <c r="K8" s="22"/>
      <c r="L8" s="22"/>
      <c r="M8" s="22"/>
      <c r="N8" s="22"/>
      <c r="O8" s="22"/>
    </row>
    <row r="9" spans="1:26" ht="13" x14ac:dyDescent="0.3">
      <c r="B9" s="20" t="s">
        <v>33</v>
      </c>
      <c r="C9" s="20"/>
      <c r="D9" s="21" t="s">
        <v>18</v>
      </c>
      <c r="E9" s="21" t="s">
        <v>19</v>
      </c>
      <c r="F9" s="21" t="s">
        <v>20</v>
      </c>
      <c r="G9" s="21" t="s">
        <v>21</v>
      </c>
      <c r="H9" s="21" t="s">
        <v>22</v>
      </c>
      <c r="I9" s="21" t="s">
        <v>23</v>
      </c>
      <c r="J9" s="21" t="s">
        <v>24</v>
      </c>
      <c r="K9" s="21" t="s">
        <v>26</v>
      </c>
      <c r="L9" s="21" t="s">
        <v>27</v>
      </c>
      <c r="M9" s="21" t="s">
        <v>28</v>
      </c>
      <c r="N9" s="21" t="s">
        <v>29</v>
      </c>
      <c r="O9" s="21" t="s">
        <v>34</v>
      </c>
      <c r="P9" s="21" t="s">
        <v>268</v>
      </c>
      <c r="Q9" s="21" t="s">
        <v>275</v>
      </c>
    </row>
    <row r="10" spans="1:26" x14ac:dyDescent="0.25">
      <c r="A10" s="2" t="s">
        <v>14</v>
      </c>
      <c r="B10" s="1" t="s">
        <v>11</v>
      </c>
      <c r="D10" s="58">
        <f>Inflation!G7</f>
        <v>255.7</v>
      </c>
      <c r="E10" s="58">
        <f>Inflation!H7</f>
        <v>258</v>
      </c>
      <c r="F10" s="58">
        <f>Inflation!I7</f>
        <v>261.39999999999998</v>
      </c>
      <c r="G10" s="58">
        <f>Inflation!J7</f>
        <v>270.60000000000002</v>
      </c>
      <c r="H10" s="58">
        <f>Inflation!K7</f>
        <v>279.7</v>
      </c>
      <c r="I10" s="58">
        <f>Inflation!L7</f>
        <v>288.2</v>
      </c>
      <c r="J10" s="58">
        <f>Inflation!M7</f>
        <v>292.60000000000002</v>
      </c>
      <c r="K10" s="132">
        <f>Inflation!N7</f>
        <v>301.10000000000002</v>
      </c>
      <c r="L10" s="132">
        <f>Inflation!O7</f>
        <v>0</v>
      </c>
      <c r="M10" s="132">
        <f>Inflation!P7</f>
        <v>0</v>
      </c>
      <c r="N10" s="132">
        <f>Inflation!Q7</f>
        <v>0</v>
      </c>
      <c r="O10" s="59">
        <f>Inflation!R7</f>
        <v>0</v>
      </c>
      <c r="P10" s="59">
        <f>Inflation!S7</f>
        <v>0</v>
      </c>
      <c r="Q10" s="59">
        <f>Inflation!T7</f>
        <v>0</v>
      </c>
      <c r="R10" s="22"/>
      <c r="S10" s="22"/>
      <c r="T10" s="22"/>
      <c r="U10" s="22"/>
      <c r="V10" s="22"/>
      <c r="W10" s="22"/>
      <c r="X10" s="22"/>
      <c r="Y10" s="22"/>
      <c r="Z10" s="22"/>
    </row>
    <row r="11" spans="1:26" x14ac:dyDescent="0.25">
      <c r="A11" s="1" t="s">
        <v>104</v>
      </c>
      <c r="B11" s="1" t="s">
        <v>36</v>
      </c>
      <c r="D11" s="22">
        <f>$J$10/D10</f>
        <v>1.1443097379741887</v>
      </c>
      <c r="E11" s="22">
        <f t="shared" ref="E11:O11" si="4">$J$10/E10</f>
        <v>1.134108527131783</v>
      </c>
      <c r="F11" s="22">
        <f t="shared" si="4"/>
        <v>1.1193573068094875</v>
      </c>
      <c r="G11" s="22">
        <f t="shared" si="4"/>
        <v>1.0813008130081301</v>
      </c>
      <c r="H11" s="22">
        <f t="shared" si="4"/>
        <v>1.0461208437611729</v>
      </c>
      <c r="I11" s="22">
        <f t="shared" si="4"/>
        <v>1.0152671755725191</v>
      </c>
      <c r="J11" s="22">
        <f t="shared" si="4"/>
        <v>1</v>
      </c>
      <c r="K11" s="22">
        <f t="shared" si="4"/>
        <v>0.97177017602125537</v>
      </c>
      <c r="L11" s="22" t="e">
        <f t="shared" si="4"/>
        <v>#DIV/0!</v>
      </c>
      <c r="M11" s="22" t="e">
        <f t="shared" si="4"/>
        <v>#DIV/0!</v>
      </c>
      <c r="N11" s="22" t="e">
        <f t="shared" si="4"/>
        <v>#DIV/0!</v>
      </c>
      <c r="O11" s="22" t="e">
        <f t="shared" si="4"/>
        <v>#DIV/0!</v>
      </c>
      <c r="P11" s="22" t="e">
        <f t="shared" ref="P11:Q11" si="5">$J$10/P10</f>
        <v>#DIV/0!</v>
      </c>
      <c r="Q11" s="22" t="e">
        <f t="shared" si="5"/>
        <v>#DIV/0!</v>
      </c>
    </row>
    <row r="12" spans="1:26" x14ac:dyDescent="0.25">
      <c r="A12" s="1" t="s">
        <v>105</v>
      </c>
      <c r="B12" s="1" t="s">
        <v>36</v>
      </c>
      <c r="D12" s="22">
        <f>D10/$D$10</f>
        <v>1</v>
      </c>
      <c r="E12" s="22">
        <f t="shared" ref="E12:O12" si="6">E10/$D$10</f>
        <v>1.0089949159170903</v>
      </c>
      <c r="F12" s="22">
        <f t="shared" si="6"/>
        <v>1.0222917481423544</v>
      </c>
      <c r="G12" s="22">
        <f t="shared" si="6"/>
        <v>1.0582714118107157</v>
      </c>
      <c r="H12" s="22">
        <f t="shared" si="6"/>
        <v>1.0938599921783341</v>
      </c>
      <c r="I12" s="22">
        <f t="shared" si="6"/>
        <v>1.127102072741494</v>
      </c>
      <c r="J12" s="22">
        <f t="shared" si="6"/>
        <v>1.1443097379741887</v>
      </c>
      <c r="K12" s="22">
        <f t="shared" si="6"/>
        <v>1.1775518185373486</v>
      </c>
      <c r="L12" s="22">
        <f t="shared" si="6"/>
        <v>0</v>
      </c>
      <c r="M12" s="22">
        <f t="shared" si="6"/>
        <v>0</v>
      </c>
      <c r="N12" s="22">
        <f t="shared" si="6"/>
        <v>0</v>
      </c>
      <c r="O12" s="22">
        <f t="shared" si="6"/>
        <v>0</v>
      </c>
      <c r="P12" s="22">
        <f t="shared" ref="P12:Q12" si="7">P10/$D$10</f>
        <v>0</v>
      </c>
      <c r="Q12" s="22">
        <f t="shared" si="7"/>
        <v>0</v>
      </c>
    </row>
    <row r="13" spans="1:26" ht="13" x14ac:dyDescent="0.3">
      <c r="A13" s="16" t="s">
        <v>30</v>
      </c>
      <c r="B13" s="1" t="s">
        <v>36</v>
      </c>
      <c r="D13" s="22"/>
      <c r="E13" s="22"/>
      <c r="F13" s="22"/>
      <c r="G13" s="22"/>
      <c r="H13" s="22"/>
      <c r="I13" s="22"/>
      <c r="J13" s="22"/>
      <c r="K13" s="22"/>
      <c r="L13" s="22"/>
      <c r="M13" s="22"/>
    </row>
    <row r="14" spans="1:26" ht="13" x14ac:dyDescent="0.3">
      <c r="A14" s="1" t="s">
        <v>37</v>
      </c>
      <c r="B14" s="1" t="s">
        <v>36</v>
      </c>
      <c r="J14" s="60">
        <f>J12/I6</f>
        <v>1.1337728158933951</v>
      </c>
    </row>
    <row r="15" spans="1:26" x14ac:dyDescent="0.25">
      <c r="D15" s="22"/>
      <c r="E15" s="22"/>
      <c r="F15" s="22"/>
      <c r="G15" s="22"/>
      <c r="H15" s="22"/>
      <c r="I15" s="22"/>
      <c r="J15" s="22"/>
      <c r="K15" s="22"/>
      <c r="L15" s="22"/>
      <c r="M15" s="22"/>
      <c r="N15" s="22"/>
      <c r="O15" s="22"/>
    </row>
    <row r="16" spans="1:26" ht="13" x14ac:dyDescent="0.3">
      <c r="A16" s="7" t="s">
        <v>38</v>
      </c>
      <c r="B16" s="18"/>
    </row>
    <row r="17" spans="1:25" ht="13" x14ac:dyDescent="0.3">
      <c r="B17" s="20" t="s">
        <v>33</v>
      </c>
      <c r="C17" s="23" t="s">
        <v>39</v>
      </c>
      <c r="D17" s="24">
        <v>39538</v>
      </c>
      <c r="E17" s="24">
        <v>39721</v>
      </c>
      <c r="F17" s="24">
        <v>40086</v>
      </c>
      <c r="G17" s="24">
        <v>40268</v>
      </c>
      <c r="H17" s="24">
        <v>40451</v>
      </c>
      <c r="I17" s="24">
        <v>40816</v>
      </c>
      <c r="J17" s="24">
        <v>41182</v>
      </c>
      <c r="K17" s="24">
        <v>41547</v>
      </c>
      <c r="L17" s="24">
        <v>41912</v>
      </c>
      <c r="M17" s="24">
        <v>42277</v>
      </c>
      <c r="N17" s="24">
        <v>42643</v>
      </c>
      <c r="O17" s="24">
        <v>43008</v>
      </c>
      <c r="P17" s="24">
        <v>43373</v>
      </c>
      <c r="Q17" s="24">
        <v>43738</v>
      </c>
      <c r="R17" s="24">
        <v>44104</v>
      </c>
      <c r="S17" s="24">
        <v>44469</v>
      </c>
      <c r="T17" s="24">
        <v>44834</v>
      </c>
      <c r="U17" s="24">
        <v>45199</v>
      </c>
      <c r="V17" s="24">
        <v>45565</v>
      </c>
      <c r="W17" s="24">
        <v>45930</v>
      </c>
      <c r="X17" s="24">
        <v>46295</v>
      </c>
      <c r="Y17" s="24">
        <v>46660</v>
      </c>
    </row>
    <row r="18" spans="1:25" x14ac:dyDescent="0.25">
      <c r="A18" s="1" t="s">
        <v>42</v>
      </c>
      <c r="B18" s="1" t="s">
        <v>41</v>
      </c>
      <c r="D18" s="43">
        <f>'RAB Inputs'!D77</f>
        <v>25</v>
      </c>
      <c r="E18" s="43">
        <f>'RAB Inputs'!E77</f>
        <v>25</v>
      </c>
      <c r="F18" s="43">
        <f>'RAB Inputs'!F77</f>
        <v>25</v>
      </c>
      <c r="G18" s="43">
        <f>'RAB Inputs'!G77</f>
        <v>25</v>
      </c>
      <c r="H18" s="43">
        <f>'RAB Inputs'!H77</f>
        <v>25</v>
      </c>
      <c r="I18" s="43">
        <f>'RAB Inputs'!I77</f>
        <v>25</v>
      </c>
      <c r="J18" s="43">
        <f>'RAB Inputs'!J77</f>
        <v>25</v>
      </c>
      <c r="K18" s="43">
        <f>'RAB Inputs'!K77</f>
        <v>25</v>
      </c>
      <c r="L18" s="43">
        <f>'RAB Inputs'!L77</f>
        <v>25</v>
      </c>
      <c r="M18" s="43">
        <f>'RAB Inputs'!M77</f>
        <v>25</v>
      </c>
      <c r="N18" s="43">
        <f>'RAB Inputs'!N77</f>
        <v>25</v>
      </c>
      <c r="O18" s="43">
        <f>'RAB Inputs'!O77</f>
        <v>25</v>
      </c>
      <c r="P18" s="43">
        <f>'RAB Inputs'!P77</f>
        <v>25</v>
      </c>
      <c r="Q18" s="43">
        <f>'RAB Inputs'!Q77</f>
        <v>25</v>
      </c>
      <c r="R18" s="43">
        <f>'RAB Inputs'!R77</f>
        <v>25</v>
      </c>
      <c r="S18" s="43">
        <f>'RAB Inputs'!S77</f>
        <v>25</v>
      </c>
      <c r="T18" s="43">
        <f>'RAB Inputs'!T77</f>
        <v>25</v>
      </c>
      <c r="U18" s="43">
        <f>'RAB Inputs'!U77</f>
        <v>25</v>
      </c>
      <c r="V18" s="43">
        <f>'RAB Inputs'!V77</f>
        <v>25</v>
      </c>
      <c r="W18" s="43">
        <f>'RAB Inputs'!W77</f>
        <v>25</v>
      </c>
      <c r="X18" s="1">
        <v>25</v>
      </c>
      <c r="Y18" s="1">
        <v>25</v>
      </c>
    </row>
    <row r="19" spans="1:25" x14ac:dyDescent="0.25">
      <c r="N19" s="3"/>
      <c r="O19" s="3"/>
      <c r="P19" s="3"/>
      <c r="Q19" s="3"/>
      <c r="R19" s="3"/>
      <c r="S19" s="3"/>
      <c r="T19" s="3"/>
      <c r="U19" s="3"/>
      <c r="V19" s="3"/>
      <c r="W19" s="3"/>
    </row>
    <row r="20" spans="1:25" x14ac:dyDescent="0.25">
      <c r="N20" s="3"/>
      <c r="O20" s="3"/>
      <c r="P20" s="3"/>
      <c r="Q20" s="3"/>
      <c r="R20" s="3"/>
      <c r="S20" s="3"/>
      <c r="T20" s="3"/>
      <c r="U20" s="3"/>
      <c r="V20" s="3"/>
      <c r="W20" s="3"/>
    </row>
    <row r="21" spans="1:25" ht="13" x14ac:dyDescent="0.3">
      <c r="A21" s="7" t="s">
        <v>113</v>
      </c>
      <c r="B21" s="18"/>
    </row>
    <row r="22" spans="1:25" ht="13" x14ac:dyDescent="0.3">
      <c r="B22" s="26"/>
      <c r="C22" s="23" t="s">
        <v>49</v>
      </c>
      <c r="D22" s="27">
        <v>42278</v>
      </c>
      <c r="E22" s="27">
        <v>42644</v>
      </c>
      <c r="F22" s="27">
        <v>43009</v>
      </c>
      <c r="G22" s="27">
        <v>43374</v>
      </c>
      <c r="H22" s="27">
        <v>43739</v>
      </c>
    </row>
    <row r="23" spans="1:25" ht="13" x14ac:dyDescent="0.3">
      <c r="B23" s="26"/>
      <c r="C23" s="23" t="s">
        <v>50</v>
      </c>
      <c r="D23" s="28">
        <v>42643</v>
      </c>
      <c r="E23" s="28">
        <v>43008</v>
      </c>
      <c r="F23" s="28">
        <v>43373</v>
      </c>
      <c r="G23" s="28">
        <v>43738</v>
      </c>
      <c r="H23" s="28">
        <v>44104</v>
      </c>
    </row>
    <row r="24" spans="1:25" ht="13" x14ac:dyDescent="0.3">
      <c r="B24" s="20" t="s">
        <v>33</v>
      </c>
      <c r="C24" s="20" t="s">
        <v>44</v>
      </c>
      <c r="D24" s="28"/>
      <c r="E24" s="28"/>
      <c r="F24" s="28"/>
      <c r="G24" s="28"/>
      <c r="H24" s="28"/>
    </row>
    <row r="25" spans="1:25" x14ac:dyDescent="0.25">
      <c r="A25" s="2" t="s">
        <v>192</v>
      </c>
      <c r="B25" s="1" t="s">
        <v>46</v>
      </c>
      <c r="C25" s="1" t="s">
        <v>47</v>
      </c>
      <c r="D25" s="29">
        <v>0</v>
      </c>
      <c r="E25" s="29">
        <v>0</v>
      </c>
      <c r="F25" s="29">
        <v>0</v>
      </c>
      <c r="G25" s="29">
        <v>0</v>
      </c>
      <c r="H25" s="29">
        <v>0</v>
      </c>
    </row>
    <row r="26" spans="1:25" x14ac:dyDescent="0.25">
      <c r="A26" s="2" t="str">
        <f>'RAB Inputs'!A5</f>
        <v>Actual capital expenditure attributable to the non-buildings RAB (source: RIGS)</v>
      </c>
      <c r="B26" s="1" t="s">
        <v>46</v>
      </c>
      <c r="C26" s="1" t="s">
        <v>47</v>
      </c>
      <c r="D26" s="112">
        <f>'RAB Inputs'!D6/F12</f>
        <v>195.87606998087222</v>
      </c>
      <c r="E26" s="112">
        <f>'RAB Inputs'!E6/G12</f>
        <v>25.705730776053215</v>
      </c>
      <c r="F26" s="112">
        <f>'RAB Inputs'!F6/H12</f>
        <v>16.518731948516265</v>
      </c>
      <c r="G26" s="112">
        <f>'RAB Inputs'!G6/I12</f>
        <v>60.244960631505897</v>
      </c>
      <c r="H26" s="112">
        <f>'RAB Inputs'!H6/J12</f>
        <v>-0.45111911825016821</v>
      </c>
    </row>
    <row r="27" spans="1:25" x14ac:dyDescent="0.25">
      <c r="A27" s="2" t="s">
        <v>193</v>
      </c>
      <c r="B27" s="1" t="s">
        <v>46</v>
      </c>
      <c r="C27" s="1" t="s">
        <v>47</v>
      </c>
      <c r="D27" s="29">
        <f>D25+0.5*(D26-D25)</f>
        <v>97.938034990436108</v>
      </c>
      <c r="E27" s="29">
        <f t="shared" ref="E27:H27" si="8">E25+0.5*(E26-E25)</f>
        <v>12.852865388026608</v>
      </c>
      <c r="F27" s="29">
        <f t="shared" si="8"/>
        <v>8.2593659742581327</v>
      </c>
      <c r="G27" s="29">
        <f t="shared" si="8"/>
        <v>30.122480315752949</v>
      </c>
      <c r="H27" s="29">
        <f t="shared" si="8"/>
        <v>-0.2255595591250841</v>
      </c>
    </row>
    <row r="28" spans="1:25" x14ac:dyDescent="0.25">
      <c r="D28" s="29"/>
      <c r="E28" s="29"/>
      <c r="F28" s="29"/>
      <c r="G28" s="29"/>
      <c r="H28" s="29"/>
    </row>
    <row r="29" spans="1:25" s="16" customFormat="1" ht="19.399999999999999" customHeight="1" x14ac:dyDescent="0.3">
      <c r="A29" s="7" t="s">
        <v>218</v>
      </c>
      <c r="B29" s="7"/>
    </row>
    <row r="30" spans="1:25" s="16" customFormat="1" ht="14.25" customHeight="1" x14ac:dyDescent="0.3">
      <c r="A30" s="1"/>
      <c r="B30" s="20"/>
      <c r="C30" s="23" t="s">
        <v>49</v>
      </c>
      <c r="D30" s="27">
        <v>39387</v>
      </c>
      <c r="E30" s="27">
        <v>39539</v>
      </c>
      <c r="F30" s="27">
        <v>39722</v>
      </c>
      <c r="G30" s="27">
        <v>40087</v>
      </c>
      <c r="H30" s="27">
        <v>40269</v>
      </c>
      <c r="I30" s="27">
        <v>40452</v>
      </c>
      <c r="J30" s="27">
        <v>40817</v>
      </c>
      <c r="K30" s="27">
        <v>41183</v>
      </c>
      <c r="L30" s="27">
        <v>41548</v>
      </c>
      <c r="M30" s="27">
        <v>41913</v>
      </c>
      <c r="N30" s="27">
        <v>42278</v>
      </c>
      <c r="O30" s="27">
        <v>42644</v>
      </c>
      <c r="P30" s="27">
        <v>43009</v>
      </c>
      <c r="Q30" s="27">
        <v>43374</v>
      </c>
      <c r="R30" s="27">
        <v>43739</v>
      </c>
      <c r="S30" s="27">
        <v>44105</v>
      </c>
      <c r="T30" s="27">
        <v>44470</v>
      </c>
      <c r="U30" s="27">
        <v>44835</v>
      </c>
      <c r="V30" s="27">
        <v>45200</v>
      </c>
      <c r="W30" s="27">
        <v>45566</v>
      </c>
      <c r="X30" s="27">
        <v>45931</v>
      </c>
      <c r="Y30" s="27">
        <v>46296</v>
      </c>
    </row>
    <row r="31" spans="1:25" s="16" customFormat="1" ht="14.25" customHeight="1" x14ac:dyDescent="0.3">
      <c r="A31" s="1"/>
      <c r="B31" s="20"/>
      <c r="C31" s="23" t="s">
        <v>50</v>
      </c>
      <c r="D31" s="27">
        <v>39538</v>
      </c>
      <c r="E31" s="27">
        <v>39721</v>
      </c>
      <c r="F31" s="27">
        <v>40086</v>
      </c>
      <c r="G31" s="27">
        <v>40268</v>
      </c>
      <c r="H31" s="27">
        <v>40451</v>
      </c>
      <c r="I31" s="27">
        <v>40816</v>
      </c>
      <c r="J31" s="27">
        <v>41182</v>
      </c>
      <c r="K31" s="27">
        <v>41547</v>
      </c>
      <c r="L31" s="27">
        <v>41912</v>
      </c>
      <c r="M31" s="27">
        <v>42277</v>
      </c>
      <c r="N31" s="27">
        <v>42643</v>
      </c>
      <c r="O31" s="27">
        <v>43008</v>
      </c>
      <c r="P31" s="27">
        <v>43373</v>
      </c>
      <c r="Q31" s="27">
        <v>43738</v>
      </c>
      <c r="R31" s="27">
        <v>44104</v>
      </c>
      <c r="S31" s="28">
        <v>44469</v>
      </c>
      <c r="T31" s="28">
        <v>44834</v>
      </c>
      <c r="U31" s="28">
        <v>45199</v>
      </c>
      <c r="V31" s="28">
        <v>45565</v>
      </c>
      <c r="W31" s="28">
        <v>45930</v>
      </c>
      <c r="X31" s="28">
        <v>46295</v>
      </c>
      <c r="Y31" s="28">
        <v>46660</v>
      </c>
    </row>
    <row r="32" spans="1:25" s="16" customFormat="1" ht="14.25" customHeight="1" x14ac:dyDescent="0.3">
      <c r="A32" s="16" t="s">
        <v>114</v>
      </c>
      <c r="B32" s="20" t="s">
        <v>33</v>
      </c>
      <c r="C32" s="20" t="s">
        <v>44</v>
      </c>
      <c r="D32" s="62"/>
      <c r="E32" s="62"/>
      <c r="F32" s="62"/>
      <c r="G32" s="62"/>
      <c r="H32" s="62"/>
      <c r="I32" s="62"/>
      <c r="J32" s="62"/>
      <c r="K32" s="62"/>
      <c r="L32" s="62"/>
      <c r="M32" s="62"/>
      <c r="N32" s="62"/>
      <c r="O32" s="62"/>
      <c r="P32" s="62"/>
      <c r="Q32" s="62"/>
      <c r="R32" s="62"/>
      <c r="S32" s="62"/>
      <c r="T32" s="62"/>
      <c r="U32" s="62"/>
      <c r="V32" s="62"/>
      <c r="W32" s="62"/>
      <c r="X32" s="62"/>
      <c r="Y32" s="62"/>
    </row>
    <row r="33" spans="1:59" s="16" customFormat="1" ht="14.25" customHeight="1" x14ac:dyDescent="0.3">
      <c r="A33" s="1" t="s">
        <v>115</v>
      </c>
      <c r="B33" s="1" t="s">
        <v>46</v>
      </c>
      <c r="C33" s="1" t="s">
        <v>47</v>
      </c>
      <c r="D33" s="29"/>
      <c r="E33" s="29"/>
      <c r="F33" s="29"/>
      <c r="G33" s="29"/>
      <c r="H33" s="29">
        <f>'RAB Inputs'!H46</f>
        <v>0</v>
      </c>
      <c r="I33" s="29">
        <f>'RAB Inputs'!I46</f>
        <v>1454.0929084380609</v>
      </c>
      <c r="J33" s="29">
        <f>'RAB Inputs'!J46</f>
        <v>1454.0929084380609</v>
      </c>
      <c r="K33" s="29">
        <f>'RAB Inputs'!K46</f>
        <v>0</v>
      </c>
      <c r="L33" s="29">
        <f>'RAB Inputs'!L46</f>
        <v>0</v>
      </c>
      <c r="M33" s="29">
        <f>'RAB Inputs'!M46</f>
        <v>0</v>
      </c>
      <c r="N33" s="29"/>
      <c r="O33" s="29"/>
      <c r="P33" s="29"/>
      <c r="Q33" s="29"/>
      <c r="R33" s="29"/>
      <c r="S33" s="29"/>
      <c r="T33" s="29"/>
      <c r="U33" s="29"/>
      <c r="V33" s="29"/>
      <c r="W33" s="29"/>
    </row>
    <row r="34" spans="1:59" s="16" customFormat="1" ht="14.25" customHeight="1" x14ac:dyDescent="0.3">
      <c r="A34" s="1"/>
      <c r="B34" s="1"/>
      <c r="C34" s="1"/>
      <c r="D34" s="29"/>
      <c r="E34" s="29"/>
      <c r="F34" s="29"/>
      <c r="G34" s="29"/>
      <c r="H34" s="29"/>
      <c r="I34" s="29"/>
      <c r="J34" s="29"/>
      <c r="K34" s="29"/>
      <c r="L34" s="29"/>
      <c r="M34" s="29"/>
      <c r="N34" s="29"/>
      <c r="O34" s="29"/>
      <c r="P34" s="29"/>
      <c r="Q34" s="29"/>
      <c r="R34" s="29"/>
      <c r="S34" s="29"/>
      <c r="T34" s="29"/>
      <c r="U34" s="29"/>
      <c r="V34" s="29"/>
      <c r="W34" s="29"/>
    </row>
    <row r="35" spans="1:59" s="16" customFormat="1" ht="14.25" customHeight="1" x14ac:dyDescent="0.3">
      <c r="A35" s="10" t="s">
        <v>194</v>
      </c>
      <c r="D35" s="29"/>
      <c r="E35" s="29"/>
      <c r="F35" s="29"/>
      <c r="G35" s="29"/>
      <c r="H35" s="29"/>
      <c r="I35" s="29"/>
      <c r="J35" s="29"/>
      <c r="K35" s="29"/>
      <c r="L35" s="29"/>
      <c r="M35" s="29"/>
      <c r="N35" s="29"/>
      <c r="O35" s="29"/>
      <c r="P35" s="29"/>
      <c r="Q35" s="29"/>
      <c r="R35" s="29"/>
      <c r="S35" s="29"/>
      <c r="T35" s="29"/>
      <c r="U35" s="29"/>
      <c r="V35" s="29"/>
      <c r="W35" s="29"/>
    </row>
    <row r="36" spans="1:59" s="16" customFormat="1" ht="14.25" customHeight="1" x14ac:dyDescent="0.3">
      <c r="A36" s="2" t="s">
        <v>193</v>
      </c>
      <c r="B36" s="1" t="s">
        <v>46</v>
      </c>
      <c r="C36" s="1" t="s">
        <v>47</v>
      </c>
      <c r="D36" s="29"/>
      <c r="E36" s="29"/>
      <c r="F36" s="29"/>
      <c r="G36" s="29"/>
      <c r="H36" s="29"/>
      <c r="I36" s="29"/>
      <c r="J36" s="29"/>
      <c r="K36" s="29"/>
      <c r="L36" s="29"/>
      <c r="M36" s="29"/>
      <c r="N36" s="29">
        <f>D27</f>
        <v>97.938034990436108</v>
      </c>
      <c r="O36" s="29">
        <f>E27</f>
        <v>12.852865388026608</v>
      </c>
      <c r="P36" s="29">
        <f>F27</f>
        <v>8.2593659742581327</v>
      </c>
      <c r="Q36" s="29">
        <f>G27</f>
        <v>30.122480315752949</v>
      </c>
      <c r="R36" s="29">
        <f>H27</f>
        <v>-0.2255595591250841</v>
      </c>
      <c r="S36" s="29"/>
      <c r="T36" s="29"/>
      <c r="U36" s="29"/>
      <c r="V36" s="29"/>
      <c r="W36" s="29"/>
    </row>
    <row r="37" spans="1:59" s="16" customFormat="1" ht="14.25" customHeight="1" x14ac:dyDescent="0.3">
      <c r="A37" s="2"/>
      <c r="B37" s="1"/>
      <c r="C37" s="1"/>
      <c r="D37" s="29"/>
      <c r="E37" s="29"/>
      <c r="F37" s="29"/>
      <c r="G37" s="29"/>
      <c r="H37" s="29"/>
      <c r="I37" s="29"/>
      <c r="J37" s="29"/>
      <c r="K37" s="29"/>
      <c r="L37" s="29"/>
      <c r="M37" s="29"/>
      <c r="N37" s="29"/>
      <c r="O37" s="29"/>
      <c r="P37" s="29"/>
      <c r="Q37" s="29"/>
      <c r="R37" s="29"/>
      <c r="S37" s="29"/>
      <c r="T37" s="29"/>
      <c r="U37" s="29"/>
      <c r="V37" s="29"/>
      <c r="W37" s="29"/>
    </row>
    <row r="38" spans="1:59" s="16" customFormat="1" ht="14.25" customHeight="1" x14ac:dyDescent="0.3">
      <c r="A38" s="10" t="s">
        <v>185</v>
      </c>
      <c r="B38" s="1"/>
    </row>
    <row r="39" spans="1:59" s="16" customFormat="1" ht="14.25" customHeight="1" x14ac:dyDescent="0.3">
      <c r="A39" s="2" t="s">
        <v>271</v>
      </c>
      <c r="B39" s="1" t="s">
        <v>46</v>
      </c>
      <c r="C39" s="1" t="s">
        <v>60</v>
      </c>
      <c r="D39" s="29"/>
      <c r="E39" s="29"/>
      <c r="F39" s="29"/>
      <c r="G39" s="29"/>
      <c r="H39" s="29"/>
      <c r="I39" s="29"/>
      <c r="J39" s="29"/>
      <c r="K39" s="29"/>
      <c r="L39" s="29"/>
      <c r="M39" s="29"/>
      <c r="N39" s="29"/>
      <c r="O39" s="29"/>
      <c r="P39" s="29"/>
      <c r="Q39" s="29"/>
      <c r="R39" s="29"/>
      <c r="S39" s="29">
        <f>'Cost Sharing'!D46/K7</f>
        <v>102.29367243713168</v>
      </c>
      <c r="T39" s="29">
        <f>'Cost Sharing'!E46/L7</f>
        <v>32.825228613445368</v>
      </c>
      <c r="U39" s="29">
        <f>'Cost Sharing'!F46/M7</f>
        <v>114.48971727981294</v>
      </c>
      <c r="V39" s="29">
        <f>'Cost Sharing'!G46/N7</f>
        <v>1161.609006472868</v>
      </c>
      <c r="W39" s="29">
        <f>'Cost Sharing'!H46/O7</f>
        <v>10</v>
      </c>
      <c r="X39" s="29">
        <f>'Cost Sharing'!I46/P7</f>
        <v>10</v>
      </c>
      <c r="Y39" s="29">
        <f>'Cost Sharing'!J46/Q7</f>
        <v>10</v>
      </c>
    </row>
    <row r="40" spans="1:59" s="16" customFormat="1" ht="14.25" customHeight="1" x14ac:dyDescent="0.3"/>
    <row r="41" spans="1:59" ht="14.25" customHeight="1" x14ac:dyDescent="0.25"/>
    <row r="42" spans="1:59" ht="14.25" customHeight="1" x14ac:dyDescent="0.3">
      <c r="A42" s="16" t="s">
        <v>61</v>
      </c>
      <c r="B42" s="26"/>
      <c r="C42" s="23" t="s">
        <v>44</v>
      </c>
      <c r="D42" s="63" t="s">
        <v>62</v>
      </c>
      <c r="E42" s="26" t="s">
        <v>47</v>
      </c>
      <c r="F42" s="26" t="s">
        <v>47</v>
      </c>
      <c r="G42" s="26" t="s">
        <v>47</v>
      </c>
      <c r="H42" s="26" t="s">
        <v>47</v>
      </c>
      <c r="I42" s="26" t="s">
        <v>47</v>
      </c>
      <c r="J42" s="26" t="s">
        <v>47</v>
      </c>
      <c r="K42" s="26" t="s">
        <v>47</v>
      </c>
      <c r="L42" s="26" t="s">
        <v>47</v>
      </c>
      <c r="M42" s="26" t="s">
        <v>47</v>
      </c>
      <c r="N42" s="26" t="s">
        <v>47</v>
      </c>
      <c r="O42" s="26" t="s">
        <v>47</v>
      </c>
      <c r="P42" s="26" t="s">
        <v>47</v>
      </c>
      <c r="Q42" s="26" t="s">
        <v>47</v>
      </c>
      <c r="R42" s="26" t="s">
        <v>47</v>
      </c>
      <c r="S42" s="26" t="s">
        <v>47</v>
      </c>
      <c r="T42" s="26" t="s">
        <v>60</v>
      </c>
      <c r="U42" s="26" t="s">
        <v>60</v>
      </c>
      <c r="V42" s="26" t="s">
        <v>60</v>
      </c>
      <c r="W42" s="26" t="s">
        <v>60</v>
      </c>
      <c r="X42" s="26" t="s">
        <v>60</v>
      </c>
      <c r="Y42" s="26" t="s">
        <v>60</v>
      </c>
      <c r="Z42" s="26" t="s">
        <v>60</v>
      </c>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row>
    <row r="43" spans="1:59" ht="14.25" customHeight="1" x14ac:dyDescent="0.3">
      <c r="B43" s="26"/>
      <c r="C43" s="23" t="s">
        <v>63</v>
      </c>
      <c r="D43" s="28">
        <v>39386</v>
      </c>
      <c r="E43" s="24">
        <v>39538</v>
      </c>
      <c r="F43" s="24">
        <v>39721</v>
      </c>
      <c r="G43" s="24">
        <v>40086</v>
      </c>
      <c r="H43" s="24">
        <v>40268</v>
      </c>
      <c r="I43" s="24">
        <v>40451</v>
      </c>
      <c r="J43" s="24">
        <v>40816</v>
      </c>
      <c r="K43" s="24">
        <v>41182</v>
      </c>
      <c r="L43" s="24">
        <v>41547</v>
      </c>
      <c r="M43" s="24">
        <v>41912</v>
      </c>
      <c r="N43" s="24">
        <v>42277</v>
      </c>
      <c r="O43" s="24">
        <v>42643</v>
      </c>
      <c r="P43" s="24">
        <v>43008</v>
      </c>
      <c r="Q43" s="24">
        <v>43373</v>
      </c>
      <c r="R43" s="24">
        <v>43738</v>
      </c>
      <c r="S43" s="24">
        <v>44104</v>
      </c>
      <c r="T43" s="24">
        <v>44469</v>
      </c>
      <c r="U43" s="24">
        <v>44834</v>
      </c>
      <c r="V43" s="24">
        <v>45199</v>
      </c>
      <c r="W43" s="24">
        <v>45565</v>
      </c>
      <c r="X43" s="24">
        <v>45930</v>
      </c>
      <c r="Y43" s="24">
        <v>46295</v>
      </c>
      <c r="Z43" s="24">
        <v>46660</v>
      </c>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row>
    <row r="44" spans="1:59" ht="14.25" customHeight="1" x14ac:dyDescent="0.3">
      <c r="A44" s="16"/>
      <c r="B44" s="26"/>
      <c r="C44" s="23" t="s">
        <v>64</v>
      </c>
      <c r="D44" s="63" t="s">
        <v>62</v>
      </c>
      <c r="E44" s="26"/>
      <c r="F44" s="26"/>
      <c r="G44" s="26"/>
      <c r="H44" s="26"/>
      <c r="I44" s="26"/>
      <c r="J44" s="26"/>
      <c r="K44" s="26"/>
      <c r="L44" s="26"/>
      <c r="M44" s="26"/>
      <c r="N44" s="26"/>
      <c r="O44" s="26"/>
      <c r="P44" s="26"/>
      <c r="Q44" s="26"/>
      <c r="R44" s="26"/>
      <c r="S44" s="26"/>
      <c r="T44" s="26"/>
      <c r="U44" s="26"/>
      <c r="V44" s="26"/>
      <c r="W44" s="26"/>
      <c r="X44" s="26"/>
      <c r="Y44" s="26"/>
      <c r="Z44" s="2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row>
    <row r="45" spans="1:59" ht="14.25" customHeight="1" x14ac:dyDescent="0.3">
      <c r="A45" s="16" t="s">
        <v>64</v>
      </c>
      <c r="D45" s="64"/>
      <c r="E45" s="36">
        <f>MAX(0,(YEAR(E43)-YEAR(D43))*12+(MONTH(E43)-MONTH(D43)))</f>
        <v>5</v>
      </c>
      <c r="F45" s="36">
        <f>MAX(0,(YEAR(F43)-YEAR(E43))*12+(MONTH(F43)-MONTH(E43)))</f>
        <v>6</v>
      </c>
      <c r="G45" s="36">
        <f t="shared" ref="G45:U45" si="9">MAX(0,(YEAR(G43)-YEAR(F43))*12+(MONTH(G43)-MONTH(F43)))</f>
        <v>12</v>
      </c>
      <c r="H45" s="36">
        <f t="shared" si="9"/>
        <v>6</v>
      </c>
      <c r="I45" s="36">
        <f t="shared" si="9"/>
        <v>6</v>
      </c>
      <c r="J45" s="36">
        <f t="shared" si="9"/>
        <v>12</v>
      </c>
      <c r="K45" s="36">
        <f t="shared" si="9"/>
        <v>12</v>
      </c>
      <c r="L45" s="36">
        <f t="shared" si="9"/>
        <v>12</v>
      </c>
      <c r="M45" s="36">
        <f t="shared" si="9"/>
        <v>12</v>
      </c>
      <c r="N45" s="36">
        <f t="shared" si="9"/>
        <v>12</v>
      </c>
      <c r="O45" s="36">
        <f t="shared" si="9"/>
        <v>12</v>
      </c>
      <c r="P45" s="36">
        <f t="shared" si="9"/>
        <v>12</v>
      </c>
      <c r="Q45" s="36">
        <f t="shared" si="9"/>
        <v>12</v>
      </c>
      <c r="R45" s="36">
        <f t="shared" si="9"/>
        <v>12</v>
      </c>
      <c r="S45" s="36">
        <f t="shared" si="9"/>
        <v>12</v>
      </c>
      <c r="T45" s="36">
        <f t="shared" si="9"/>
        <v>12</v>
      </c>
      <c r="U45" s="36">
        <f t="shared" si="9"/>
        <v>12</v>
      </c>
      <c r="V45" s="36">
        <f t="shared" ref="V45" si="10">MAX(0,(YEAR(V43)-YEAR(U43))*12+(MONTH(V43)-MONTH(U43)))</f>
        <v>12</v>
      </c>
      <c r="W45" s="36">
        <f t="shared" ref="W45" si="11">MAX(0,(YEAR(W43)-YEAR(V43))*12+(MONTH(W43)-MONTH(V43)))</f>
        <v>12</v>
      </c>
      <c r="X45" s="36">
        <f t="shared" ref="X45" si="12">MAX(0,(YEAR(X43)-YEAR(W43))*12+(MONTH(X43)-MONTH(W43)))</f>
        <v>12</v>
      </c>
      <c r="Y45" s="36">
        <f t="shared" ref="Y45" si="13">MAX(0,(YEAR(Y43)-YEAR(X43))*12+(MONTH(Y43)-MONTH(X43)))</f>
        <v>12</v>
      </c>
      <c r="Z45" s="36">
        <f t="shared" ref="Z45" si="14">MAX(0,(YEAR(Z43)-YEAR(Y43))*12+(MONTH(Z43)-MONTH(Y43)))</f>
        <v>12</v>
      </c>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row>
    <row r="46" spans="1:59" ht="14.25" customHeight="1" x14ac:dyDescent="0.3">
      <c r="A46" s="16" t="s">
        <v>61</v>
      </c>
      <c r="D46" s="64"/>
      <c r="E46" s="37"/>
      <c r="F46" s="37"/>
      <c r="G46" s="37"/>
      <c r="H46" s="37"/>
      <c r="I46" s="37"/>
      <c r="J46" s="37"/>
      <c r="K46" s="37"/>
      <c r="L46" s="37"/>
      <c r="M46" s="37"/>
      <c r="N46" s="37"/>
      <c r="O46" s="37"/>
      <c r="P46" s="37"/>
      <c r="Q46" s="37"/>
      <c r="R46" s="37"/>
      <c r="S46" s="37"/>
      <c r="T46" s="37"/>
      <c r="U46" s="37"/>
      <c r="V46" s="37"/>
      <c r="W46" s="37"/>
      <c r="X46" s="37"/>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row>
    <row r="47" spans="1:59" ht="14.25" customHeight="1" x14ac:dyDescent="0.3">
      <c r="A47" s="16" t="s">
        <v>65</v>
      </c>
      <c r="B47" s="16" t="s">
        <v>33</v>
      </c>
      <c r="C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row>
    <row r="48" spans="1:59" ht="14.25" customHeight="1" x14ac:dyDescent="0.3">
      <c r="A48" s="38">
        <v>40451</v>
      </c>
      <c r="B48" s="1" t="s">
        <v>46</v>
      </c>
      <c r="D48" s="29"/>
      <c r="E48" s="29"/>
      <c r="F48" s="29"/>
      <c r="G48" s="29"/>
      <c r="H48" s="29"/>
      <c r="I48" s="29">
        <f t="shared" ref="I48:N48" si="15">$H33/12*I$45/H$18</f>
        <v>0</v>
      </c>
      <c r="J48" s="29">
        <f t="shared" si="15"/>
        <v>0</v>
      </c>
      <c r="K48" s="29">
        <f t="shared" si="15"/>
        <v>0</v>
      </c>
      <c r="L48" s="29">
        <f t="shared" si="15"/>
        <v>0</v>
      </c>
      <c r="M48" s="29">
        <f t="shared" si="15"/>
        <v>0</v>
      </c>
      <c r="N48" s="29">
        <f t="shared" si="15"/>
        <v>0</v>
      </c>
      <c r="O48" s="36">
        <f>($H33-SUM(I48:N48))/(N$18-(YEAR(N43)-YEAR(I43))-(0.5*I45/12))</f>
        <v>0</v>
      </c>
      <c r="P48" s="36">
        <f t="shared" ref="P48:Z55" si="16">O48</f>
        <v>0</v>
      </c>
      <c r="Q48" s="36">
        <f t="shared" si="16"/>
        <v>0</v>
      </c>
      <c r="R48" s="36">
        <f t="shared" si="16"/>
        <v>0</v>
      </c>
      <c r="S48" s="36">
        <f t="shared" si="16"/>
        <v>0</v>
      </c>
      <c r="T48" s="36">
        <f>S48*$J$14</f>
        <v>0</v>
      </c>
      <c r="U48" s="36">
        <f t="shared" si="16"/>
        <v>0</v>
      </c>
      <c r="V48" s="36">
        <f t="shared" si="16"/>
        <v>0</v>
      </c>
      <c r="W48" s="36">
        <f t="shared" si="16"/>
        <v>0</v>
      </c>
      <c r="X48" s="36">
        <f t="shared" si="16"/>
        <v>0</v>
      </c>
      <c r="Y48" s="36">
        <f t="shared" si="16"/>
        <v>0</v>
      </c>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row>
    <row r="49" spans="1:59" ht="14.25" customHeight="1" x14ac:dyDescent="0.3">
      <c r="A49" s="38">
        <v>40816</v>
      </c>
      <c r="B49" s="1" t="s">
        <v>46</v>
      </c>
      <c r="D49" s="29"/>
      <c r="E49" s="29"/>
      <c r="F49" s="29"/>
      <c r="G49" s="29"/>
      <c r="H49" s="29"/>
      <c r="I49" s="29"/>
      <c r="J49" s="29">
        <f>$I33/12*J$45/I$18/2</f>
        <v>29.081858168761219</v>
      </c>
      <c r="K49" s="29">
        <f>$I33/12*K$45/J$18</f>
        <v>58.163716337522438</v>
      </c>
      <c r="L49" s="29">
        <f>$I33/12*L$45/K$18</f>
        <v>58.163716337522438</v>
      </c>
      <c r="M49" s="29">
        <f>$I33/12*M$45/L$18</f>
        <v>58.163716337522438</v>
      </c>
      <c r="N49" s="29">
        <f>$I33/12*N$45/M$18</f>
        <v>58.163716337522438</v>
      </c>
      <c r="O49" s="36">
        <f>($I33-SUM(J49:N49))/(N$18-(YEAR(N43)-YEAR(J43))-(0.5*J45/12))</f>
        <v>58.163716337522438</v>
      </c>
      <c r="P49" s="36">
        <f t="shared" si="16"/>
        <v>58.163716337522438</v>
      </c>
      <c r="Q49" s="36">
        <f t="shared" si="16"/>
        <v>58.163716337522438</v>
      </c>
      <c r="R49" s="36">
        <f t="shared" si="16"/>
        <v>58.163716337522438</v>
      </c>
      <c r="S49" s="36">
        <f t="shared" si="16"/>
        <v>58.163716337522438</v>
      </c>
      <c r="T49" s="36">
        <f t="shared" ref="T49:T58" si="17">S49*$J$14</f>
        <v>65.944440454817482</v>
      </c>
      <c r="U49" s="36">
        <f t="shared" si="16"/>
        <v>65.944440454817482</v>
      </c>
      <c r="V49" s="36">
        <f t="shared" si="16"/>
        <v>65.944440454817482</v>
      </c>
      <c r="W49" s="36">
        <f t="shared" si="16"/>
        <v>65.944440454817482</v>
      </c>
      <c r="X49" s="36">
        <f t="shared" si="16"/>
        <v>65.944440454817482</v>
      </c>
      <c r="Y49" s="36">
        <f t="shared" si="16"/>
        <v>65.944440454817482</v>
      </c>
      <c r="Z49" s="36">
        <f t="shared" si="16"/>
        <v>65.944440454817482</v>
      </c>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row>
    <row r="50" spans="1:59" ht="14.25" customHeight="1" x14ac:dyDescent="0.3">
      <c r="A50" s="38">
        <v>41182</v>
      </c>
      <c r="B50" s="1" t="s">
        <v>46</v>
      </c>
      <c r="D50" s="29"/>
      <c r="E50" s="29"/>
      <c r="F50" s="29"/>
      <c r="G50" s="29"/>
      <c r="H50" s="29"/>
      <c r="I50" s="29"/>
      <c r="J50" s="29"/>
      <c r="K50" s="29">
        <f>$J33/12*K$45/J$18/2</f>
        <v>29.081858168761219</v>
      </c>
      <c r="L50" s="29">
        <f>$J33/12*L$45/K$18</f>
        <v>58.163716337522438</v>
      </c>
      <c r="M50" s="29">
        <f>$J33/12*M$45/L$18</f>
        <v>58.163716337522438</v>
      </c>
      <c r="N50" s="29">
        <f>$J33/12*N$45/M$18</f>
        <v>58.163716337522438</v>
      </c>
      <c r="O50" s="36">
        <f>($J33-SUM(K50:N50))/(N$18-(YEAR(N43)-YEAR(K43))-(0.5*K45/12))</f>
        <v>58.16371633752243</v>
      </c>
      <c r="P50" s="36">
        <f t="shared" si="16"/>
        <v>58.16371633752243</v>
      </c>
      <c r="Q50" s="36">
        <f t="shared" si="16"/>
        <v>58.16371633752243</v>
      </c>
      <c r="R50" s="36">
        <f t="shared" si="16"/>
        <v>58.16371633752243</v>
      </c>
      <c r="S50" s="36">
        <f t="shared" si="16"/>
        <v>58.16371633752243</v>
      </c>
      <c r="T50" s="36">
        <f t="shared" si="17"/>
        <v>65.944440454817467</v>
      </c>
      <c r="U50" s="36">
        <f t="shared" si="16"/>
        <v>65.944440454817467</v>
      </c>
      <c r="V50" s="36">
        <f t="shared" si="16"/>
        <v>65.944440454817467</v>
      </c>
      <c r="W50" s="36">
        <f t="shared" si="16"/>
        <v>65.944440454817467</v>
      </c>
      <c r="X50" s="36">
        <f t="shared" si="16"/>
        <v>65.944440454817467</v>
      </c>
      <c r="Y50" s="36">
        <f t="shared" si="16"/>
        <v>65.944440454817467</v>
      </c>
      <c r="Z50" s="36">
        <f t="shared" si="16"/>
        <v>65.944440454817467</v>
      </c>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row>
    <row r="51" spans="1:59" ht="14.25" customHeight="1" x14ac:dyDescent="0.3">
      <c r="A51" s="38">
        <v>41547</v>
      </c>
      <c r="B51" s="1" t="s">
        <v>46</v>
      </c>
      <c r="D51" s="29"/>
      <c r="E51" s="29"/>
      <c r="F51" s="29"/>
      <c r="G51" s="29"/>
      <c r="H51" s="29"/>
      <c r="I51" s="29"/>
      <c r="J51" s="29"/>
      <c r="K51" s="29"/>
      <c r="L51" s="29">
        <f>$K33/12*L$45/K$18/2</f>
        <v>0</v>
      </c>
      <c r="M51" s="29">
        <f>$K33/12*M$45/L$18</f>
        <v>0</v>
      </c>
      <c r="N51" s="29">
        <f>$K33/12*N$45/M$18</f>
        <v>0</v>
      </c>
      <c r="O51" s="36">
        <f>($K33-SUM(L51:N51))/(N$18-(YEAR(N43)-YEAR(L43))-(0.5*L45/12))</f>
        <v>0</v>
      </c>
      <c r="P51" s="36">
        <f t="shared" si="16"/>
        <v>0</v>
      </c>
      <c r="Q51" s="36">
        <f t="shared" si="16"/>
        <v>0</v>
      </c>
      <c r="R51" s="36">
        <f t="shared" si="16"/>
        <v>0</v>
      </c>
      <c r="S51" s="36">
        <f t="shared" si="16"/>
        <v>0</v>
      </c>
      <c r="T51" s="36">
        <f t="shared" si="17"/>
        <v>0</v>
      </c>
      <c r="U51" s="36">
        <f t="shared" si="16"/>
        <v>0</v>
      </c>
      <c r="V51" s="36">
        <f t="shared" si="16"/>
        <v>0</v>
      </c>
      <c r="W51" s="36">
        <f t="shared" si="16"/>
        <v>0</v>
      </c>
      <c r="X51" s="36">
        <f t="shared" si="16"/>
        <v>0</v>
      </c>
      <c r="Y51" s="36">
        <f t="shared" si="16"/>
        <v>0</v>
      </c>
      <c r="Z51" s="36">
        <f t="shared" si="16"/>
        <v>0</v>
      </c>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row>
    <row r="52" spans="1:59" ht="14.25" customHeight="1" x14ac:dyDescent="0.3">
      <c r="A52" s="38">
        <v>41912</v>
      </c>
      <c r="B52" s="1" t="s">
        <v>46</v>
      </c>
      <c r="D52" s="29"/>
      <c r="E52" s="29"/>
      <c r="F52" s="29"/>
      <c r="G52" s="29"/>
      <c r="H52" s="29"/>
      <c r="I52" s="29"/>
      <c r="J52" s="29"/>
      <c r="K52" s="29"/>
      <c r="L52" s="29"/>
      <c r="M52" s="29">
        <f>$L33/12*M$45/L$18/2</f>
        <v>0</v>
      </c>
      <c r="N52" s="29">
        <f>$L33/12*N$45/M$18</f>
        <v>0</v>
      </c>
      <c r="O52" s="36">
        <f>($L33-SUM(M52:N52))/(N$18-(YEAR(N43)-YEAR(M43))-(0.5*M45/12))</f>
        <v>0</v>
      </c>
      <c r="P52" s="36">
        <f t="shared" si="16"/>
        <v>0</v>
      </c>
      <c r="Q52" s="36">
        <f t="shared" si="16"/>
        <v>0</v>
      </c>
      <c r="R52" s="36">
        <f t="shared" si="16"/>
        <v>0</v>
      </c>
      <c r="S52" s="36">
        <f t="shared" si="16"/>
        <v>0</v>
      </c>
      <c r="T52" s="36">
        <f t="shared" si="17"/>
        <v>0</v>
      </c>
      <c r="U52" s="36">
        <f t="shared" si="16"/>
        <v>0</v>
      </c>
      <c r="V52" s="36">
        <f t="shared" si="16"/>
        <v>0</v>
      </c>
      <c r="W52" s="36">
        <f t="shared" si="16"/>
        <v>0</v>
      </c>
      <c r="X52" s="36">
        <f t="shared" si="16"/>
        <v>0</v>
      </c>
      <c r="Y52" s="36">
        <f t="shared" si="16"/>
        <v>0</v>
      </c>
      <c r="Z52" s="36">
        <f t="shared" si="16"/>
        <v>0</v>
      </c>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row>
    <row r="53" spans="1:59" ht="14.25" customHeight="1" x14ac:dyDescent="0.3">
      <c r="A53" s="38">
        <v>42277</v>
      </c>
      <c r="B53" s="1" t="s">
        <v>46</v>
      </c>
      <c r="D53" s="29"/>
      <c r="E53" s="29"/>
      <c r="F53" s="29"/>
      <c r="G53" s="29"/>
      <c r="H53" s="29"/>
      <c r="I53" s="29"/>
      <c r="J53" s="29"/>
      <c r="K53" s="29"/>
      <c r="L53" s="29"/>
      <c r="M53" s="29"/>
      <c r="N53" s="29">
        <f>$M33/12*N$45/M$18/2</f>
        <v>0</v>
      </c>
      <c r="O53" s="36">
        <f>($M33-N53)/(N$18-(YEAR(N43)-YEAR(N43))-(0.5*N45/12))</f>
        <v>0</v>
      </c>
      <c r="P53" s="36">
        <f t="shared" si="16"/>
        <v>0</v>
      </c>
      <c r="Q53" s="36">
        <f t="shared" si="16"/>
        <v>0</v>
      </c>
      <c r="R53" s="36">
        <f t="shared" si="16"/>
        <v>0</v>
      </c>
      <c r="S53" s="36">
        <f t="shared" si="16"/>
        <v>0</v>
      </c>
      <c r="T53" s="36">
        <f t="shared" si="17"/>
        <v>0</v>
      </c>
      <c r="U53" s="36">
        <f t="shared" si="16"/>
        <v>0</v>
      </c>
      <c r="V53" s="36">
        <f t="shared" si="16"/>
        <v>0</v>
      </c>
      <c r="W53" s="36">
        <f t="shared" si="16"/>
        <v>0</v>
      </c>
      <c r="X53" s="36">
        <f t="shared" si="16"/>
        <v>0</v>
      </c>
      <c r="Y53" s="36">
        <f t="shared" si="16"/>
        <v>0</v>
      </c>
      <c r="Z53" s="36">
        <f t="shared" si="16"/>
        <v>0</v>
      </c>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row>
    <row r="54" spans="1:59" ht="14.25" customHeight="1" x14ac:dyDescent="0.3">
      <c r="A54" s="38">
        <v>42643</v>
      </c>
      <c r="B54" s="1" t="s">
        <v>46</v>
      </c>
      <c r="D54" s="36"/>
      <c r="E54" s="36"/>
      <c r="F54" s="36"/>
      <c r="G54" s="36"/>
      <c r="H54" s="36"/>
      <c r="I54" s="36"/>
      <c r="J54" s="36"/>
      <c r="K54" s="36"/>
      <c r="L54" s="36"/>
      <c r="M54" s="36"/>
      <c r="N54" s="36"/>
      <c r="O54" s="36">
        <f>$N36/12*O$45/N$18/2</f>
        <v>1.9587606998087221</v>
      </c>
      <c r="P54" s="36">
        <f>$N36/12*P$45/O$18</f>
        <v>3.9175213996174443</v>
      </c>
      <c r="Q54" s="36">
        <f>$N36/12*Q$45/P$18</f>
        <v>3.9175213996174443</v>
      </c>
      <c r="R54" s="36">
        <f>$N36/12*R$45/Q$18</f>
        <v>3.9175213996174443</v>
      </c>
      <c r="S54" s="36">
        <f>$N36/12*S$45/R$18</f>
        <v>3.9175213996174443</v>
      </c>
      <c r="T54" s="36">
        <f t="shared" si="17"/>
        <v>4.4415792685669038</v>
      </c>
      <c r="U54" s="36">
        <f>T54</f>
        <v>4.4415792685669038</v>
      </c>
      <c r="V54" s="36">
        <f t="shared" si="16"/>
        <v>4.4415792685669038</v>
      </c>
      <c r="W54" s="36">
        <f t="shared" si="16"/>
        <v>4.4415792685669038</v>
      </c>
      <c r="X54" s="36">
        <f t="shared" si="16"/>
        <v>4.4415792685669038</v>
      </c>
      <c r="Y54" s="36">
        <f t="shared" si="16"/>
        <v>4.4415792685669038</v>
      </c>
      <c r="Z54" s="36">
        <f t="shared" si="16"/>
        <v>4.4415792685669038</v>
      </c>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row>
    <row r="55" spans="1:59" ht="14.25" customHeight="1" x14ac:dyDescent="0.3">
      <c r="A55" s="38">
        <v>43008</v>
      </c>
      <c r="B55" s="1" t="s">
        <v>46</v>
      </c>
      <c r="D55" s="36"/>
      <c r="E55" s="36"/>
      <c r="F55" s="36"/>
      <c r="G55" s="36"/>
      <c r="H55" s="36"/>
      <c r="I55" s="36"/>
      <c r="J55" s="36"/>
      <c r="K55" s="36"/>
      <c r="L55" s="36"/>
      <c r="M55" s="36"/>
      <c r="N55" s="36"/>
      <c r="O55" s="36"/>
      <c r="P55" s="36">
        <f>$O36/12*P$45/O$18/2</f>
        <v>0.25705730776053215</v>
      </c>
      <c r="Q55" s="36">
        <f>$O36/12*Q$45/P$18</f>
        <v>0.5141146155210643</v>
      </c>
      <c r="R55" s="36">
        <f>$O36/12*R$45/Q$18</f>
        <v>0.5141146155210643</v>
      </c>
      <c r="S55" s="36">
        <f>$O36/12*S$45/R$18</f>
        <v>0.5141146155210643</v>
      </c>
      <c r="T55" s="36">
        <f t="shared" si="17"/>
        <v>0.58288917533126727</v>
      </c>
      <c r="U55" s="36">
        <f>T55</f>
        <v>0.58288917533126727</v>
      </c>
      <c r="V55" s="36">
        <f t="shared" si="16"/>
        <v>0.58288917533126727</v>
      </c>
      <c r="W55" s="36">
        <f t="shared" si="16"/>
        <v>0.58288917533126727</v>
      </c>
      <c r="X55" s="36">
        <f t="shared" si="16"/>
        <v>0.58288917533126727</v>
      </c>
      <c r="Y55" s="36">
        <f t="shared" si="16"/>
        <v>0.58288917533126727</v>
      </c>
      <c r="Z55" s="36">
        <f t="shared" si="16"/>
        <v>0.58288917533126727</v>
      </c>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row>
    <row r="56" spans="1:59" ht="14.25" customHeight="1" x14ac:dyDescent="0.3">
      <c r="A56" s="38">
        <v>43373</v>
      </c>
      <c r="B56" s="1" t="s">
        <v>46</v>
      </c>
      <c r="D56" s="36"/>
      <c r="E56" s="36"/>
      <c r="F56" s="36"/>
      <c r="G56" s="36"/>
      <c r="H56" s="36"/>
      <c r="I56" s="36"/>
      <c r="J56" s="36"/>
      <c r="K56" s="36"/>
      <c r="L56" s="36"/>
      <c r="M56" s="36"/>
      <c r="N56" s="36"/>
      <c r="O56" s="36"/>
      <c r="P56" s="36"/>
      <c r="Q56" s="36">
        <f>$P36/12*Q$45/P$18/2</f>
        <v>0.16518731948516266</v>
      </c>
      <c r="R56" s="36">
        <f>$P36/12*R$45/Q$18</f>
        <v>0.33037463897032532</v>
      </c>
      <c r="S56" s="36">
        <f>$P36/12*S$45/R$18</f>
        <v>0.33037463897032532</v>
      </c>
      <c r="T56" s="36">
        <f t="shared" si="17"/>
        <v>0.37456978472514951</v>
      </c>
      <c r="U56" s="36">
        <f t="shared" ref="U56:Z58" si="18">T56</f>
        <v>0.37456978472514951</v>
      </c>
      <c r="V56" s="36">
        <f t="shared" si="18"/>
        <v>0.37456978472514951</v>
      </c>
      <c r="W56" s="36">
        <f t="shared" si="18"/>
        <v>0.37456978472514951</v>
      </c>
      <c r="X56" s="36">
        <f t="shared" si="18"/>
        <v>0.37456978472514951</v>
      </c>
      <c r="Y56" s="36">
        <f t="shared" si="18"/>
        <v>0.37456978472514951</v>
      </c>
      <c r="Z56" s="36">
        <f t="shared" si="18"/>
        <v>0.37456978472514951</v>
      </c>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row>
    <row r="57" spans="1:59" ht="14.25" customHeight="1" x14ac:dyDescent="0.3">
      <c r="A57" s="38">
        <v>43738</v>
      </c>
      <c r="B57" s="1" t="s">
        <v>46</v>
      </c>
      <c r="D57" s="36"/>
      <c r="E57" s="36"/>
      <c r="F57" s="36"/>
      <c r="G57" s="36"/>
      <c r="H57" s="36"/>
      <c r="I57" s="36"/>
      <c r="J57" s="36"/>
      <c r="K57" s="36"/>
      <c r="L57" s="36"/>
      <c r="M57" s="36"/>
      <c r="N57" s="36"/>
      <c r="O57" s="36"/>
      <c r="P57" s="36"/>
      <c r="Q57" s="36"/>
      <c r="R57" s="36">
        <f>$Q36/12*R$45/Q$18/2</f>
        <v>0.60244960631505895</v>
      </c>
      <c r="S57" s="36">
        <f>$Q36/12*S$45/R$18</f>
        <v>1.2048992126301179</v>
      </c>
      <c r="T57" s="36">
        <f t="shared" si="17"/>
        <v>1.3660819731713834</v>
      </c>
      <c r="U57" s="36">
        <f t="shared" si="18"/>
        <v>1.3660819731713834</v>
      </c>
      <c r="V57" s="36">
        <f t="shared" si="18"/>
        <v>1.3660819731713834</v>
      </c>
      <c r="W57" s="36">
        <f t="shared" si="18"/>
        <v>1.3660819731713834</v>
      </c>
      <c r="X57" s="36">
        <f t="shared" si="18"/>
        <v>1.3660819731713834</v>
      </c>
      <c r="Y57" s="36">
        <f t="shared" si="18"/>
        <v>1.3660819731713834</v>
      </c>
      <c r="Z57" s="36">
        <f t="shared" si="18"/>
        <v>1.3660819731713834</v>
      </c>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row>
    <row r="58" spans="1:59" ht="14.25" customHeight="1" x14ac:dyDescent="0.3">
      <c r="A58" s="38">
        <v>44104</v>
      </c>
      <c r="B58" s="1" t="s">
        <v>46</v>
      </c>
      <c r="D58" s="36"/>
      <c r="E58" s="36"/>
      <c r="F58" s="36"/>
      <c r="G58" s="36"/>
      <c r="H58" s="36"/>
      <c r="I58" s="36"/>
      <c r="J58" s="36"/>
      <c r="K58" s="36"/>
      <c r="L58" s="36"/>
      <c r="M58" s="36"/>
      <c r="N58" s="36"/>
      <c r="O58" s="36"/>
      <c r="P58" s="36"/>
      <c r="Q58" s="36"/>
      <c r="R58" s="36"/>
      <c r="S58" s="36">
        <f>$R36/12*S$45/R$18/2</f>
        <v>-4.5111911825016816E-3</v>
      </c>
      <c r="T58" s="36">
        <f t="shared" si="17"/>
        <v>-5.1146659300183861E-3</v>
      </c>
      <c r="U58" s="36">
        <f t="shared" si="18"/>
        <v>-5.1146659300183861E-3</v>
      </c>
      <c r="V58" s="36">
        <f t="shared" si="18"/>
        <v>-5.1146659300183861E-3</v>
      </c>
      <c r="W58" s="36">
        <f t="shared" si="18"/>
        <v>-5.1146659300183861E-3</v>
      </c>
      <c r="X58" s="36">
        <f t="shared" si="18"/>
        <v>-5.1146659300183861E-3</v>
      </c>
      <c r="Y58" s="36">
        <f t="shared" si="18"/>
        <v>-5.1146659300183861E-3</v>
      </c>
      <c r="Z58" s="36">
        <f t="shared" si="18"/>
        <v>-5.1146659300183861E-3</v>
      </c>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row>
    <row r="59" spans="1:59" ht="14.25" customHeight="1" x14ac:dyDescent="0.3">
      <c r="A59" s="38">
        <v>44469</v>
      </c>
      <c r="B59" s="1" t="s">
        <v>46</v>
      </c>
      <c r="D59" s="36"/>
      <c r="E59" s="36"/>
      <c r="F59" s="36"/>
      <c r="G59" s="36"/>
      <c r="H59" s="36"/>
      <c r="I59" s="36"/>
      <c r="J59" s="36"/>
      <c r="K59" s="36"/>
      <c r="L59" s="36"/>
      <c r="M59" s="36"/>
      <c r="N59" s="36"/>
      <c r="O59" s="36"/>
      <c r="P59" s="36"/>
      <c r="Q59" s="36"/>
      <c r="R59" s="36"/>
      <c r="S59" s="36"/>
      <c r="T59" s="36">
        <f>$S39/12*T$45/S$18/2</f>
        <v>2.0458734487426335</v>
      </c>
      <c r="U59" s="36">
        <f t="shared" ref="U59:Z59" si="19">$S39/12*U$45/T$18</f>
        <v>4.0917468974852671</v>
      </c>
      <c r="V59" s="36">
        <f t="shared" si="19"/>
        <v>4.0917468974852671</v>
      </c>
      <c r="W59" s="36">
        <f t="shared" si="19"/>
        <v>4.0917468974852671</v>
      </c>
      <c r="X59" s="36">
        <f t="shared" si="19"/>
        <v>4.0917468974852671</v>
      </c>
      <c r="Y59" s="36">
        <f t="shared" si="19"/>
        <v>4.0917468974852671</v>
      </c>
      <c r="Z59" s="36">
        <f t="shared" si="19"/>
        <v>4.0917468974852671</v>
      </c>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row>
    <row r="60" spans="1:59" ht="14.25" customHeight="1" x14ac:dyDescent="0.3">
      <c r="A60" s="38">
        <v>44834</v>
      </c>
      <c r="B60" s="1" t="s">
        <v>46</v>
      </c>
      <c r="D60" s="36"/>
      <c r="E60" s="36"/>
      <c r="F60" s="36"/>
      <c r="G60" s="36"/>
      <c r="H60" s="36"/>
      <c r="I60" s="36"/>
      <c r="J60" s="36"/>
      <c r="K60" s="36"/>
      <c r="L60" s="36"/>
      <c r="M60" s="36"/>
      <c r="N60" s="36"/>
      <c r="O60" s="36"/>
      <c r="P60" s="36"/>
      <c r="Q60" s="36"/>
      <c r="R60" s="36"/>
      <c r="S60" s="36"/>
      <c r="T60" s="36"/>
      <c r="U60" s="36">
        <f>$T39/12*U$45/T$18/2</f>
        <v>0.65650457226890735</v>
      </c>
      <c r="V60" s="36">
        <f>$T39/12*V$45/U$18</f>
        <v>1.3130091445378147</v>
      </c>
      <c r="W60" s="36">
        <f>$T39/12*W$45/V$18</f>
        <v>1.3130091445378147</v>
      </c>
      <c r="X60" s="36">
        <f>$T39/12*X$45/W$18</f>
        <v>1.3130091445378147</v>
      </c>
      <c r="Y60" s="36">
        <f>$T39/12*Y$45/X$18</f>
        <v>1.3130091445378147</v>
      </c>
      <c r="Z60" s="36">
        <f>$T39/12*Z$45/Y$18</f>
        <v>1.3130091445378147</v>
      </c>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row>
    <row r="61" spans="1:59" ht="14.25" customHeight="1" x14ac:dyDescent="0.3">
      <c r="A61" s="38">
        <v>45199</v>
      </c>
      <c r="B61" s="1" t="s">
        <v>46</v>
      </c>
      <c r="D61" s="36"/>
      <c r="E61" s="36"/>
      <c r="F61" s="36"/>
      <c r="G61" s="36"/>
      <c r="H61" s="36"/>
      <c r="I61" s="36"/>
      <c r="J61" s="36"/>
      <c r="K61" s="36"/>
      <c r="L61" s="36"/>
      <c r="M61" s="36"/>
      <c r="N61" s="36"/>
      <c r="O61" s="36"/>
      <c r="P61" s="36"/>
      <c r="Q61" s="36"/>
      <c r="R61" s="36"/>
      <c r="S61" s="36"/>
      <c r="T61" s="36"/>
      <c r="U61" s="36"/>
      <c r="V61" s="36">
        <f>$U39/12*V$45/U$18/2</f>
        <v>2.2897943455962588</v>
      </c>
      <c r="W61" s="36">
        <f>$U39/12*W$45/V$18</f>
        <v>4.5795886911925177</v>
      </c>
      <c r="X61" s="36">
        <f>$U39/12*X$45/W$18</f>
        <v>4.5795886911925177</v>
      </c>
      <c r="Y61" s="36">
        <f>$U39/12*Y$45/X$18</f>
        <v>4.5795886911925177</v>
      </c>
      <c r="Z61" s="36">
        <f>$U39/12*Z$45/Y$18</f>
        <v>4.5795886911925177</v>
      </c>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row>
    <row r="62" spans="1:59" ht="14.25" customHeight="1" x14ac:dyDescent="0.3">
      <c r="A62" s="38">
        <v>45565</v>
      </c>
      <c r="B62" s="1" t="s">
        <v>46</v>
      </c>
      <c r="D62" s="36"/>
      <c r="E62" s="36"/>
      <c r="F62" s="36"/>
      <c r="G62" s="36"/>
      <c r="H62" s="36"/>
      <c r="I62" s="36"/>
      <c r="J62" s="36"/>
      <c r="K62" s="36"/>
      <c r="L62" s="36"/>
      <c r="M62" s="36"/>
      <c r="N62" s="36"/>
      <c r="O62" s="36"/>
      <c r="P62" s="36"/>
      <c r="Q62" s="36"/>
      <c r="R62" s="36"/>
      <c r="S62" s="36"/>
      <c r="T62" s="36"/>
      <c r="U62" s="36"/>
      <c r="V62" s="36"/>
      <c r="W62" s="36">
        <f>$V39/12*W$45/V$18/2</f>
        <v>23.232180129457362</v>
      </c>
      <c r="X62" s="36">
        <f>$V39/12*X$45/W$18</f>
        <v>46.464360258914724</v>
      </c>
      <c r="Y62" s="36">
        <f>$V39/12*Y$45/X$18</f>
        <v>46.464360258914724</v>
      </c>
      <c r="Z62" s="36">
        <f>$V39/12*Z$45/Y$18</f>
        <v>46.464360258914724</v>
      </c>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row>
    <row r="63" spans="1:59" ht="14.25" customHeight="1" x14ac:dyDescent="0.3">
      <c r="A63" s="38">
        <v>45930</v>
      </c>
      <c r="B63" s="1" t="s">
        <v>46</v>
      </c>
      <c r="D63" s="36"/>
      <c r="E63" s="36"/>
      <c r="F63" s="36"/>
      <c r="G63" s="36"/>
      <c r="H63" s="36"/>
      <c r="I63" s="36"/>
      <c r="J63" s="36"/>
      <c r="K63" s="36"/>
      <c r="L63" s="36"/>
      <c r="M63" s="36"/>
      <c r="N63" s="36"/>
      <c r="O63" s="36"/>
      <c r="P63" s="36"/>
      <c r="Q63" s="36"/>
      <c r="R63" s="36"/>
      <c r="S63" s="36"/>
      <c r="T63" s="36"/>
      <c r="U63" s="36"/>
      <c r="V63" s="36"/>
      <c r="W63" s="36"/>
      <c r="X63" s="138">
        <f>$W39/12*X$45/W$18/2</f>
        <v>0.2</v>
      </c>
      <c r="Y63" s="138">
        <f>$W39/12*Y$45/X$18</f>
        <v>0.4</v>
      </c>
      <c r="Z63" s="138">
        <f>$W39/12*Z$45/Y$18</f>
        <v>0.4</v>
      </c>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row>
    <row r="64" spans="1:59" ht="14.25" customHeight="1" x14ac:dyDescent="0.25">
      <c r="A64" s="38">
        <v>46295</v>
      </c>
      <c r="B64" s="1" t="s">
        <v>46</v>
      </c>
      <c r="X64" s="138"/>
      <c r="Y64" s="138">
        <f>$X39/12*Y$45/X$18/2</f>
        <v>0.2</v>
      </c>
      <c r="Z64" s="138">
        <f>$X39/12*Z$45/Y$18</f>
        <v>0.4</v>
      </c>
    </row>
    <row r="65" spans="1:26" ht="14.25" customHeight="1" x14ac:dyDescent="0.25">
      <c r="A65" s="38">
        <v>46660</v>
      </c>
      <c r="B65" s="1" t="s">
        <v>46</v>
      </c>
      <c r="X65" s="138"/>
      <c r="Y65" s="138"/>
      <c r="Z65" s="138">
        <f>$Y39/12*Z$45/Y$18/2</f>
        <v>0.2</v>
      </c>
    </row>
    <row r="66" spans="1:26" ht="14.25" customHeight="1" x14ac:dyDescent="0.25">
      <c r="A66" s="38"/>
      <c r="X66" s="36"/>
      <c r="Y66" s="36"/>
    </row>
    <row r="67" spans="1:26" ht="14.25" customHeight="1" x14ac:dyDescent="0.3">
      <c r="B67" s="26"/>
      <c r="C67" s="23" t="s">
        <v>63</v>
      </c>
      <c r="D67" s="24">
        <v>39538</v>
      </c>
      <c r="E67" s="24">
        <v>39721</v>
      </c>
      <c r="F67" s="24">
        <v>40086</v>
      </c>
      <c r="G67" s="24">
        <v>40268</v>
      </c>
      <c r="H67" s="24">
        <v>40451</v>
      </c>
      <c r="I67" s="24">
        <v>40816</v>
      </c>
      <c r="J67" s="24">
        <v>41182</v>
      </c>
      <c r="K67" s="24">
        <v>41547</v>
      </c>
      <c r="L67" s="24">
        <v>41912</v>
      </c>
      <c r="M67" s="24">
        <v>42277</v>
      </c>
      <c r="N67" s="24">
        <v>42643</v>
      </c>
      <c r="O67" s="24">
        <v>43008</v>
      </c>
      <c r="P67" s="24">
        <v>43373</v>
      </c>
      <c r="Q67" s="24">
        <v>43738</v>
      </c>
      <c r="R67" s="24">
        <v>44104</v>
      </c>
    </row>
    <row r="68" spans="1:26" ht="14.25" customHeight="1" x14ac:dyDescent="0.3">
      <c r="B68" s="26"/>
      <c r="C68" s="20" t="s">
        <v>44</v>
      </c>
      <c r="D68" s="24"/>
      <c r="E68" s="24"/>
      <c r="F68" s="24"/>
      <c r="G68" s="24"/>
      <c r="H68" s="24"/>
      <c r="I68" s="24"/>
      <c r="J68" s="24"/>
      <c r="K68" s="24"/>
      <c r="L68" s="24"/>
      <c r="M68" s="24"/>
      <c r="N68" s="24"/>
      <c r="O68" s="24"/>
      <c r="P68" s="24"/>
      <c r="Q68" s="24"/>
      <c r="R68" s="24"/>
    </row>
    <row r="69" spans="1:26" ht="14.25" customHeight="1" x14ac:dyDescent="0.3">
      <c r="A69" s="10" t="s">
        <v>208</v>
      </c>
      <c r="B69" s="56" t="s">
        <v>46</v>
      </c>
      <c r="C69" s="1" t="s">
        <v>47</v>
      </c>
      <c r="D69" s="29"/>
      <c r="E69" s="29"/>
      <c r="F69" s="29"/>
      <c r="G69" s="29"/>
      <c r="H69" s="29">
        <f t="shared" ref="H69:R69" si="20">SUM(I48:I58)</f>
        <v>0</v>
      </c>
      <c r="I69" s="29">
        <f t="shared" si="20"/>
        <v>29.081858168761219</v>
      </c>
      <c r="J69" s="29">
        <f t="shared" si="20"/>
        <v>87.24557450628366</v>
      </c>
      <c r="K69" s="29">
        <f t="shared" si="20"/>
        <v>116.32743267504488</v>
      </c>
      <c r="L69" s="29">
        <f t="shared" si="20"/>
        <v>116.32743267504488</v>
      </c>
      <c r="M69" s="29">
        <f t="shared" si="20"/>
        <v>116.32743267504488</v>
      </c>
      <c r="N69" s="29">
        <f t="shared" si="20"/>
        <v>118.28619337485358</v>
      </c>
      <c r="O69" s="29">
        <f t="shared" si="20"/>
        <v>120.50201138242284</v>
      </c>
      <c r="P69" s="29">
        <f t="shared" si="20"/>
        <v>120.92425600966853</v>
      </c>
      <c r="Q69" s="29">
        <f t="shared" si="20"/>
        <v>121.69189293546876</v>
      </c>
      <c r="R69" s="29">
        <f t="shared" si="20"/>
        <v>122.28983135060132</v>
      </c>
    </row>
    <row r="70" spans="1:26" ht="14.25" customHeight="1" x14ac:dyDescent="0.25"/>
    <row r="71" spans="1:26" ht="14.25" customHeight="1" x14ac:dyDescent="0.25"/>
    <row r="72" spans="1:26" ht="14.25" customHeight="1" x14ac:dyDescent="0.3">
      <c r="A72" s="16" t="s">
        <v>278</v>
      </c>
      <c r="B72" s="20" t="s">
        <v>33</v>
      </c>
      <c r="C72" s="23" t="s">
        <v>63</v>
      </c>
      <c r="D72" s="24">
        <v>44469</v>
      </c>
      <c r="E72" s="24">
        <v>44834</v>
      </c>
      <c r="F72" s="24">
        <v>45199</v>
      </c>
      <c r="G72" s="24">
        <v>45565</v>
      </c>
      <c r="H72" s="24">
        <v>45930</v>
      </c>
      <c r="I72" s="24">
        <v>46295</v>
      </c>
      <c r="J72" s="24">
        <v>46660</v>
      </c>
    </row>
    <row r="73" spans="1:26" ht="14.25" customHeight="1" x14ac:dyDescent="0.3">
      <c r="A73" s="16"/>
      <c r="B73" s="20"/>
      <c r="C73" s="20" t="s">
        <v>44</v>
      </c>
      <c r="D73" s="24"/>
      <c r="E73" s="24"/>
      <c r="F73" s="24"/>
      <c r="G73" s="24"/>
      <c r="H73" s="24"/>
      <c r="I73" s="24"/>
      <c r="J73" s="24"/>
    </row>
    <row r="74" spans="1:26" ht="14.25" customHeight="1" x14ac:dyDescent="0.25">
      <c r="A74" s="1" t="s">
        <v>69</v>
      </c>
      <c r="B74" s="56" t="s">
        <v>46</v>
      </c>
      <c r="C74" s="1" t="s">
        <v>60</v>
      </c>
      <c r="D74" s="29">
        <f t="shared" ref="D74" si="21">SUM(T48:T58)</f>
        <v>138.64888644549964</v>
      </c>
      <c r="E74" s="29">
        <f t="shared" ref="E74" si="22">SUM(U48:U58)</f>
        <v>138.64888644549964</v>
      </c>
      <c r="F74" s="29">
        <f t="shared" ref="F74" si="23">SUM(V48:V58)</f>
        <v>138.64888644549964</v>
      </c>
      <c r="G74" s="29">
        <f t="shared" ref="G74" si="24">SUM(W48:W58)</f>
        <v>138.64888644549964</v>
      </c>
      <c r="H74" s="29">
        <f t="shared" ref="H74" si="25">SUM(X48:X58)</f>
        <v>138.64888644549964</v>
      </c>
      <c r="I74" s="29">
        <f t="shared" ref="I74" si="26">SUM(Y48:Y58)</f>
        <v>138.64888644549964</v>
      </c>
      <c r="J74" s="29">
        <f t="shared" ref="J74" si="27">SUM(Z48:Z58)</f>
        <v>138.64888644549964</v>
      </c>
    </row>
    <row r="75" spans="1:26" ht="14.25" customHeight="1" x14ac:dyDescent="0.25">
      <c r="A75" s="1" t="s">
        <v>70</v>
      </c>
      <c r="B75" s="56" t="s">
        <v>46</v>
      </c>
      <c r="C75" s="1" t="s">
        <v>60</v>
      </c>
      <c r="D75" s="29">
        <f>SUM(T59:T65)</f>
        <v>2.0458734487426335</v>
      </c>
      <c r="E75" s="29">
        <f t="shared" ref="E75:J75" si="28">SUM(U59:U65)</f>
        <v>4.7482514697541749</v>
      </c>
      <c r="F75" s="29">
        <f t="shared" si="28"/>
        <v>7.6945503876193406</v>
      </c>
      <c r="G75" s="29">
        <f t="shared" si="28"/>
        <v>33.216524862672962</v>
      </c>
      <c r="H75" s="29">
        <f t="shared" si="28"/>
        <v>56.648704992130327</v>
      </c>
      <c r="I75" s="29">
        <f t="shared" si="28"/>
        <v>57.048704992130325</v>
      </c>
      <c r="J75" s="29">
        <f t="shared" si="28"/>
        <v>57.448704992130324</v>
      </c>
    </row>
    <row r="76" spans="1:26" ht="14.25" customHeight="1" x14ac:dyDescent="0.3">
      <c r="A76" s="10" t="s">
        <v>279</v>
      </c>
      <c r="B76" s="139" t="s">
        <v>46</v>
      </c>
      <c r="C76" s="16" t="s">
        <v>60</v>
      </c>
      <c r="D76" s="88">
        <f>D74+D75</f>
        <v>140.69475989424228</v>
      </c>
      <c r="E76" s="88">
        <f t="shared" ref="E76:J76" si="29">E74+E75</f>
        <v>143.39713791525381</v>
      </c>
      <c r="F76" s="88">
        <f t="shared" si="29"/>
        <v>146.34343683311897</v>
      </c>
      <c r="G76" s="88">
        <f t="shared" si="29"/>
        <v>171.86541130817261</v>
      </c>
      <c r="H76" s="88">
        <f t="shared" si="29"/>
        <v>195.29759143762996</v>
      </c>
      <c r="I76" s="88">
        <f t="shared" si="29"/>
        <v>195.69759143762997</v>
      </c>
      <c r="J76" s="88">
        <f t="shared" si="29"/>
        <v>196.09759143762997</v>
      </c>
    </row>
    <row r="77" spans="1:26" ht="14.25" customHeight="1" x14ac:dyDescent="0.3">
      <c r="A77" s="16"/>
      <c r="B77" s="56"/>
      <c r="D77" s="29"/>
      <c r="E77" s="29"/>
      <c r="F77" s="29"/>
      <c r="G77" s="29"/>
      <c r="H77" s="29"/>
    </row>
    <row r="78" spans="1:26" ht="14.25" customHeight="1" x14ac:dyDescent="0.25"/>
    <row r="79" spans="1:26" ht="13" x14ac:dyDescent="0.3">
      <c r="A79" s="7" t="s">
        <v>76</v>
      </c>
    </row>
    <row r="80" spans="1:26" ht="13" x14ac:dyDescent="0.3">
      <c r="B80" s="26"/>
      <c r="C80" s="23" t="s">
        <v>63</v>
      </c>
      <c r="D80" s="24">
        <v>39538</v>
      </c>
      <c r="E80" s="24">
        <v>39721</v>
      </c>
      <c r="F80" s="24">
        <v>40086</v>
      </c>
      <c r="G80" s="24">
        <v>40268</v>
      </c>
      <c r="H80" s="24">
        <v>40451</v>
      </c>
      <c r="I80" s="24">
        <v>40816</v>
      </c>
      <c r="J80" s="24">
        <v>41182</v>
      </c>
      <c r="K80" s="24">
        <v>41547</v>
      </c>
      <c r="L80" s="24">
        <v>41912</v>
      </c>
      <c r="M80" s="24">
        <v>42277</v>
      </c>
      <c r="N80" s="24">
        <v>42643</v>
      </c>
      <c r="O80" s="24">
        <v>43008</v>
      </c>
      <c r="P80" s="24">
        <v>43373</v>
      </c>
      <c r="Q80" s="24">
        <v>43738</v>
      </c>
      <c r="R80" s="24">
        <v>44104</v>
      </c>
    </row>
    <row r="81" spans="1:18" ht="13" x14ac:dyDescent="0.3">
      <c r="A81" s="16" t="s">
        <v>71</v>
      </c>
      <c r="B81" s="20" t="s">
        <v>33</v>
      </c>
      <c r="C81" s="20" t="s">
        <v>44</v>
      </c>
      <c r="D81" s="24"/>
      <c r="E81" s="24"/>
      <c r="F81" s="24"/>
      <c r="G81" s="24"/>
      <c r="H81" s="24"/>
      <c r="I81" s="24"/>
      <c r="J81" s="24"/>
      <c r="K81" s="24"/>
      <c r="L81" s="24"/>
      <c r="M81" s="24"/>
      <c r="N81" s="24"/>
      <c r="O81" s="24"/>
      <c r="P81" s="24"/>
      <c r="Q81" s="24"/>
      <c r="R81" s="24"/>
    </row>
    <row r="82" spans="1:18" x14ac:dyDescent="0.25">
      <c r="A82" s="1" t="s">
        <v>72</v>
      </c>
      <c r="B82" s="56" t="s">
        <v>46</v>
      </c>
      <c r="C82" s="1" t="s">
        <v>47</v>
      </c>
      <c r="D82" s="29"/>
      <c r="E82" s="29"/>
      <c r="F82" s="29"/>
      <c r="G82" s="29"/>
      <c r="H82" s="29">
        <v>0</v>
      </c>
      <c r="I82" s="29">
        <f>H86</f>
        <v>0</v>
      </c>
      <c r="J82" s="29">
        <f>I86</f>
        <v>1425.0110502692996</v>
      </c>
      <c r="K82" s="29">
        <f>J86</f>
        <v>2791.8583842010771</v>
      </c>
      <c r="L82" s="29">
        <f>K86</f>
        <v>2675.5309515260324</v>
      </c>
      <c r="M82" s="29">
        <f>L86</f>
        <v>2559.2035188509876</v>
      </c>
      <c r="N82" s="29">
        <f>H82+SUM(H83:M83)-SUM(H69:M69)</f>
        <v>2442.8760861759424</v>
      </c>
      <c r="O82" s="29">
        <f>N86</f>
        <v>2422.5279277915251</v>
      </c>
      <c r="P82" s="29">
        <f>O86</f>
        <v>2314.8787817971288</v>
      </c>
      <c r="Q82" s="29">
        <f>P86</f>
        <v>2202.2138917617185</v>
      </c>
      <c r="R82" s="29">
        <f>Q86</f>
        <v>2110.6444791420026</v>
      </c>
    </row>
    <row r="83" spans="1:18" x14ac:dyDescent="0.25">
      <c r="A83" s="1" t="s">
        <v>77</v>
      </c>
      <c r="B83" s="56" t="s">
        <v>46</v>
      </c>
      <c r="C83" s="1" t="s">
        <v>47</v>
      </c>
      <c r="D83" s="29"/>
      <c r="E83" s="29"/>
      <c r="F83" s="29"/>
      <c r="G83" s="29"/>
      <c r="H83" s="29">
        <f t="shared" ref="H83:M83" si="30">H33</f>
        <v>0</v>
      </c>
      <c r="I83" s="29">
        <f t="shared" si="30"/>
        <v>1454.0929084380609</v>
      </c>
      <c r="J83" s="29">
        <f t="shared" si="30"/>
        <v>1454.0929084380609</v>
      </c>
      <c r="K83" s="29">
        <f t="shared" si="30"/>
        <v>0</v>
      </c>
      <c r="L83" s="29">
        <f t="shared" si="30"/>
        <v>0</v>
      </c>
      <c r="M83" s="29">
        <f t="shared" si="30"/>
        <v>0</v>
      </c>
      <c r="N83" s="29">
        <f>N33+D25</f>
        <v>0</v>
      </c>
      <c r="O83" s="29">
        <f>O33+E25</f>
        <v>0</v>
      </c>
      <c r="P83" s="29">
        <f>P33+F25</f>
        <v>0</v>
      </c>
      <c r="Q83" s="29">
        <f>Q33+G25</f>
        <v>0</v>
      </c>
      <c r="R83" s="29">
        <f>R33+H25</f>
        <v>0</v>
      </c>
    </row>
    <row r="84" spans="1:18" x14ac:dyDescent="0.25">
      <c r="A84" s="1" t="s">
        <v>78</v>
      </c>
      <c r="B84" s="56" t="s">
        <v>46</v>
      </c>
      <c r="C84" s="1" t="s">
        <v>47</v>
      </c>
      <c r="D84" s="29"/>
      <c r="E84" s="29"/>
      <c r="F84" s="29"/>
      <c r="G84" s="29"/>
      <c r="H84" s="29"/>
      <c r="I84" s="29"/>
      <c r="J84" s="29"/>
      <c r="K84" s="29"/>
      <c r="L84" s="29"/>
      <c r="M84" s="29"/>
      <c r="N84" s="29">
        <f>D27</f>
        <v>97.938034990436108</v>
      </c>
      <c r="O84" s="29">
        <f>E27</f>
        <v>12.852865388026608</v>
      </c>
      <c r="P84" s="29">
        <f>F27</f>
        <v>8.2593659742581327</v>
      </c>
      <c r="Q84" s="29">
        <f>G27</f>
        <v>30.122480315752949</v>
      </c>
      <c r="R84" s="29">
        <f>H27</f>
        <v>-0.2255595591250841</v>
      </c>
    </row>
    <row r="85" spans="1:18" x14ac:dyDescent="0.25">
      <c r="A85" s="1" t="s">
        <v>79</v>
      </c>
      <c r="B85" s="56" t="s">
        <v>46</v>
      </c>
      <c r="C85" s="1" t="s">
        <v>47</v>
      </c>
      <c r="H85" s="29">
        <f t="shared" ref="H85:R85" si="31">H69</f>
        <v>0</v>
      </c>
      <c r="I85" s="29">
        <f t="shared" si="31"/>
        <v>29.081858168761219</v>
      </c>
      <c r="J85" s="29">
        <f t="shared" si="31"/>
        <v>87.24557450628366</v>
      </c>
      <c r="K85" s="29">
        <f t="shared" si="31"/>
        <v>116.32743267504488</v>
      </c>
      <c r="L85" s="29">
        <f t="shared" si="31"/>
        <v>116.32743267504488</v>
      </c>
      <c r="M85" s="29">
        <f t="shared" si="31"/>
        <v>116.32743267504488</v>
      </c>
      <c r="N85" s="29">
        <f t="shared" si="31"/>
        <v>118.28619337485358</v>
      </c>
      <c r="O85" s="29">
        <f t="shared" si="31"/>
        <v>120.50201138242284</v>
      </c>
      <c r="P85" s="29">
        <f t="shared" si="31"/>
        <v>120.92425600966853</v>
      </c>
      <c r="Q85" s="29">
        <f t="shared" si="31"/>
        <v>121.69189293546876</v>
      </c>
      <c r="R85" s="29">
        <f t="shared" si="31"/>
        <v>122.28983135060132</v>
      </c>
    </row>
    <row r="86" spans="1:18" x14ac:dyDescent="0.25">
      <c r="A86" s="1" t="s">
        <v>74</v>
      </c>
      <c r="B86" s="56" t="s">
        <v>46</v>
      </c>
      <c r="C86" s="1" t="s">
        <v>47</v>
      </c>
      <c r="D86" s="29"/>
      <c r="E86" s="29"/>
      <c r="F86" s="29"/>
      <c r="G86" s="29"/>
      <c r="H86" s="29">
        <f>H82+H83+H84-H85</f>
        <v>0</v>
      </c>
      <c r="I86" s="29">
        <f t="shared" ref="I86:R86" si="32">I82+I83+I84-I85</f>
        <v>1425.0110502692996</v>
      </c>
      <c r="J86" s="29">
        <f t="shared" si="32"/>
        <v>2791.8583842010771</v>
      </c>
      <c r="K86" s="29">
        <f t="shared" si="32"/>
        <v>2675.5309515260324</v>
      </c>
      <c r="L86" s="29">
        <f t="shared" si="32"/>
        <v>2559.2035188509876</v>
      </c>
      <c r="M86" s="29">
        <f t="shared" si="32"/>
        <v>2442.8760861759429</v>
      </c>
      <c r="N86" s="29">
        <f t="shared" si="32"/>
        <v>2422.5279277915251</v>
      </c>
      <c r="O86" s="29">
        <f t="shared" si="32"/>
        <v>2314.8787817971288</v>
      </c>
      <c r="P86" s="29">
        <f t="shared" si="32"/>
        <v>2202.2138917617185</v>
      </c>
      <c r="Q86" s="29">
        <f t="shared" si="32"/>
        <v>2110.6444791420026</v>
      </c>
      <c r="R86" s="29">
        <f t="shared" si="32"/>
        <v>1988.1290882322762</v>
      </c>
    </row>
    <row r="87" spans="1:18" x14ac:dyDescent="0.25">
      <c r="A87" s="1" t="s">
        <v>75</v>
      </c>
      <c r="B87" s="56" t="s">
        <v>46</v>
      </c>
      <c r="C87" s="1" t="s">
        <v>47</v>
      </c>
      <c r="D87" s="29"/>
      <c r="E87" s="29"/>
      <c r="F87" s="29"/>
      <c r="G87" s="29"/>
      <c r="H87" s="29">
        <f t="shared" ref="H87:R87" si="33">(H82+H86)/2</f>
        <v>0</v>
      </c>
      <c r="I87" s="29">
        <f t="shared" si="33"/>
        <v>712.50552513464982</v>
      </c>
      <c r="J87" s="29">
        <f t="shared" si="33"/>
        <v>2108.4347172351881</v>
      </c>
      <c r="K87" s="29">
        <f t="shared" si="33"/>
        <v>2733.694667863555</v>
      </c>
      <c r="L87" s="29">
        <f t="shared" si="33"/>
        <v>2617.3672351885098</v>
      </c>
      <c r="M87" s="29">
        <f t="shared" si="33"/>
        <v>2501.0398025134655</v>
      </c>
      <c r="N87" s="29">
        <f t="shared" si="33"/>
        <v>2432.7020069837336</v>
      </c>
      <c r="O87" s="29">
        <f t="shared" si="33"/>
        <v>2368.703354794327</v>
      </c>
      <c r="P87" s="29">
        <f t="shared" si="33"/>
        <v>2258.5463367794237</v>
      </c>
      <c r="Q87" s="29">
        <f t="shared" si="33"/>
        <v>2156.4291854518606</v>
      </c>
      <c r="R87" s="29">
        <f t="shared" si="33"/>
        <v>2049.3867836871395</v>
      </c>
    </row>
    <row r="88" spans="1:18" x14ac:dyDescent="0.25">
      <c r="I88" s="3"/>
      <c r="J88" s="3"/>
      <c r="K88" s="3"/>
      <c r="L88" s="3"/>
      <c r="M88" s="3"/>
      <c r="N88" s="3"/>
      <c r="O88" s="3"/>
      <c r="P88" s="3"/>
      <c r="Q88" s="3"/>
      <c r="R88" s="3"/>
    </row>
    <row r="90" spans="1:18" ht="13" x14ac:dyDescent="0.3">
      <c r="A90" s="7" t="s">
        <v>198</v>
      </c>
      <c r="B90" s="18"/>
    </row>
    <row r="92" spans="1:18" ht="13" x14ac:dyDescent="0.3">
      <c r="A92" s="20" t="s">
        <v>204</v>
      </c>
      <c r="B92" s="26"/>
      <c r="C92" s="26"/>
      <c r="D92" s="21" t="s">
        <v>20</v>
      </c>
      <c r="E92" s="21" t="s">
        <v>21</v>
      </c>
      <c r="F92" s="21" t="s">
        <v>22</v>
      </c>
      <c r="G92" s="21" t="s">
        <v>23</v>
      </c>
      <c r="H92" s="21" t="s">
        <v>24</v>
      </c>
      <c r="I92" s="21" t="s">
        <v>45</v>
      </c>
    </row>
    <row r="93" spans="1:18" x14ac:dyDescent="0.25">
      <c r="A93" s="1" t="s">
        <v>42</v>
      </c>
      <c r="B93" s="56" t="s">
        <v>46</v>
      </c>
      <c r="C93" s="1" t="s">
        <v>47</v>
      </c>
      <c r="D93" s="29">
        <f>'RAB - NB'!D125</f>
        <v>156.15894334996273</v>
      </c>
      <c r="E93" s="29">
        <f>'RAB - NB'!E125</f>
        <v>119.76915704991052</v>
      </c>
      <c r="F93" s="29">
        <f>'RAB - NB'!F125</f>
        <v>102.00102100993359</v>
      </c>
      <c r="G93" s="29">
        <f>'RAB - NB'!G125</f>
        <v>124.58202023414968</v>
      </c>
      <c r="H93" s="29">
        <f>'RAB - NB'!H125</f>
        <v>131.02342359591407</v>
      </c>
      <c r="I93" s="29">
        <f>SUM(D93:H93)</f>
        <v>633.53456523987063</v>
      </c>
    </row>
    <row r="96" spans="1:18" ht="13" x14ac:dyDescent="0.3">
      <c r="A96" s="7" t="s">
        <v>205</v>
      </c>
      <c r="B96" s="18"/>
    </row>
    <row r="97" spans="1:18" ht="13" x14ac:dyDescent="0.3">
      <c r="A97" s="16" t="s">
        <v>71</v>
      </c>
      <c r="B97" s="20" t="s">
        <v>33</v>
      </c>
      <c r="C97" s="20" t="s">
        <v>44</v>
      </c>
      <c r="D97" s="24">
        <v>39538</v>
      </c>
      <c r="E97" s="24">
        <v>39721</v>
      </c>
      <c r="F97" s="24">
        <v>40086</v>
      </c>
      <c r="G97" s="24">
        <v>40268</v>
      </c>
      <c r="H97" s="24">
        <v>40451</v>
      </c>
      <c r="I97" s="24">
        <v>40816</v>
      </c>
      <c r="J97" s="24">
        <v>41182</v>
      </c>
      <c r="K97" s="24">
        <v>41547</v>
      </c>
      <c r="L97" s="24">
        <v>41912</v>
      </c>
      <c r="M97" s="24">
        <v>42277</v>
      </c>
      <c r="N97" s="24">
        <v>42643</v>
      </c>
      <c r="O97" s="24">
        <v>43008</v>
      </c>
      <c r="P97" s="24">
        <v>43373</v>
      </c>
      <c r="Q97" s="24">
        <v>43738</v>
      </c>
      <c r="R97" s="24">
        <v>44104</v>
      </c>
    </row>
    <row r="98" spans="1:18" x14ac:dyDescent="0.25">
      <c r="A98" s="1" t="s">
        <v>72</v>
      </c>
      <c r="B98" s="56" t="s">
        <v>46</v>
      </c>
      <c r="C98" s="1" t="s">
        <v>47</v>
      </c>
      <c r="D98" s="29"/>
      <c r="E98" s="29"/>
      <c r="F98" s="29"/>
      <c r="G98" s="29"/>
      <c r="H98" s="29">
        <v>0</v>
      </c>
      <c r="I98" s="29">
        <f>H102</f>
        <v>0</v>
      </c>
      <c r="J98" s="29">
        <f t="shared" ref="J98:R98" si="34">I102</f>
        <v>1425.0110502692996</v>
      </c>
      <c r="K98" s="29">
        <f t="shared" si="34"/>
        <v>2791.8583842010771</v>
      </c>
      <c r="L98" s="29">
        <f t="shared" si="34"/>
        <v>2675.5309515260324</v>
      </c>
      <c r="M98" s="29">
        <f t="shared" si="34"/>
        <v>2559.2035188509876</v>
      </c>
      <c r="N98" s="29">
        <f t="shared" si="34"/>
        <v>2442.8760861759429</v>
      </c>
      <c r="O98" s="29">
        <f t="shared" si="34"/>
        <v>2384.6551778164162</v>
      </c>
      <c r="P98" s="29">
        <f t="shared" si="34"/>
        <v>2277.7388861545323</v>
      </c>
      <c r="Q98" s="29">
        <f>P102</f>
        <v>2183.9972311188571</v>
      </c>
      <c r="R98" s="29">
        <f t="shared" si="34"/>
        <v>2089.5376912004604</v>
      </c>
    </row>
    <row r="99" spans="1:18" x14ac:dyDescent="0.25">
      <c r="A99" s="2" t="s">
        <v>219</v>
      </c>
      <c r="B99" s="56" t="s">
        <v>46</v>
      </c>
      <c r="C99" s="1" t="s">
        <v>47</v>
      </c>
      <c r="D99" s="29"/>
      <c r="E99" s="29"/>
      <c r="F99" s="29"/>
      <c r="G99" s="29"/>
      <c r="H99" s="29">
        <f t="shared" ref="H99:M99" si="35">H33</f>
        <v>0</v>
      </c>
      <c r="I99" s="29">
        <f t="shared" si="35"/>
        <v>1454.0929084380609</v>
      </c>
      <c r="J99" s="29">
        <f t="shared" si="35"/>
        <v>1454.0929084380609</v>
      </c>
      <c r="K99" s="29">
        <f t="shared" si="35"/>
        <v>0</v>
      </c>
      <c r="L99" s="29">
        <f t="shared" si="35"/>
        <v>0</v>
      </c>
      <c r="M99" s="29">
        <f t="shared" si="35"/>
        <v>0</v>
      </c>
      <c r="N99" s="29"/>
      <c r="O99" s="29"/>
      <c r="P99" s="29"/>
      <c r="Q99" s="29"/>
      <c r="R99" s="29"/>
    </row>
    <row r="100" spans="1:18" x14ac:dyDescent="0.25">
      <c r="A100" s="2" t="s">
        <v>220</v>
      </c>
      <c r="B100" s="56" t="s">
        <v>46</v>
      </c>
      <c r="C100" s="1" t="s">
        <v>47</v>
      </c>
      <c r="D100" s="29"/>
      <c r="E100" s="29"/>
      <c r="F100" s="29"/>
      <c r="G100" s="29"/>
      <c r="H100" s="29"/>
      <c r="I100" s="29"/>
      <c r="J100" s="29"/>
      <c r="K100" s="29"/>
      <c r="L100" s="29"/>
      <c r="M100" s="29"/>
      <c r="N100" s="29">
        <f>D27</f>
        <v>97.938034990436108</v>
      </c>
      <c r="O100" s="29">
        <f>E27</f>
        <v>12.852865388026608</v>
      </c>
      <c r="P100" s="29">
        <f>F27</f>
        <v>8.2593659742581327</v>
      </c>
      <c r="Q100" s="29">
        <f>G27</f>
        <v>30.122480315752949</v>
      </c>
      <c r="R100" s="29">
        <f>H27</f>
        <v>-0.2255595591250841</v>
      </c>
    </row>
    <row r="101" spans="1:18" x14ac:dyDescent="0.25">
      <c r="A101" s="2" t="s">
        <v>98</v>
      </c>
      <c r="B101" s="56" t="s">
        <v>46</v>
      </c>
      <c r="C101" s="1" t="s">
        <v>47</v>
      </c>
      <c r="D101" s="29">
        <f t="shared" ref="D101:M101" si="36">D69</f>
        <v>0</v>
      </c>
      <c r="E101" s="29">
        <f t="shared" si="36"/>
        <v>0</v>
      </c>
      <c r="F101" s="29">
        <f t="shared" si="36"/>
        <v>0</v>
      </c>
      <c r="G101" s="29">
        <f t="shared" si="36"/>
        <v>0</v>
      </c>
      <c r="H101" s="29">
        <f t="shared" si="36"/>
        <v>0</v>
      </c>
      <c r="I101" s="29">
        <f t="shared" si="36"/>
        <v>29.081858168761219</v>
      </c>
      <c r="J101" s="29">
        <f t="shared" si="36"/>
        <v>87.24557450628366</v>
      </c>
      <c r="K101" s="29">
        <f t="shared" si="36"/>
        <v>116.32743267504488</v>
      </c>
      <c r="L101" s="29">
        <f t="shared" si="36"/>
        <v>116.32743267504488</v>
      </c>
      <c r="M101" s="29">
        <f t="shared" si="36"/>
        <v>116.32743267504488</v>
      </c>
      <c r="N101" s="29">
        <f>D93</f>
        <v>156.15894334996273</v>
      </c>
      <c r="O101" s="29">
        <f>E93</f>
        <v>119.76915704991052</v>
      </c>
      <c r="P101" s="29">
        <f>F93</f>
        <v>102.00102100993359</v>
      </c>
      <c r="Q101" s="29">
        <f>G93</f>
        <v>124.58202023414968</v>
      </c>
      <c r="R101" s="29">
        <f>H93</f>
        <v>131.02342359591407</v>
      </c>
    </row>
    <row r="102" spans="1:18" x14ac:dyDescent="0.25">
      <c r="A102" s="1" t="s">
        <v>74</v>
      </c>
      <c r="B102" s="56" t="s">
        <v>46</v>
      </c>
      <c r="C102" s="1" t="s">
        <v>47</v>
      </c>
      <c r="D102" s="29"/>
      <c r="E102" s="29"/>
      <c r="F102" s="29"/>
      <c r="G102" s="29"/>
      <c r="H102" s="29">
        <f>H98+H99+H100-H101</f>
        <v>0</v>
      </c>
      <c r="I102" s="29">
        <f t="shared" ref="I102:R102" si="37">I98+I99+I100-I101</f>
        <v>1425.0110502692996</v>
      </c>
      <c r="J102" s="29">
        <f t="shared" si="37"/>
        <v>2791.8583842010771</v>
      </c>
      <c r="K102" s="29">
        <f t="shared" si="37"/>
        <v>2675.5309515260324</v>
      </c>
      <c r="L102" s="29">
        <f t="shared" si="37"/>
        <v>2559.2035188509876</v>
      </c>
      <c r="M102" s="29">
        <f t="shared" si="37"/>
        <v>2442.8760861759429</v>
      </c>
      <c r="N102" s="29">
        <f t="shared" si="37"/>
        <v>2384.6551778164162</v>
      </c>
      <c r="O102" s="29">
        <f t="shared" si="37"/>
        <v>2277.7388861545323</v>
      </c>
      <c r="P102" s="29">
        <f t="shared" si="37"/>
        <v>2183.9972311188571</v>
      </c>
      <c r="Q102" s="29">
        <f t="shared" si="37"/>
        <v>2089.5376912004604</v>
      </c>
      <c r="R102" s="29">
        <f t="shared" si="37"/>
        <v>1958.2887080454213</v>
      </c>
    </row>
    <row r="103" spans="1:18" x14ac:dyDescent="0.25">
      <c r="A103" s="1" t="s">
        <v>75</v>
      </c>
      <c r="B103" s="56" t="s">
        <v>46</v>
      </c>
      <c r="C103" s="1" t="s">
        <v>47</v>
      </c>
      <c r="D103" s="29"/>
      <c r="E103" s="29"/>
      <c r="F103" s="29"/>
      <c r="G103" s="29"/>
      <c r="H103" s="29">
        <f t="shared" ref="H103:R103" si="38">(H98+H102)/2</f>
        <v>0</v>
      </c>
      <c r="I103" s="29">
        <f t="shared" si="38"/>
        <v>712.50552513464982</v>
      </c>
      <c r="J103" s="29">
        <f t="shared" si="38"/>
        <v>2108.4347172351881</v>
      </c>
      <c r="K103" s="29">
        <f t="shared" si="38"/>
        <v>2733.694667863555</v>
      </c>
      <c r="L103" s="29">
        <f t="shared" si="38"/>
        <v>2617.3672351885098</v>
      </c>
      <c r="M103" s="29">
        <f t="shared" si="38"/>
        <v>2501.0398025134655</v>
      </c>
      <c r="N103" s="29">
        <f t="shared" si="38"/>
        <v>2413.7656319961798</v>
      </c>
      <c r="O103" s="29">
        <f t="shared" si="38"/>
        <v>2331.1970319854745</v>
      </c>
      <c r="P103" s="29">
        <f t="shared" si="38"/>
        <v>2230.8680586366945</v>
      </c>
      <c r="Q103" s="29">
        <f t="shared" si="38"/>
        <v>2136.7674611596585</v>
      </c>
      <c r="R103" s="29">
        <f t="shared" si="38"/>
        <v>2023.9131996229407</v>
      </c>
    </row>
    <row r="105" spans="1:18" ht="13" x14ac:dyDescent="0.3">
      <c r="A105" s="7" t="s">
        <v>206</v>
      </c>
      <c r="B105" s="18"/>
    </row>
    <row r="106" spans="1:18" ht="39" x14ac:dyDescent="0.3">
      <c r="A106" s="16" t="s">
        <v>106</v>
      </c>
      <c r="B106" s="20" t="s">
        <v>33</v>
      </c>
      <c r="C106" s="20" t="s">
        <v>44</v>
      </c>
      <c r="D106" s="61" t="s">
        <v>107</v>
      </c>
      <c r="E106" s="61" t="s">
        <v>207</v>
      </c>
      <c r="F106" s="61" t="s">
        <v>108</v>
      </c>
      <c r="G106" s="3"/>
      <c r="H106" s="3"/>
      <c r="I106" s="82"/>
      <c r="J106" s="82"/>
      <c r="K106" s="82"/>
      <c r="L106" s="82"/>
      <c r="M106" s="82"/>
      <c r="N106" s="82"/>
      <c r="O106" s="82"/>
      <c r="P106" s="82"/>
      <c r="Q106" s="82"/>
      <c r="R106" s="82"/>
    </row>
    <row r="107" spans="1:18" x14ac:dyDescent="0.25">
      <c r="A107" s="1" t="s">
        <v>82</v>
      </c>
      <c r="B107" s="56" t="s">
        <v>46</v>
      </c>
      <c r="C107" s="1" t="s">
        <v>47</v>
      </c>
      <c r="D107" s="29">
        <f>SUM(N85:R85)</f>
        <v>603.69418505301496</v>
      </c>
      <c r="E107" s="29">
        <f>SUM(I93)</f>
        <v>633.53456523987063</v>
      </c>
      <c r="F107" s="29">
        <f>D107-E107</f>
        <v>-29.840380186855668</v>
      </c>
      <c r="G107" s="3"/>
      <c r="H107" s="3"/>
      <c r="I107" s="29"/>
    </row>
    <row r="109" spans="1:18" ht="13" x14ac:dyDescent="0.3">
      <c r="A109" s="16" t="s">
        <v>110</v>
      </c>
      <c r="B109" s="20" t="s">
        <v>33</v>
      </c>
      <c r="C109" s="20" t="s">
        <v>44</v>
      </c>
      <c r="D109" s="20"/>
      <c r="E109" s="20"/>
      <c r="F109" s="61" t="s">
        <v>108</v>
      </c>
    </row>
    <row r="110" spans="1:18" x14ac:dyDescent="0.25">
      <c r="A110" s="1" t="s">
        <v>82</v>
      </c>
      <c r="B110" s="56" t="s">
        <v>46</v>
      </c>
      <c r="C110" s="1" t="s">
        <v>60</v>
      </c>
      <c r="F110" s="29">
        <f>F107*J14</f>
        <v>-33.832211871780828</v>
      </c>
    </row>
    <row r="112" spans="1:18" ht="13" x14ac:dyDescent="0.3">
      <c r="A112" s="7" t="s">
        <v>111</v>
      </c>
      <c r="B112" s="18"/>
    </row>
    <row r="113" spans="1:10" ht="13" x14ac:dyDescent="0.3">
      <c r="B113" s="26"/>
      <c r="C113" s="26"/>
      <c r="D113" s="21" t="s">
        <v>26</v>
      </c>
      <c r="E113" s="21" t="s">
        <v>27</v>
      </c>
      <c r="F113" s="21" t="s">
        <v>28</v>
      </c>
      <c r="G113" s="21" t="s">
        <v>29</v>
      </c>
      <c r="H113" s="21" t="s">
        <v>34</v>
      </c>
    </row>
    <row r="114" spans="1:10" x14ac:dyDescent="0.25">
      <c r="A114" s="1" t="s">
        <v>112</v>
      </c>
      <c r="D114" s="22">
        <v>0.2</v>
      </c>
      <c r="E114" s="22">
        <v>0.2</v>
      </c>
      <c r="F114" s="22">
        <v>0.2</v>
      </c>
      <c r="G114" s="22">
        <v>0.2</v>
      </c>
      <c r="H114" s="22">
        <v>0.2</v>
      </c>
    </row>
    <row r="115" spans="1:10" ht="13" x14ac:dyDescent="0.3">
      <c r="A115" s="10" t="s">
        <v>199</v>
      </c>
      <c r="B115" s="20" t="s">
        <v>33</v>
      </c>
      <c r="C115" s="20" t="s">
        <v>44</v>
      </c>
      <c r="D115" s="29"/>
      <c r="E115" s="29"/>
      <c r="F115" s="29"/>
      <c r="G115" s="29"/>
      <c r="H115" s="29"/>
    </row>
    <row r="116" spans="1:10" x14ac:dyDescent="0.25">
      <c r="A116" s="1" t="s">
        <v>82</v>
      </c>
      <c r="B116" s="56" t="s">
        <v>46</v>
      </c>
      <c r="C116" s="1" t="s">
        <v>60</v>
      </c>
      <c r="D116" s="29">
        <f>$F110*D$114</f>
        <v>-6.7664423743561661</v>
      </c>
      <c r="E116" s="29">
        <f>$F110*E$114</f>
        <v>-6.7664423743561661</v>
      </c>
      <c r="F116" s="29">
        <f>$F110*F$114</f>
        <v>-6.7664423743561661</v>
      </c>
      <c r="G116" s="29">
        <f>$F110*G$114</f>
        <v>-6.7664423743561661</v>
      </c>
      <c r="H116" s="29">
        <f>$F110*H$114</f>
        <v>-6.7664423743561661</v>
      </c>
    </row>
    <row r="118" spans="1:10" ht="13" x14ac:dyDescent="0.3">
      <c r="A118" s="7" t="s">
        <v>282</v>
      </c>
      <c r="B118" s="18"/>
    </row>
    <row r="120" spans="1:10" ht="13" x14ac:dyDescent="0.3">
      <c r="A120" s="16" t="s">
        <v>71</v>
      </c>
      <c r="B120" s="20" t="s">
        <v>33</v>
      </c>
      <c r="C120" s="20" t="s">
        <v>44</v>
      </c>
      <c r="D120" s="21" t="s">
        <v>26</v>
      </c>
      <c r="E120" s="21" t="s">
        <v>27</v>
      </c>
      <c r="F120" s="21" t="s">
        <v>28</v>
      </c>
      <c r="G120" s="21" t="s">
        <v>29</v>
      </c>
      <c r="H120" s="21" t="s">
        <v>34</v>
      </c>
      <c r="I120" s="21" t="s">
        <v>268</v>
      </c>
      <c r="J120" s="21" t="s">
        <v>275</v>
      </c>
    </row>
    <row r="121" spans="1:10" x14ac:dyDescent="0.25">
      <c r="A121" s="1" t="s">
        <v>72</v>
      </c>
      <c r="B121" s="56" t="s">
        <v>46</v>
      </c>
      <c r="C121" s="1" t="s">
        <v>60</v>
      </c>
      <c r="D121" s="29">
        <f>R102*J14</f>
        <v>2220.2545028528962</v>
      </c>
      <c r="E121" s="29">
        <f>D125</f>
        <v>2188.6198577701416</v>
      </c>
      <c r="F121" s="29">
        <f t="shared" ref="F121:J121" si="39">E125</f>
        <v>2084.8143908426891</v>
      </c>
      <c r="G121" s="29">
        <f t="shared" si="39"/>
        <v>2059.7271136637391</v>
      </c>
      <c r="H121" s="29">
        <f t="shared" si="39"/>
        <v>3056.2371512027908</v>
      </c>
      <c r="I121" s="29">
        <f t="shared" si="39"/>
        <v>2877.7060021395173</v>
      </c>
      <c r="J121" s="29">
        <f t="shared" si="39"/>
        <v>2692.0084107018874</v>
      </c>
    </row>
    <row r="122" spans="1:10" x14ac:dyDescent="0.25">
      <c r="A122" s="1" t="s">
        <v>83</v>
      </c>
      <c r="B122" s="56" t="s">
        <v>46</v>
      </c>
      <c r="C122" s="1" t="s">
        <v>60</v>
      </c>
      <c r="D122" s="29">
        <f t="shared" ref="D122:I122" si="40">S39</f>
        <v>102.29367243713168</v>
      </c>
      <c r="E122" s="29">
        <f t="shared" si="40"/>
        <v>32.825228613445368</v>
      </c>
      <c r="F122" s="29">
        <f t="shared" si="40"/>
        <v>114.48971727981294</v>
      </c>
      <c r="G122" s="29">
        <f t="shared" si="40"/>
        <v>1161.609006472868</v>
      </c>
      <c r="H122" s="29">
        <f t="shared" si="40"/>
        <v>10</v>
      </c>
      <c r="I122" s="29">
        <f t="shared" si="40"/>
        <v>10</v>
      </c>
      <c r="J122" s="29">
        <f>Y39</f>
        <v>10</v>
      </c>
    </row>
    <row r="123" spans="1:10" x14ac:dyDescent="0.25">
      <c r="A123" s="1" t="s">
        <v>84</v>
      </c>
      <c r="B123" s="56" t="s">
        <v>46</v>
      </c>
      <c r="C123" s="1" t="s">
        <v>60</v>
      </c>
      <c r="D123" s="29">
        <f t="shared" ref="D123:I123" si="41">D76</f>
        <v>140.69475989424228</v>
      </c>
      <c r="E123" s="29">
        <f t="shared" si="41"/>
        <v>143.39713791525381</v>
      </c>
      <c r="F123" s="29">
        <f t="shared" si="41"/>
        <v>146.34343683311897</v>
      </c>
      <c r="G123" s="29">
        <f t="shared" si="41"/>
        <v>171.86541130817261</v>
      </c>
      <c r="H123" s="29">
        <f t="shared" si="41"/>
        <v>195.29759143762996</v>
      </c>
      <c r="I123" s="29">
        <f t="shared" si="41"/>
        <v>195.69759143762997</v>
      </c>
      <c r="J123" s="29">
        <f t="shared" ref="J123" si="42">J76</f>
        <v>196.09759143762997</v>
      </c>
    </row>
    <row r="124" spans="1:10" x14ac:dyDescent="0.25">
      <c r="A124" s="2" t="s">
        <v>216</v>
      </c>
      <c r="B124" s="56" t="s">
        <v>46</v>
      </c>
      <c r="C124" s="1" t="s">
        <v>60</v>
      </c>
      <c r="D124" s="29">
        <f t="shared" ref="D124:I124" si="43">D116</f>
        <v>-6.7664423743561661</v>
      </c>
      <c r="E124" s="29">
        <f t="shared" si="43"/>
        <v>-6.7664423743561661</v>
      </c>
      <c r="F124" s="29">
        <f t="shared" si="43"/>
        <v>-6.7664423743561661</v>
      </c>
      <c r="G124" s="29">
        <f t="shared" si="43"/>
        <v>-6.7664423743561661</v>
      </c>
      <c r="H124" s="29">
        <f t="shared" si="43"/>
        <v>-6.7664423743561661</v>
      </c>
      <c r="I124" s="29">
        <f t="shared" si="43"/>
        <v>0</v>
      </c>
      <c r="J124" s="29">
        <f t="shared" ref="J124" si="44">J116</f>
        <v>0</v>
      </c>
    </row>
    <row r="125" spans="1:10" x14ac:dyDescent="0.25">
      <c r="A125" s="1" t="s">
        <v>74</v>
      </c>
      <c r="B125" s="56" t="s">
        <v>46</v>
      </c>
      <c r="C125" s="1" t="s">
        <v>60</v>
      </c>
      <c r="D125" s="29">
        <f>D121+D122-D123-D124</f>
        <v>2188.6198577701416</v>
      </c>
      <c r="E125" s="29">
        <f t="shared" ref="E125:H125" si="45">E121+E122-E123-E124</f>
        <v>2084.8143908426891</v>
      </c>
      <c r="F125" s="29">
        <f t="shared" si="45"/>
        <v>2059.7271136637391</v>
      </c>
      <c r="G125" s="29">
        <f t="shared" si="45"/>
        <v>3056.2371512027908</v>
      </c>
      <c r="H125" s="29">
        <f t="shared" si="45"/>
        <v>2877.7060021395173</v>
      </c>
      <c r="I125" s="29">
        <f t="shared" ref="I125" si="46">I121+I122-I123-I124</f>
        <v>2692.0084107018874</v>
      </c>
      <c r="J125" s="29">
        <f>J121+J122-J123-J124</f>
        <v>2505.9108192642575</v>
      </c>
    </row>
    <row r="126" spans="1:10" x14ac:dyDescent="0.25">
      <c r="A126" s="1" t="s">
        <v>75</v>
      </c>
      <c r="B126" s="56" t="s">
        <v>46</v>
      </c>
      <c r="C126" s="1" t="s">
        <v>60</v>
      </c>
      <c r="D126" s="29">
        <f>AVERAGE(D121,D125)</f>
        <v>2204.4371803115191</v>
      </c>
      <c r="E126" s="29">
        <f t="shared" ref="E126:H126" si="47">AVERAGE(E121,E125)</f>
        <v>2136.7171243064154</v>
      </c>
      <c r="F126" s="29">
        <f t="shared" si="47"/>
        <v>2072.2707522532141</v>
      </c>
      <c r="G126" s="29">
        <f t="shared" si="47"/>
        <v>2557.9821324332652</v>
      </c>
      <c r="H126" s="29">
        <f t="shared" si="47"/>
        <v>2966.9715766711543</v>
      </c>
      <c r="I126" s="29">
        <f t="shared" ref="I126:J126" si="48">AVERAGE(I121,I125)</f>
        <v>2784.8572064207024</v>
      </c>
      <c r="J126" s="29">
        <f t="shared" si="48"/>
        <v>2598.9596149830722</v>
      </c>
    </row>
    <row r="128" spans="1:10" ht="13" x14ac:dyDescent="0.3">
      <c r="A128" s="7" t="s">
        <v>282</v>
      </c>
      <c r="B128" s="18"/>
    </row>
    <row r="130" spans="1:10" ht="13" x14ac:dyDescent="0.3">
      <c r="A130" s="16" t="s">
        <v>52</v>
      </c>
      <c r="B130" s="20" t="s">
        <v>33</v>
      </c>
      <c r="C130" s="20" t="s">
        <v>44</v>
      </c>
      <c r="D130" s="21" t="s">
        <v>26</v>
      </c>
      <c r="E130" s="21" t="s">
        <v>27</v>
      </c>
      <c r="F130" s="21" t="s">
        <v>28</v>
      </c>
      <c r="G130" s="21" t="s">
        <v>29</v>
      </c>
      <c r="H130" s="21" t="s">
        <v>34</v>
      </c>
      <c r="I130" s="21" t="s">
        <v>268</v>
      </c>
      <c r="J130" s="21" t="s">
        <v>275</v>
      </c>
    </row>
    <row r="131" spans="1:10" ht="13" x14ac:dyDescent="0.3">
      <c r="A131" s="1" t="s">
        <v>168</v>
      </c>
      <c r="B131" s="56" t="s">
        <v>46</v>
      </c>
      <c r="C131" s="1" t="s">
        <v>85</v>
      </c>
      <c r="D131" s="29">
        <f>(R102*$J$14)*K7</f>
        <v>2278.03064233234</v>
      </c>
      <c r="E131" s="29">
        <f t="shared" ref="E131:J131" si="49">D134*(L5/K5)</f>
        <v>2420.4996568275733</v>
      </c>
      <c r="F131" s="29">
        <f t="shared" si="49"/>
        <v>2485.8892783003453</v>
      </c>
      <c r="G131" s="29">
        <f t="shared" si="49"/>
        <v>2530.6312679028479</v>
      </c>
      <c r="H131" s="29">
        <f t="shared" si="49"/>
        <v>3815.0474369073718</v>
      </c>
      <c r="I131" s="29">
        <f t="shared" si="49"/>
        <v>3709.9990177849004</v>
      </c>
      <c r="J131" s="29">
        <f t="shared" si="49"/>
        <v>3544.2972123347049</v>
      </c>
    </row>
    <row r="132" spans="1:10" ht="13" x14ac:dyDescent="0.3">
      <c r="A132" s="1" t="s">
        <v>169</v>
      </c>
      <c r="B132" s="56" t="s">
        <v>46</v>
      </c>
      <c r="C132" s="1" t="s">
        <v>85</v>
      </c>
      <c r="D132" s="29">
        <f t="shared" ref="D132:J132" si="50">S39*K7</f>
        <v>104.9555895637485</v>
      </c>
      <c r="E132" s="29">
        <f t="shared" si="50"/>
        <v>36.302994470260217</v>
      </c>
      <c r="F132" s="29">
        <f t="shared" si="50"/>
        <v>136.51515545539036</v>
      </c>
      <c r="G132" s="29">
        <f t="shared" si="50"/>
        <v>1427.1813257965905</v>
      </c>
      <c r="H132" s="29">
        <f t="shared" si="50"/>
        <v>12.482825278810409</v>
      </c>
      <c r="I132" s="29">
        <f t="shared" si="50"/>
        <v>12.892210027801971</v>
      </c>
      <c r="J132" s="29">
        <f t="shared" si="50"/>
        <v>13.165996057978886</v>
      </c>
    </row>
    <row r="133" spans="1:10" ht="13" x14ac:dyDescent="0.3">
      <c r="A133" s="2" t="s">
        <v>186</v>
      </c>
      <c r="B133" s="56" t="s">
        <v>46</v>
      </c>
      <c r="C133" s="1" t="s">
        <v>85</v>
      </c>
      <c r="D133" s="29">
        <f t="shared" ref="D133:J133" si="51">(D123+D124)*K7</f>
        <v>137.41344102412111</v>
      </c>
      <c r="E133" s="29">
        <f t="shared" si="51"/>
        <v>151.10643837701505</v>
      </c>
      <c r="F133" s="29">
        <f t="shared" si="51"/>
        <v>166.42870250055086</v>
      </c>
      <c r="G133" s="29">
        <f t="shared" si="51"/>
        <v>202.84464398745848</v>
      </c>
      <c r="H133" s="29">
        <f t="shared" si="51"/>
        <v>235.34013933702079</v>
      </c>
      <c r="I133" s="29">
        <f t="shared" si="51"/>
        <v>252.29744507489062</v>
      </c>
      <c r="J133" s="29">
        <f t="shared" si="51"/>
        <v>258.18201158469901</v>
      </c>
    </row>
    <row r="134" spans="1:10" ht="13" x14ac:dyDescent="0.3">
      <c r="A134" s="1" t="s">
        <v>170</v>
      </c>
      <c r="B134" s="56" t="s">
        <v>46</v>
      </c>
      <c r="C134" s="1" t="s">
        <v>85</v>
      </c>
      <c r="D134" s="29">
        <f>D131+D132-D133</f>
        <v>2245.5727908719673</v>
      </c>
      <c r="E134" s="29">
        <f t="shared" ref="E134:H134" si="52">E131+E132-E133</f>
        <v>2305.6962129208187</v>
      </c>
      <c r="F134" s="29">
        <f t="shared" si="52"/>
        <v>2455.9757312551847</v>
      </c>
      <c r="G134" s="29">
        <f t="shared" si="52"/>
        <v>3754.9679497119801</v>
      </c>
      <c r="H134" s="29">
        <f t="shared" si="52"/>
        <v>3592.1901228491611</v>
      </c>
      <c r="I134" s="29">
        <f t="shared" ref="I134:J134" si="53">I131+I132-I133</f>
        <v>3470.5937827378116</v>
      </c>
      <c r="J134" s="29">
        <f t="shared" si="53"/>
        <v>3299.281196807985</v>
      </c>
    </row>
    <row r="135" spans="1:10" x14ac:dyDescent="0.25">
      <c r="A135" s="1" t="s">
        <v>75</v>
      </c>
      <c r="B135" s="56" t="s">
        <v>46</v>
      </c>
      <c r="C135" s="1" t="s">
        <v>85</v>
      </c>
      <c r="D135" s="29">
        <f t="shared" ref="D135:I135" si="54">AVERAGE(D131,D134)</f>
        <v>2261.8017166021536</v>
      </c>
      <c r="E135" s="29">
        <f t="shared" si="54"/>
        <v>2363.0979348741957</v>
      </c>
      <c r="F135" s="29">
        <f t="shared" si="54"/>
        <v>2470.9325047777647</v>
      </c>
      <c r="G135" s="29">
        <f t="shared" si="54"/>
        <v>3142.7996088074142</v>
      </c>
      <c r="H135" s="29">
        <f t="shared" si="54"/>
        <v>3703.6187798782667</v>
      </c>
      <c r="I135" s="29">
        <f t="shared" si="54"/>
        <v>3590.2964002613562</v>
      </c>
      <c r="J135" s="29">
        <f t="shared" ref="J135" si="55">AVERAGE(J131,J134)</f>
        <v>3421.7892045713452</v>
      </c>
    </row>
    <row r="137" spans="1:10" x14ac:dyDescent="0.25">
      <c r="D137" s="3"/>
      <c r="E137" s="3"/>
      <c r="F137" s="3"/>
      <c r="G137" s="3"/>
      <c r="H137" s="3"/>
    </row>
    <row r="138" spans="1:10" x14ac:dyDescent="0.25">
      <c r="D138" s="3"/>
      <c r="E138" s="3"/>
      <c r="F138" s="3"/>
      <c r="G138" s="3"/>
      <c r="H138" s="3"/>
    </row>
    <row r="139" spans="1:10" x14ac:dyDescent="0.25">
      <c r="D139" s="3"/>
      <c r="E139" s="3"/>
      <c r="F139" s="3"/>
      <c r="G139" s="3"/>
      <c r="H139" s="3"/>
    </row>
    <row r="140" spans="1:10" x14ac:dyDescent="0.25">
      <c r="D140" s="3"/>
      <c r="E140" s="3"/>
      <c r="F140" s="3"/>
      <c r="G140" s="3"/>
      <c r="H140" s="3"/>
    </row>
    <row r="141" spans="1:10" x14ac:dyDescent="0.25">
      <c r="D141" s="3"/>
      <c r="E141" s="3"/>
      <c r="F141" s="3"/>
      <c r="G141" s="3"/>
      <c r="H141" s="3"/>
    </row>
  </sheetData>
  <pageMargins left="0.7" right="0.7" top="0.75" bottom="0.75" header="0.3" footer="0.3"/>
  <pageSetup orientation="portrait" horizontalDpi="90" verticalDpi="90" r:id="rId1"/>
  <ignoredErrors>
    <ignoredError sqref="E121:H126 D125:D126 D134:E135"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
  <sheetViews>
    <sheetView showGridLines="0" workbookViewId="0"/>
  </sheetViews>
  <sheetFormatPr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T85"/>
  <sheetViews>
    <sheetView showGridLines="0" zoomScale="85" zoomScaleNormal="85" workbookViewId="0"/>
  </sheetViews>
  <sheetFormatPr defaultColWidth="8.6328125" defaultRowHeight="12.5" x14ac:dyDescent="0.25"/>
  <cols>
    <col min="1" max="1" width="46.54296875" style="2" bestFit="1" customWidth="1"/>
    <col min="2" max="2" width="15" style="2" customWidth="1"/>
    <col min="3" max="3" width="14" style="2" customWidth="1"/>
    <col min="4" max="13" width="9.6328125" style="2" customWidth="1"/>
    <col min="14" max="16384" width="8.6328125" style="2"/>
  </cols>
  <sheetData>
    <row r="1" spans="1:20" ht="13" x14ac:dyDescent="0.3">
      <c r="A1" s="7" t="s">
        <v>125</v>
      </c>
      <c r="B1" s="7"/>
      <c r="D1" s="84"/>
      <c r="E1" s="84"/>
      <c r="F1" s="84"/>
      <c r="G1" s="84"/>
      <c r="H1" s="84"/>
    </row>
    <row r="3" spans="1:20" ht="13" x14ac:dyDescent="0.3">
      <c r="A3" s="20" t="s">
        <v>52</v>
      </c>
      <c r="B3" s="20" t="s">
        <v>33</v>
      </c>
      <c r="C3" s="20" t="s">
        <v>44</v>
      </c>
      <c r="D3" s="21" t="s">
        <v>26</v>
      </c>
      <c r="E3" s="21" t="s">
        <v>27</v>
      </c>
      <c r="F3" s="21" t="s">
        <v>28</v>
      </c>
      <c r="G3" s="21" t="s">
        <v>29</v>
      </c>
      <c r="H3" s="21" t="s">
        <v>34</v>
      </c>
      <c r="I3" s="21" t="s">
        <v>268</v>
      </c>
      <c r="J3" s="21" t="s">
        <v>275</v>
      </c>
    </row>
    <row r="4" spans="1:20" ht="13" x14ac:dyDescent="0.3">
      <c r="A4" s="2" t="s">
        <v>164</v>
      </c>
      <c r="B4" s="2" t="s">
        <v>46</v>
      </c>
      <c r="C4" s="2" t="s">
        <v>85</v>
      </c>
      <c r="D4" s="84">
        <f>'RAB - NB'!D167</f>
        <v>1603.633928639247</v>
      </c>
      <c r="E4" s="84">
        <f>'RAB - NB'!E167</f>
        <v>2511.5273707864744</v>
      </c>
      <c r="F4" s="84">
        <f>'RAB - NB'!F167</f>
        <v>5180.055400236989</v>
      </c>
      <c r="G4" s="84">
        <f>'RAB - NB'!G167</f>
        <v>6544.6506898133375</v>
      </c>
      <c r="H4" s="84">
        <f>'RAB - NB'!H167</f>
        <v>7610.0002724127417</v>
      </c>
      <c r="I4" s="84">
        <f>'RAB - NB'!I167</f>
        <v>7166.0376165745529</v>
      </c>
      <c r="J4" s="84">
        <f>'RAB - NB'!J167</f>
        <v>5123.9657678049034</v>
      </c>
      <c r="P4" s="124"/>
      <c r="Q4" s="124"/>
      <c r="R4" s="124"/>
      <c r="S4" s="124"/>
      <c r="T4" s="124"/>
    </row>
    <row r="5" spans="1:20" ht="13" x14ac:dyDescent="0.3">
      <c r="A5" s="2" t="s">
        <v>165</v>
      </c>
      <c r="B5" s="2" t="s">
        <v>46</v>
      </c>
      <c r="C5" s="2" t="s">
        <v>85</v>
      </c>
      <c r="D5" s="84">
        <f>'RAB - NB'!D168</f>
        <v>1649.5427525830914</v>
      </c>
      <c r="E5" s="84">
        <f>'RAB - NB'!E168</f>
        <v>3564.4855391703495</v>
      </c>
      <c r="F5" s="84">
        <f>'RAB - NB'!F168</f>
        <v>3004.287025442537</v>
      </c>
      <c r="G5" s="84">
        <f>'RAB - NB'!G168</f>
        <v>3227.5581715964049</v>
      </c>
      <c r="H5" s="84">
        <f>'RAB - NB'!H168</f>
        <v>1847.5758543063198</v>
      </c>
      <c r="I5" s="84">
        <f>'RAB - NB'!I168</f>
        <v>664.79970229363653</v>
      </c>
      <c r="J5" s="84">
        <f>'RAB - NB'!J168</f>
        <v>678.91775272573932</v>
      </c>
      <c r="P5" s="124"/>
      <c r="Q5" s="124"/>
      <c r="R5" s="124"/>
      <c r="S5" s="124"/>
      <c r="T5" s="124"/>
    </row>
    <row r="6" spans="1:20" ht="13" x14ac:dyDescent="0.3">
      <c r="A6" s="2" t="s">
        <v>187</v>
      </c>
      <c r="B6" s="2" t="s">
        <v>46</v>
      </c>
      <c r="C6" s="2" t="s">
        <v>85</v>
      </c>
      <c r="D6" s="84">
        <f>'RAB - NB'!D169</f>
        <v>923.1546498372395</v>
      </c>
      <c r="E6" s="84">
        <f>'RAB - NB'!E169</f>
        <v>1271.4408707658536</v>
      </c>
      <c r="F6" s="84">
        <f>'RAB - NB'!F169</f>
        <v>1832.7638817835254</v>
      </c>
      <c r="G6" s="84">
        <f>'RAB - NB'!G169</f>
        <v>2282.0511129720057</v>
      </c>
      <c r="H6" s="84">
        <f>'RAB - NB'!H169</f>
        <v>2519.0919322962582</v>
      </c>
      <c r="I6" s="84">
        <f>'RAB - NB'!I169</f>
        <v>2813.4240853456827</v>
      </c>
      <c r="J6" s="84">
        <f>'RAB - NB'!J169</f>
        <v>2372.9426006647086</v>
      </c>
      <c r="P6" s="124"/>
      <c r="Q6" s="124"/>
      <c r="R6" s="124"/>
      <c r="S6" s="124"/>
      <c r="T6" s="124"/>
    </row>
    <row r="7" spans="1:20" ht="13" x14ac:dyDescent="0.3">
      <c r="A7" s="2" t="s">
        <v>166</v>
      </c>
      <c r="B7" s="2" t="s">
        <v>46</v>
      </c>
      <c r="C7" s="2" t="s">
        <v>85</v>
      </c>
      <c r="D7" s="84">
        <f t="shared" ref="D7:J7" si="0">D4+D5-D6</f>
        <v>2330.0220313850991</v>
      </c>
      <c r="E7" s="84">
        <f t="shared" si="0"/>
        <v>4804.5720391909708</v>
      </c>
      <c r="F7" s="84">
        <f t="shared" si="0"/>
        <v>6351.5785438960011</v>
      </c>
      <c r="G7" s="84">
        <f t="shared" si="0"/>
        <v>7490.1577484377376</v>
      </c>
      <c r="H7" s="84">
        <f t="shared" si="0"/>
        <v>6938.4841944228028</v>
      </c>
      <c r="I7" s="84">
        <f t="shared" si="0"/>
        <v>5017.4132335225058</v>
      </c>
      <c r="J7" s="84">
        <f t="shared" si="0"/>
        <v>3429.9409198659337</v>
      </c>
      <c r="P7" s="124"/>
      <c r="Q7" s="124"/>
      <c r="R7" s="124"/>
      <c r="S7" s="124"/>
      <c r="T7" s="124"/>
    </row>
    <row r="8" spans="1:20" x14ac:dyDescent="0.25">
      <c r="A8" s="2" t="s">
        <v>75</v>
      </c>
      <c r="B8" s="2" t="s">
        <v>46</v>
      </c>
      <c r="C8" s="2" t="s">
        <v>85</v>
      </c>
      <c r="D8" s="84">
        <f t="shared" ref="D8:J8" si="1">(D4+D7)/2</f>
        <v>1966.8279800121732</v>
      </c>
      <c r="E8" s="84">
        <f t="shared" si="1"/>
        <v>3658.0497049887226</v>
      </c>
      <c r="F8" s="84">
        <f t="shared" si="1"/>
        <v>5765.8169720664955</v>
      </c>
      <c r="G8" s="84">
        <f t="shared" si="1"/>
        <v>7017.4042191255376</v>
      </c>
      <c r="H8" s="84">
        <f t="shared" si="1"/>
        <v>7274.2422334177718</v>
      </c>
      <c r="I8" s="84">
        <f t="shared" si="1"/>
        <v>6091.7254250485294</v>
      </c>
      <c r="J8" s="84">
        <f t="shared" si="1"/>
        <v>4276.9533438354183</v>
      </c>
      <c r="P8" s="124"/>
      <c r="Q8" s="124"/>
      <c r="R8" s="124"/>
      <c r="S8" s="124"/>
      <c r="T8" s="124"/>
    </row>
    <row r="9" spans="1:20" x14ac:dyDescent="0.25">
      <c r="A9" s="1"/>
      <c r="B9" s="1"/>
      <c r="C9" s="1"/>
      <c r="D9" s="43"/>
      <c r="E9" s="43"/>
      <c r="F9" s="43"/>
      <c r="G9" s="43"/>
      <c r="H9" s="43"/>
      <c r="P9" s="124"/>
      <c r="Q9" s="124"/>
      <c r="R9" s="124"/>
      <c r="S9" s="124"/>
      <c r="T9" s="124"/>
    </row>
    <row r="10" spans="1:20" ht="13" x14ac:dyDescent="0.3">
      <c r="A10" s="20" t="s">
        <v>71</v>
      </c>
      <c r="B10" s="20" t="s">
        <v>33</v>
      </c>
      <c r="C10" s="20" t="s">
        <v>44</v>
      </c>
      <c r="D10" s="21" t="s">
        <v>26</v>
      </c>
      <c r="E10" s="21" t="s">
        <v>27</v>
      </c>
      <c r="F10" s="21" t="s">
        <v>28</v>
      </c>
      <c r="G10" s="21" t="s">
        <v>29</v>
      </c>
      <c r="H10" s="21" t="s">
        <v>34</v>
      </c>
      <c r="I10" s="21" t="s">
        <v>268</v>
      </c>
      <c r="J10" s="21" t="s">
        <v>275</v>
      </c>
      <c r="P10" s="124"/>
      <c r="Q10" s="124"/>
      <c r="R10" s="124"/>
      <c r="S10" s="124"/>
      <c r="T10" s="124"/>
    </row>
    <row r="11" spans="1:20" ht="13" x14ac:dyDescent="0.3">
      <c r="A11" s="2" t="s">
        <v>168</v>
      </c>
      <c r="B11" s="2" t="s">
        <v>46</v>
      </c>
      <c r="C11" s="2" t="s">
        <v>85</v>
      </c>
      <c r="D11" s="112">
        <f>'RAB - Build'!D131</f>
        <v>2278.03064233234</v>
      </c>
      <c r="E11" s="112">
        <f>'RAB - Build'!E131</f>
        <v>2420.4996568275733</v>
      </c>
      <c r="F11" s="112">
        <f>'RAB - Build'!F131</f>
        <v>2485.8892783003453</v>
      </c>
      <c r="G11" s="112">
        <f>'RAB - Build'!G131</f>
        <v>2530.6312679028479</v>
      </c>
      <c r="H11" s="112">
        <f>'RAB - Build'!H131</f>
        <v>3815.0474369073718</v>
      </c>
      <c r="I11" s="112">
        <f>'RAB - Build'!I131</f>
        <v>3709.9990177849004</v>
      </c>
      <c r="J11" s="112">
        <f>'RAB - Build'!J131</f>
        <v>3544.2972123347049</v>
      </c>
      <c r="P11" s="124"/>
      <c r="Q11" s="124"/>
      <c r="R11" s="124"/>
      <c r="S11" s="124"/>
      <c r="T11" s="124"/>
    </row>
    <row r="12" spans="1:20" ht="13" x14ac:dyDescent="0.3">
      <c r="A12" s="2" t="s">
        <v>169</v>
      </c>
      <c r="B12" s="2" t="s">
        <v>46</v>
      </c>
      <c r="C12" s="2" t="s">
        <v>85</v>
      </c>
      <c r="D12" s="112">
        <f>'RAB - Build'!D132</f>
        <v>104.9555895637485</v>
      </c>
      <c r="E12" s="112">
        <f>'RAB - Build'!E132</f>
        <v>36.302994470260217</v>
      </c>
      <c r="F12" s="112">
        <f>'RAB - Build'!F132</f>
        <v>136.51515545539036</v>
      </c>
      <c r="G12" s="112">
        <f>'RAB - Build'!G132</f>
        <v>1427.1813257965905</v>
      </c>
      <c r="H12" s="112">
        <f>'RAB - Build'!H132</f>
        <v>12.482825278810409</v>
      </c>
      <c r="I12" s="112">
        <f>'RAB - Build'!I132</f>
        <v>12.892210027801971</v>
      </c>
      <c r="J12" s="112">
        <f>'RAB - Build'!J132</f>
        <v>13.165996057978886</v>
      </c>
      <c r="P12" s="124"/>
      <c r="Q12" s="124"/>
      <c r="R12" s="124"/>
      <c r="S12" s="124"/>
      <c r="T12" s="124"/>
    </row>
    <row r="13" spans="1:20" ht="13" x14ac:dyDescent="0.3">
      <c r="A13" s="2" t="s">
        <v>221</v>
      </c>
      <c r="B13" s="2" t="s">
        <v>46</v>
      </c>
      <c r="C13" s="2" t="s">
        <v>85</v>
      </c>
      <c r="D13" s="112">
        <f>'RAB - Build'!D133</f>
        <v>137.41344102412111</v>
      </c>
      <c r="E13" s="112">
        <f>'RAB - Build'!E133</f>
        <v>151.10643837701505</v>
      </c>
      <c r="F13" s="112">
        <f>'RAB - Build'!F133</f>
        <v>166.42870250055086</v>
      </c>
      <c r="G13" s="112">
        <f>'RAB - Build'!G133</f>
        <v>202.84464398745848</v>
      </c>
      <c r="H13" s="112">
        <f>'RAB - Build'!H133</f>
        <v>235.34013933702079</v>
      </c>
      <c r="I13" s="112">
        <f>'RAB - Build'!I133</f>
        <v>252.29744507489062</v>
      </c>
      <c r="J13" s="112">
        <f>'RAB - Build'!J133</f>
        <v>258.18201158469901</v>
      </c>
      <c r="P13" s="124"/>
      <c r="Q13" s="124"/>
      <c r="R13" s="124"/>
      <c r="S13" s="124"/>
      <c r="T13" s="124"/>
    </row>
    <row r="14" spans="1:20" ht="13" x14ac:dyDescent="0.3">
      <c r="A14" s="2" t="s">
        <v>170</v>
      </c>
      <c r="B14" s="2" t="s">
        <v>46</v>
      </c>
      <c r="C14" s="2" t="s">
        <v>85</v>
      </c>
      <c r="D14" s="112">
        <f t="shared" ref="D14:I14" si="2">D11+D12-D13</f>
        <v>2245.5727908719673</v>
      </c>
      <c r="E14" s="112">
        <f t="shared" si="2"/>
        <v>2305.6962129208187</v>
      </c>
      <c r="F14" s="112">
        <f t="shared" si="2"/>
        <v>2455.9757312551847</v>
      </c>
      <c r="G14" s="112">
        <f t="shared" si="2"/>
        <v>3754.9679497119801</v>
      </c>
      <c r="H14" s="112">
        <f t="shared" si="2"/>
        <v>3592.1901228491611</v>
      </c>
      <c r="I14" s="112">
        <f t="shared" si="2"/>
        <v>3470.5937827378116</v>
      </c>
      <c r="J14" s="112">
        <f t="shared" ref="J14" si="3">J11+J12-J13</f>
        <v>3299.281196807985</v>
      </c>
      <c r="P14" s="124"/>
      <c r="Q14" s="124"/>
      <c r="R14" s="124"/>
      <c r="S14" s="124"/>
      <c r="T14" s="124"/>
    </row>
    <row r="15" spans="1:20" x14ac:dyDescent="0.25">
      <c r="A15" s="2" t="s">
        <v>75</v>
      </c>
      <c r="B15" s="2" t="s">
        <v>46</v>
      </c>
      <c r="C15" s="2" t="s">
        <v>85</v>
      </c>
      <c r="D15" s="112">
        <f t="shared" ref="D15:I15" si="4">(D14+D11)/2</f>
        <v>2261.8017166021536</v>
      </c>
      <c r="E15" s="112">
        <f t="shared" si="4"/>
        <v>2363.0979348741957</v>
      </c>
      <c r="F15" s="112">
        <f t="shared" si="4"/>
        <v>2470.9325047777647</v>
      </c>
      <c r="G15" s="112">
        <f t="shared" si="4"/>
        <v>3142.7996088074142</v>
      </c>
      <c r="H15" s="112">
        <f t="shared" si="4"/>
        <v>3703.6187798782667</v>
      </c>
      <c r="I15" s="112">
        <f t="shared" si="4"/>
        <v>3590.2964002613562</v>
      </c>
      <c r="J15" s="112">
        <f t="shared" ref="J15" si="5">(J14+J11)/2</f>
        <v>3421.7892045713452</v>
      </c>
      <c r="P15" s="124"/>
      <c r="Q15" s="124"/>
      <c r="R15" s="124"/>
      <c r="S15" s="124"/>
      <c r="T15" s="124"/>
    </row>
    <row r="16" spans="1:20" x14ac:dyDescent="0.25">
      <c r="A16" s="1"/>
      <c r="B16" s="1"/>
      <c r="C16" s="1"/>
      <c r="D16" s="43"/>
      <c r="E16" s="43"/>
      <c r="F16" s="43"/>
      <c r="G16" s="43"/>
      <c r="H16" s="43"/>
    </row>
    <row r="17" spans="1:10" ht="13" x14ac:dyDescent="0.3">
      <c r="A17" s="20" t="s">
        <v>224</v>
      </c>
      <c r="B17" s="20" t="s">
        <v>33</v>
      </c>
      <c r="C17" s="20" t="s">
        <v>44</v>
      </c>
      <c r="D17" s="21" t="s">
        <v>26</v>
      </c>
      <c r="E17" s="21" t="s">
        <v>27</v>
      </c>
      <c r="F17" s="21" t="s">
        <v>28</v>
      </c>
      <c r="G17" s="21" t="s">
        <v>29</v>
      </c>
      <c r="H17" s="21" t="s">
        <v>34</v>
      </c>
      <c r="I17" s="21" t="s">
        <v>268</v>
      </c>
      <c r="J17" s="21" t="s">
        <v>275</v>
      </c>
    </row>
    <row r="18" spans="1:10" x14ac:dyDescent="0.25">
      <c r="A18" s="1" t="s">
        <v>72</v>
      </c>
      <c r="B18" s="1" t="s">
        <v>46</v>
      </c>
      <c r="C18" s="2" t="s">
        <v>85</v>
      </c>
      <c r="D18" s="29">
        <f t="shared" ref="D18:G18" si="6">D4+D11</f>
        <v>3881.6645709715867</v>
      </c>
      <c r="E18" s="29">
        <f t="shared" si="6"/>
        <v>4932.0270276140473</v>
      </c>
      <c r="F18" s="29">
        <f t="shared" si="6"/>
        <v>7665.9446785373348</v>
      </c>
      <c r="G18" s="29">
        <f t="shared" si="6"/>
        <v>9075.2819577161863</v>
      </c>
      <c r="H18" s="29">
        <f>H4+H11</f>
        <v>11425.047709320113</v>
      </c>
      <c r="I18" s="29">
        <f>I4+I11</f>
        <v>10876.036634359454</v>
      </c>
      <c r="J18" s="29">
        <f>J4+J11</f>
        <v>8668.2629801396088</v>
      </c>
    </row>
    <row r="19" spans="1:10" x14ac:dyDescent="0.25">
      <c r="A19" s="2" t="s">
        <v>83</v>
      </c>
      <c r="B19" s="1" t="s">
        <v>46</v>
      </c>
      <c r="C19" s="2" t="s">
        <v>85</v>
      </c>
      <c r="D19" s="29">
        <f t="shared" ref="D19:J19" si="7">D5+D12</f>
        <v>1754.4983421468401</v>
      </c>
      <c r="E19" s="29">
        <f t="shared" si="7"/>
        <v>3600.7885336406098</v>
      </c>
      <c r="F19" s="29">
        <f t="shared" si="7"/>
        <v>3140.8021808979274</v>
      </c>
      <c r="G19" s="29">
        <f t="shared" si="7"/>
        <v>4654.739497392995</v>
      </c>
      <c r="H19" s="29">
        <f t="shared" si="7"/>
        <v>1860.0586795851302</v>
      </c>
      <c r="I19" s="29">
        <f t="shared" si="7"/>
        <v>677.69191232143851</v>
      </c>
      <c r="J19" s="29">
        <f t="shared" si="7"/>
        <v>692.08374878371819</v>
      </c>
    </row>
    <row r="20" spans="1:10" ht="13" x14ac:dyDescent="0.3">
      <c r="A20" s="114" t="s">
        <v>223</v>
      </c>
      <c r="B20" s="114" t="s">
        <v>46</v>
      </c>
      <c r="C20" s="114" t="s">
        <v>85</v>
      </c>
      <c r="D20" s="133">
        <f t="shared" ref="D20:J20" si="8">D6+D13</f>
        <v>1060.5680908613606</v>
      </c>
      <c r="E20" s="133">
        <f t="shared" si="8"/>
        <v>1422.5473091428687</v>
      </c>
      <c r="F20" s="133">
        <f t="shared" si="8"/>
        <v>1999.1925842840762</v>
      </c>
      <c r="G20" s="133">
        <f t="shared" si="8"/>
        <v>2484.8957569594641</v>
      </c>
      <c r="H20" s="133">
        <f t="shared" si="8"/>
        <v>2754.4320716332791</v>
      </c>
      <c r="I20" s="133">
        <f t="shared" si="8"/>
        <v>3065.7215304205733</v>
      </c>
      <c r="J20" s="133">
        <f t="shared" si="8"/>
        <v>2631.1246122494076</v>
      </c>
    </row>
    <row r="21" spans="1:10" x14ac:dyDescent="0.25">
      <c r="A21" s="1" t="s">
        <v>74</v>
      </c>
      <c r="B21" s="1" t="s">
        <v>46</v>
      </c>
      <c r="C21" s="2" t="s">
        <v>85</v>
      </c>
      <c r="D21" s="112">
        <f t="shared" ref="D21:J21" si="9">D7+D14</f>
        <v>4575.594822257066</v>
      </c>
      <c r="E21" s="112">
        <f t="shared" si="9"/>
        <v>7110.2682521117895</v>
      </c>
      <c r="F21" s="112">
        <f t="shared" si="9"/>
        <v>8807.5542751511857</v>
      </c>
      <c r="G21" s="112">
        <f t="shared" si="9"/>
        <v>11245.125698149717</v>
      </c>
      <c r="H21" s="112">
        <f t="shared" si="9"/>
        <v>10530.674317271963</v>
      </c>
      <c r="I21" s="112">
        <f t="shared" si="9"/>
        <v>8488.007016260317</v>
      </c>
      <c r="J21" s="112">
        <f t="shared" si="9"/>
        <v>6729.2221166739182</v>
      </c>
    </row>
    <row r="22" spans="1:10" x14ac:dyDescent="0.25">
      <c r="A22" s="1" t="s">
        <v>75</v>
      </c>
      <c r="B22" s="1" t="s">
        <v>46</v>
      </c>
      <c r="C22" s="2" t="s">
        <v>85</v>
      </c>
      <c r="D22" s="112">
        <f t="shared" ref="D22:J22" si="10">D8+D15</f>
        <v>4228.6296966143273</v>
      </c>
      <c r="E22" s="112">
        <f t="shared" si="10"/>
        <v>6021.1476398629184</v>
      </c>
      <c r="F22" s="112">
        <f t="shared" si="10"/>
        <v>8236.7494768442593</v>
      </c>
      <c r="G22" s="112">
        <f t="shared" si="10"/>
        <v>10160.203827932952</v>
      </c>
      <c r="H22" s="112">
        <f t="shared" si="10"/>
        <v>10977.861013296038</v>
      </c>
      <c r="I22" s="112">
        <f t="shared" si="10"/>
        <v>9682.0218253098865</v>
      </c>
      <c r="J22" s="112">
        <f t="shared" si="10"/>
        <v>7698.7425484067635</v>
      </c>
    </row>
    <row r="25" spans="1:10" ht="13" x14ac:dyDescent="0.3">
      <c r="A25" s="7" t="s">
        <v>116</v>
      </c>
      <c r="B25" s="7"/>
      <c r="D25" s="84"/>
      <c r="E25" s="84"/>
      <c r="F25" s="84"/>
      <c r="G25" s="84"/>
      <c r="H25" s="84"/>
    </row>
    <row r="27" spans="1:10" ht="13" x14ac:dyDescent="0.3">
      <c r="A27" s="20" t="s">
        <v>52</v>
      </c>
      <c r="B27" s="20" t="s">
        <v>33</v>
      </c>
      <c r="C27" s="20" t="s">
        <v>44</v>
      </c>
      <c r="D27" s="21" t="s">
        <v>26</v>
      </c>
      <c r="E27" s="21" t="s">
        <v>27</v>
      </c>
      <c r="F27" s="21" t="s">
        <v>28</v>
      </c>
      <c r="G27" s="21" t="s">
        <v>29</v>
      </c>
      <c r="H27" s="21" t="s">
        <v>34</v>
      </c>
      <c r="I27" s="21" t="s">
        <v>268</v>
      </c>
      <c r="J27" s="21" t="s">
        <v>275</v>
      </c>
    </row>
    <row r="28" spans="1:10" x14ac:dyDescent="0.25">
      <c r="A28" s="2" t="s">
        <v>188</v>
      </c>
      <c r="B28" s="2" t="s">
        <v>46</v>
      </c>
      <c r="C28" s="2" t="s">
        <v>60</v>
      </c>
      <c r="D28" s="84">
        <f>'RAB - NB'!D156</f>
        <v>1562.9620536375267</v>
      </c>
      <c r="E28" s="85">
        <f t="shared" ref="E28" si="11">D31</f>
        <v>2270.9272697195343</v>
      </c>
      <c r="F28" s="85">
        <f t="shared" ref="F28" si="12">E31</f>
        <v>4344.3021127474658</v>
      </c>
      <c r="G28" s="85">
        <f t="shared" ref="G28" si="13">F31</f>
        <v>5326.8110001809</v>
      </c>
      <c r="H28" s="85">
        <f t="shared" ref="H28" si="14">G31</f>
        <v>6096.3765032670217</v>
      </c>
      <c r="I28" s="85">
        <f t="shared" ref="I28:J28" si="15">H31</f>
        <v>5558.4245068308974</v>
      </c>
      <c r="J28" s="85">
        <f t="shared" si="15"/>
        <v>3891.8177897369692</v>
      </c>
    </row>
    <row r="29" spans="1:10" x14ac:dyDescent="0.25">
      <c r="A29" s="2" t="s">
        <v>189</v>
      </c>
      <c r="B29" s="2" t="s">
        <v>46</v>
      </c>
      <c r="C29" s="2" t="s">
        <v>60</v>
      </c>
      <c r="D29" s="84">
        <f>'RAB - NB'!D157</f>
        <v>1607.7065233509113</v>
      </c>
      <c r="E29" s="84">
        <f>'RAB - NB'!E157</f>
        <v>3223.0138152498284</v>
      </c>
      <c r="F29" s="84">
        <f>'RAB - NB'!F157</f>
        <v>2519.5735303009892</v>
      </c>
      <c r="G29" s="84">
        <f>'RAB - NB'!G157</f>
        <v>2626.9686782433678</v>
      </c>
      <c r="H29" s="84">
        <f>'RAB - NB'!H157</f>
        <v>1480.0943</v>
      </c>
      <c r="I29" s="84">
        <f>'RAB - NB'!I157</f>
        <v>515.66000000000008</v>
      </c>
      <c r="J29" s="84">
        <f>'RAB - NB'!J157</f>
        <v>515.66000000000008</v>
      </c>
    </row>
    <row r="30" spans="1:10" x14ac:dyDescent="0.25">
      <c r="A30" s="2" t="s">
        <v>222</v>
      </c>
      <c r="B30" s="2" t="s">
        <v>46</v>
      </c>
      <c r="C30" s="2" t="s">
        <v>60</v>
      </c>
      <c r="D30" s="84">
        <f>'RAB - NB'!D158+'RAB - NB'!D159</f>
        <v>899.7413072689036</v>
      </c>
      <c r="E30" s="84">
        <f>'RAB - NB'!E158+'RAB - NB'!E159</f>
        <v>1149.6389722218978</v>
      </c>
      <c r="F30" s="84">
        <f>'RAB - NB'!F158+'RAB - NB'!F159</f>
        <v>1537.064642867555</v>
      </c>
      <c r="G30" s="84">
        <f>'RAB - NB'!G158+'RAB - NB'!G159</f>
        <v>1857.4031751572452</v>
      </c>
      <c r="H30" s="84">
        <f>'RAB - NB'!H158+'RAB - NB'!H159</f>
        <v>2018.0462964361245</v>
      </c>
      <c r="I30" s="84">
        <f>'RAB - NB'!I158+'RAB - NB'!I159</f>
        <v>2182.266717093928</v>
      </c>
      <c r="J30" s="84">
        <f>'RAB - NB'!J158+'RAB - NB'!J159</f>
        <v>1802.3266832338543</v>
      </c>
    </row>
    <row r="31" spans="1:10" x14ac:dyDescent="0.25">
      <c r="A31" s="2" t="s">
        <v>190</v>
      </c>
      <c r="B31" s="2" t="s">
        <v>46</v>
      </c>
      <c r="C31" s="2" t="s">
        <v>60</v>
      </c>
      <c r="D31" s="84">
        <f t="shared" ref="D31:J31" si="16">D28+D29-D30</f>
        <v>2270.9272697195343</v>
      </c>
      <c r="E31" s="84">
        <f t="shared" si="16"/>
        <v>4344.3021127474658</v>
      </c>
      <c r="F31" s="84">
        <f t="shared" si="16"/>
        <v>5326.8110001809</v>
      </c>
      <c r="G31" s="84">
        <f t="shared" si="16"/>
        <v>6096.3765032670217</v>
      </c>
      <c r="H31" s="84">
        <f t="shared" si="16"/>
        <v>5558.4245068308974</v>
      </c>
      <c r="I31" s="84">
        <f t="shared" si="16"/>
        <v>3891.8177897369692</v>
      </c>
      <c r="J31" s="84">
        <f t="shared" si="16"/>
        <v>2605.1511065031154</v>
      </c>
    </row>
    <row r="32" spans="1:10" x14ac:dyDescent="0.25">
      <c r="A32" s="1" t="s">
        <v>75</v>
      </c>
      <c r="B32" s="1" t="s">
        <v>46</v>
      </c>
      <c r="C32" s="2" t="s">
        <v>60</v>
      </c>
      <c r="D32" s="84">
        <f t="shared" ref="D32:J32" si="17">(D28+D31)/2</f>
        <v>1916.9446616785303</v>
      </c>
      <c r="E32" s="84">
        <f t="shared" si="17"/>
        <v>3307.6146912334998</v>
      </c>
      <c r="F32" s="84">
        <f t="shared" si="17"/>
        <v>4835.5565564641829</v>
      </c>
      <c r="G32" s="84">
        <f t="shared" si="17"/>
        <v>5711.5937517239608</v>
      </c>
      <c r="H32" s="84">
        <f t="shared" si="17"/>
        <v>5827.4005050489595</v>
      </c>
      <c r="I32" s="84">
        <f t="shared" si="17"/>
        <v>4725.1211482839335</v>
      </c>
      <c r="J32" s="84">
        <f t="shared" si="17"/>
        <v>3248.4844481200425</v>
      </c>
    </row>
    <row r="33" spans="1:13" x14ac:dyDescent="0.25">
      <c r="A33" s="1"/>
      <c r="B33" s="1"/>
      <c r="C33" s="1"/>
      <c r="D33" s="43"/>
      <c r="E33" s="43"/>
      <c r="F33" s="43"/>
      <c r="G33" s="43"/>
      <c r="H33" s="43"/>
    </row>
    <row r="34" spans="1:13" ht="13" x14ac:dyDescent="0.3">
      <c r="A34" s="20" t="s">
        <v>71</v>
      </c>
      <c r="B34" s="20" t="s">
        <v>33</v>
      </c>
      <c r="C34" s="20" t="s">
        <v>44</v>
      </c>
      <c r="D34" s="21" t="s">
        <v>26</v>
      </c>
      <c r="E34" s="21" t="s">
        <v>27</v>
      </c>
      <c r="F34" s="21" t="s">
        <v>28</v>
      </c>
      <c r="G34" s="21" t="s">
        <v>29</v>
      </c>
      <c r="H34" s="21" t="s">
        <v>34</v>
      </c>
      <c r="I34" s="21" t="s">
        <v>268</v>
      </c>
      <c r="J34" s="21" t="s">
        <v>275</v>
      </c>
    </row>
    <row r="35" spans="1:13" x14ac:dyDescent="0.25">
      <c r="A35" s="2" t="s">
        <v>188</v>
      </c>
      <c r="B35" s="2" t="s">
        <v>46</v>
      </c>
      <c r="C35" s="2" t="s">
        <v>60</v>
      </c>
      <c r="D35" s="112">
        <f>'RAB - Build'!D121</f>
        <v>2220.2545028528962</v>
      </c>
      <c r="E35" s="29">
        <f t="shared" ref="E35" si="18">D38</f>
        <v>2188.6198577701416</v>
      </c>
      <c r="F35" s="29">
        <f t="shared" ref="F35" si="19">E38</f>
        <v>2084.8143908426891</v>
      </c>
      <c r="G35" s="29">
        <f t="shared" ref="G35" si="20">F38</f>
        <v>2059.7271136637391</v>
      </c>
      <c r="H35" s="29">
        <f t="shared" ref="H35" si="21">G38</f>
        <v>3056.2371512027903</v>
      </c>
      <c r="I35" s="29">
        <f t="shared" ref="I35:J35" si="22">H38</f>
        <v>2877.7060021395164</v>
      </c>
      <c r="J35" s="29">
        <f t="shared" si="22"/>
        <v>2692.0084107018865</v>
      </c>
    </row>
    <row r="36" spans="1:13" x14ac:dyDescent="0.25">
      <c r="A36" s="2" t="s">
        <v>189</v>
      </c>
      <c r="B36" s="2" t="s">
        <v>46</v>
      </c>
      <c r="C36" s="2" t="s">
        <v>60</v>
      </c>
      <c r="D36" s="112">
        <f>'RAB - Build'!D122</f>
        <v>102.29367243713168</v>
      </c>
      <c r="E36" s="112">
        <f>'RAB - Build'!E122</f>
        <v>32.825228613445368</v>
      </c>
      <c r="F36" s="112">
        <f>'RAB - Build'!F122</f>
        <v>114.48971727981294</v>
      </c>
      <c r="G36" s="112">
        <f>'RAB - Build'!G122</f>
        <v>1161.609006472868</v>
      </c>
      <c r="H36" s="112">
        <f>'RAB - Build'!H122</f>
        <v>10</v>
      </c>
      <c r="I36" s="112">
        <f>'RAB - Build'!I122</f>
        <v>10</v>
      </c>
      <c r="J36" s="112">
        <f>'RAB - Build'!J122</f>
        <v>10</v>
      </c>
    </row>
    <row r="37" spans="1:13" x14ac:dyDescent="0.25">
      <c r="A37" s="2" t="s">
        <v>222</v>
      </c>
      <c r="B37" s="2" t="s">
        <v>46</v>
      </c>
      <c r="C37" s="2" t="s">
        <v>60</v>
      </c>
      <c r="D37" s="43">
        <f>'RAB - Build'!D123+'RAB - Build'!D124</f>
        <v>133.92831751988612</v>
      </c>
      <c r="E37" s="43">
        <f>'RAB - Build'!E123+'RAB - Build'!E124</f>
        <v>136.63069554089765</v>
      </c>
      <c r="F37" s="43">
        <f>'RAB - Build'!F123+'RAB - Build'!F124</f>
        <v>139.57699445876281</v>
      </c>
      <c r="G37" s="43">
        <f>'RAB - Build'!G123+'RAB - Build'!G124</f>
        <v>165.09896893381645</v>
      </c>
      <c r="H37" s="43">
        <f>'RAB - Build'!H123+'RAB - Build'!H124</f>
        <v>188.5311490632738</v>
      </c>
      <c r="I37" s="43">
        <f>'RAB - Build'!I123+'RAB - Build'!I124</f>
        <v>195.69759143762997</v>
      </c>
      <c r="J37" s="43">
        <f>'RAB - Build'!J123+'RAB - Build'!J124</f>
        <v>196.09759143762997</v>
      </c>
    </row>
    <row r="38" spans="1:13" x14ac:dyDescent="0.25">
      <c r="A38" s="2" t="s">
        <v>190</v>
      </c>
      <c r="B38" s="2" t="s">
        <v>46</v>
      </c>
      <c r="C38" s="2" t="s">
        <v>60</v>
      </c>
      <c r="D38" s="112">
        <f t="shared" ref="D38:I38" si="23">D35+D36-D37</f>
        <v>2188.6198577701416</v>
      </c>
      <c r="E38" s="112">
        <f t="shared" si="23"/>
        <v>2084.8143908426891</v>
      </c>
      <c r="F38" s="112">
        <f t="shared" si="23"/>
        <v>2059.7271136637391</v>
      </c>
      <c r="G38" s="112">
        <f t="shared" si="23"/>
        <v>3056.2371512027903</v>
      </c>
      <c r="H38" s="112">
        <f t="shared" si="23"/>
        <v>2877.7060021395164</v>
      </c>
      <c r="I38" s="112">
        <f t="shared" si="23"/>
        <v>2692.0084107018865</v>
      </c>
      <c r="J38" s="112">
        <f t="shared" ref="J38" si="24">J35+J36-J37</f>
        <v>2505.9108192642566</v>
      </c>
    </row>
    <row r="39" spans="1:13" x14ac:dyDescent="0.25">
      <c r="A39" s="1" t="s">
        <v>75</v>
      </c>
      <c r="B39" s="1" t="s">
        <v>46</v>
      </c>
      <c r="C39" s="2" t="s">
        <v>60</v>
      </c>
      <c r="D39" s="112">
        <f t="shared" ref="D39:I39" si="25">(D38+D35)/2</f>
        <v>2204.4371803115191</v>
      </c>
      <c r="E39" s="112">
        <f t="shared" si="25"/>
        <v>2136.7171243064154</v>
      </c>
      <c r="F39" s="112">
        <f t="shared" si="25"/>
        <v>2072.2707522532141</v>
      </c>
      <c r="G39" s="112">
        <f t="shared" si="25"/>
        <v>2557.9821324332647</v>
      </c>
      <c r="H39" s="112">
        <f t="shared" si="25"/>
        <v>2966.9715766711533</v>
      </c>
      <c r="I39" s="112">
        <f t="shared" si="25"/>
        <v>2784.8572064207015</v>
      </c>
      <c r="J39" s="112">
        <f t="shared" ref="J39" si="26">(J38+J35)/2</f>
        <v>2598.9596149830713</v>
      </c>
    </row>
    <row r="40" spans="1:13" x14ac:dyDescent="0.25">
      <c r="A40" s="1"/>
      <c r="B40" s="1"/>
      <c r="C40" s="1"/>
      <c r="D40" s="43"/>
      <c r="E40" s="43"/>
      <c r="F40" s="43"/>
      <c r="G40" s="43"/>
      <c r="H40" s="43"/>
    </row>
    <row r="41" spans="1:13" ht="13" x14ac:dyDescent="0.3">
      <c r="A41" s="20" t="s">
        <v>224</v>
      </c>
      <c r="B41" s="20" t="s">
        <v>33</v>
      </c>
      <c r="C41" s="20" t="s">
        <v>44</v>
      </c>
      <c r="D41" s="21" t="s">
        <v>26</v>
      </c>
      <c r="E41" s="21" t="s">
        <v>27</v>
      </c>
      <c r="F41" s="21" t="s">
        <v>28</v>
      </c>
      <c r="G41" s="21" t="s">
        <v>29</v>
      </c>
      <c r="H41" s="21" t="s">
        <v>34</v>
      </c>
      <c r="I41" s="21" t="s">
        <v>268</v>
      </c>
      <c r="J41" s="21" t="s">
        <v>275</v>
      </c>
    </row>
    <row r="42" spans="1:13" x14ac:dyDescent="0.25">
      <c r="A42" s="2" t="s">
        <v>188</v>
      </c>
      <c r="B42" s="1" t="s">
        <v>46</v>
      </c>
      <c r="C42" s="2" t="s">
        <v>60</v>
      </c>
      <c r="D42" s="29">
        <f t="shared" ref="D42:I42" si="27">D28+D35</f>
        <v>3783.2165564904226</v>
      </c>
      <c r="E42" s="29">
        <f t="shared" si="27"/>
        <v>4459.5471274896754</v>
      </c>
      <c r="F42" s="29">
        <f t="shared" si="27"/>
        <v>6429.1165035901549</v>
      </c>
      <c r="G42" s="29">
        <f t="shared" si="27"/>
        <v>7386.5381138446392</v>
      </c>
      <c r="H42" s="29">
        <f t="shared" si="27"/>
        <v>9152.6136544698129</v>
      </c>
      <c r="I42" s="29">
        <f t="shared" si="27"/>
        <v>8436.1305089704147</v>
      </c>
      <c r="J42" s="29">
        <f t="shared" ref="J42" si="28">J28+J35</f>
        <v>6583.8262004388562</v>
      </c>
    </row>
    <row r="43" spans="1:13" x14ac:dyDescent="0.25">
      <c r="A43" s="2" t="s">
        <v>189</v>
      </c>
      <c r="B43" s="1" t="s">
        <v>46</v>
      </c>
      <c r="C43" s="2" t="s">
        <v>60</v>
      </c>
      <c r="D43" s="29">
        <f t="shared" ref="D43:I46" si="29">D29+D36</f>
        <v>1710.0001957880429</v>
      </c>
      <c r="E43" s="29">
        <f t="shared" si="29"/>
        <v>3255.8390438632737</v>
      </c>
      <c r="F43" s="29">
        <f t="shared" si="29"/>
        <v>2634.063247580802</v>
      </c>
      <c r="G43" s="29">
        <f t="shared" si="29"/>
        <v>3788.577684716236</v>
      </c>
      <c r="H43" s="29">
        <f t="shared" si="29"/>
        <v>1490.0943</v>
      </c>
      <c r="I43" s="29">
        <f t="shared" si="29"/>
        <v>525.66000000000008</v>
      </c>
      <c r="J43" s="29">
        <f t="shared" ref="J43" si="30">J29+J36</f>
        <v>525.66000000000008</v>
      </c>
    </row>
    <row r="44" spans="1:13" x14ac:dyDescent="0.25">
      <c r="A44" s="2" t="s">
        <v>222</v>
      </c>
      <c r="B44" s="1" t="s">
        <v>46</v>
      </c>
      <c r="C44" s="2" t="s">
        <v>60</v>
      </c>
      <c r="D44" s="112">
        <f t="shared" si="29"/>
        <v>1033.6696247887896</v>
      </c>
      <c r="E44" s="112">
        <f t="shared" si="29"/>
        <v>1286.2696677627955</v>
      </c>
      <c r="F44" s="112">
        <f t="shared" si="29"/>
        <v>1676.6416373263178</v>
      </c>
      <c r="G44" s="112">
        <f t="shared" si="29"/>
        <v>2022.5021440910616</v>
      </c>
      <c r="H44" s="112">
        <f t="shared" si="29"/>
        <v>2206.5774454993984</v>
      </c>
      <c r="I44" s="112">
        <f t="shared" si="29"/>
        <v>2377.9643085315579</v>
      </c>
      <c r="J44" s="112">
        <f t="shared" ref="J44" si="31">J30+J37</f>
        <v>1998.4242746714842</v>
      </c>
    </row>
    <row r="45" spans="1:13" x14ac:dyDescent="0.25">
      <c r="A45" s="2" t="s">
        <v>190</v>
      </c>
      <c r="B45" s="1" t="s">
        <v>46</v>
      </c>
      <c r="C45" s="2" t="s">
        <v>60</v>
      </c>
      <c r="D45" s="112">
        <f t="shared" si="29"/>
        <v>4459.5471274896754</v>
      </c>
      <c r="E45" s="112">
        <f t="shared" si="29"/>
        <v>6429.1165035901549</v>
      </c>
      <c r="F45" s="112">
        <f t="shared" si="29"/>
        <v>7386.5381138446392</v>
      </c>
      <c r="G45" s="112">
        <f t="shared" si="29"/>
        <v>9152.6136544698129</v>
      </c>
      <c r="H45" s="112">
        <f t="shared" si="29"/>
        <v>8436.1305089704147</v>
      </c>
      <c r="I45" s="112">
        <f t="shared" si="29"/>
        <v>6583.8262004388562</v>
      </c>
      <c r="J45" s="112">
        <f t="shared" ref="J45" si="32">J31+J38</f>
        <v>5111.0619257673716</v>
      </c>
    </row>
    <row r="46" spans="1:13" x14ac:dyDescent="0.25">
      <c r="A46" s="1" t="s">
        <v>75</v>
      </c>
      <c r="B46" s="1" t="s">
        <v>46</v>
      </c>
      <c r="C46" s="2" t="s">
        <v>60</v>
      </c>
      <c r="D46" s="112">
        <f t="shared" si="29"/>
        <v>4121.381841990049</v>
      </c>
      <c r="E46" s="112">
        <f t="shared" si="29"/>
        <v>5444.3318155399156</v>
      </c>
      <c r="F46" s="112">
        <f t="shared" si="29"/>
        <v>6907.8273087173966</v>
      </c>
      <c r="G46" s="112">
        <f t="shared" si="29"/>
        <v>8269.575884157226</v>
      </c>
      <c r="H46" s="112">
        <f t="shared" si="29"/>
        <v>8794.3720817201138</v>
      </c>
      <c r="I46" s="112">
        <f t="shared" si="29"/>
        <v>7509.9783547046354</v>
      </c>
      <c r="J46" s="112">
        <f t="shared" ref="J46" si="33">J32+J39</f>
        <v>5847.4440631031139</v>
      </c>
    </row>
    <row r="47" spans="1:13" x14ac:dyDescent="0.25">
      <c r="A47" s="1"/>
      <c r="B47" s="1"/>
      <c r="D47" s="29"/>
      <c r="E47" s="29"/>
      <c r="F47" s="29"/>
      <c r="G47" s="29"/>
      <c r="H47" s="29"/>
      <c r="I47" s="29"/>
      <c r="J47" s="29"/>
      <c r="K47" s="29"/>
      <c r="L47" s="29"/>
      <c r="M47" s="29"/>
    </row>
    <row r="48" spans="1:13" x14ac:dyDescent="0.25">
      <c r="A48" s="1"/>
      <c r="B48" s="1"/>
      <c r="D48" s="29"/>
      <c r="E48" s="29"/>
      <c r="F48" s="29"/>
      <c r="G48" s="29"/>
      <c r="H48" s="29"/>
      <c r="I48" s="29"/>
      <c r="J48" s="29"/>
      <c r="K48" s="29"/>
      <c r="L48" s="29"/>
      <c r="M48" s="29"/>
    </row>
    <row r="50" spans="5:9" x14ac:dyDescent="0.25">
      <c r="E50" s="122"/>
      <c r="F50" s="122"/>
      <c r="G50" s="122"/>
      <c r="H50" s="122"/>
      <c r="I50" s="122"/>
    </row>
    <row r="51" spans="5:9" x14ac:dyDescent="0.25">
      <c r="E51" s="122"/>
      <c r="F51" s="122"/>
      <c r="G51" s="122"/>
      <c r="H51" s="122"/>
      <c r="I51" s="122"/>
    </row>
    <row r="69" spans="4:13" x14ac:dyDescent="0.25">
      <c r="D69" s="84"/>
      <c r="E69" s="84"/>
      <c r="F69" s="84"/>
      <c r="G69" s="84"/>
      <c r="H69" s="84"/>
      <c r="I69" s="84"/>
      <c r="J69" s="84"/>
      <c r="K69" s="84"/>
      <c r="L69" s="84"/>
      <c r="M69" s="84"/>
    </row>
    <row r="70" spans="4:13" x14ac:dyDescent="0.25">
      <c r="D70" s="84"/>
      <c r="E70" s="84"/>
      <c r="F70" s="84"/>
      <c r="G70" s="84"/>
      <c r="H70" s="84"/>
      <c r="I70" s="84"/>
      <c r="J70" s="84"/>
      <c r="K70" s="84"/>
      <c r="L70" s="84"/>
      <c r="M70" s="84"/>
    </row>
    <row r="71" spans="4:13" x14ac:dyDescent="0.25">
      <c r="D71" s="84"/>
      <c r="E71" s="84"/>
      <c r="F71" s="84"/>
      <c r="G71" s="84"/>
      <c r="H71" s="84"/>
      <c r="I71" s="84"/>
      <c r="J71" s="84"/>
      <c r="K71" s="84"/>
      <c r="L71" s="84"/>
      <c r="M71" s="84"/>
    </row>
    <row r="72" spans="4:13" x14ac:dyDescent="0.25">
      <c r="D72" s="84"/>
      <c r="E72" s="84"/>
      <c r="F72" s="84"/>
      <c r="G72" s="84"/>
      <c r="H72" s="84"/>
      <c r="I72" s="84"/>
      <c r="J72" s="84"/>
      <c r="K72" s="84"/>
      <c r="L72" s="84"/>
      <c r="M72" s="84"/>
    </row>
    <row r="73" spans="4:13" x14ac:dyDescent="0.25">
      <c r="D73" s="84"/>
      <c r="E73" s="84"/>
      <c r="F73" s="84"/>
      <c r="G73" s="84"/>
      <c r="H73" s="84"/>
      <c r="I73" s="84"/>
      <c r="J73" s="84"/>
      <c r="K73" s="84"/>
      <c r="L73" s="84"/>
      <c r="M73" s="84"/>
    </row>
    <row r="74" spans="4:13" x14ac:dyDescent="0.25">
      <c r="D74" s="84"/>
      <c r="E74" s="84"/>
      <c r="F74" s="84"/>
      <c r="G74" s="84"/>
      <c r="H74" s="84"/>
      <c r="I74" s="84"/>
      <c r="J74" s="84"/>
      <c r="K74" s="84"/>
      <c r="L74" s="84"/>
      <c r="M74" s="84"/>
    </row>
    <row r="75" spans="4:13" x14ac:dyDescent="0.25">
      <c r="D75" s="84"/>
      <c r="E75" s="84"/>
      <c r="F75" s="84"/>
      <c r="G75" s="84"/>
      <c r="H75" s="84"/>
      <c r="I75" s="84"/>
      <c r="J75" s="84"/>
      <c r="K75" s="84"/>
      <c r="L75" s="84"/>
      <c r="M75" s="84"/>
    </row>
    <row r="76" spans="4:13" x14ac:dyDescent="0.25">
      <c r="D76" s="84"/>
      <c r="E76" s="84"/>
      <c r="F76" s="84"/>
      <c r="G76" s="84"/>
      <c r="H76" s="84"/>
      <c r="I76" s="84"/>
      <c r="J76" s="84"/>
      <c r="K76" s="84"/>
      <c r="L76" s="84"/>
      <c r="M76" s="84"/>
    </row>
    <row r="77" spans="4:13" x14ac:dyDescent="0.25">
      <c r="D77" s="84"/>
      <c r="E77" s="84"/>
      <c r="F77" s="84"/>
      <c r="G77" s="84"/>
      <c r="H77" s="84"/>
      <c r="I77" s="84"/>
      <c r="J77" s="84"/>
      <c r="K77" s="84"/>
      <c r="L77" s="84"/>
      <c r="M77" s="84"/>
    </row>
    <row r="78" spans="4:13" x14ac:dyDescent="0.25">
      <c r="D78" s="84"/>
      <c r="E78" s="84"/>
      <c r="F78" s="84"/>
      <c r="G78" s="84"/>
      <c r="H78" s="84"/>
      <c r="I78" s="84"/>
      <c r="J78" s="84"/>
      <c r="K78" s="84"/>
      <c r="L78" s="84"/>
      <c r="M78" s="84"/>
    </row>
    <row r="79" spans="4:13" x14ac:dyDescent="0.25">
      <c r="D79" s="84"/>
      <c r="E79" s="84"/>
      <c r="F79" s="84"/>
      <c r="G79" s="84"/>
      <c r="H79" s="84"/>
      <c r="I79" s="84"/>
      <c r="J79" s="84"/>
      <c r="K79" s="84"/>
      <c r="L79" s="84"/>
      <c r="M79" s="84"/>
    </row>
    <row r="80" spans="4:13" x14ac:dyDescent="0.25">
      <c r="D80" s="84"/>
      <c r="E80" s="84"/>
      <c r="F80" s="84"/>
      <c r="G80" s="84"/>
      <c r="H80" s="84"/>
      <c r="I80" s="84"/>
      <c r="J80" s="84"/>
      <c r="K80" s="84"/>
      <c r="L80" s="84"/>
      <c r="M80" s="84"/>
    </row>
    <row r="81" spans="4:13" x14ac:dyDescent="0.25">
      <c r="D81" s="84"/>
      <c r="E81" s="84"/>
      <c r="F81" s="84"/>
      <c r="G81" s="84"/>
      <c r="H81" s="84"/>
      <c r="I81" s="84"/>
      <c r="J81" s="84"/>
      <c r="K81" s="84"/>
      <c r="L81" s="84"/>
      <c r="M81" s="84"/>
    </row>
    <row r="82" spans="4:13" x14ac:dyDescent="0.25">
      <c r="D82" s="84"/>
      <c r="E82" s="84"/>
      <c r="F82" s="84"/>
      <c r="G82" s="84"/>
      <c r="H82" s="84"/>
      <c r="I82" s="84"/>
      <c r="J82" s="84"/>
      <c r="K82" s="84"/>
      <c r="L82" s="84"/>
      <c r="M82" s="84"/>
    </row>
    <row r="83" spans="4:13" x14ac:dyDescent="0.25">
      <c r="D83" s="84"/>
      <c r="E83" s="84"/>
      <c r="F83" s="84"/>
      <c r="G83" s="84"/>
      <c r="H83" s="84"/>
      <c r="I83" s="84"/>
      <c r="J83" s="84"/>
      <c r="K83" s="84"/>
      <c r="L83" s="84"/>
      <c r="M83" s="84"/>
    </row>
    <row r="84" spans="4:13" x14ac:dyDescent="0.25">
      <c r="D84" s="84"/>
      <c r="E84" s="84"/>
      <c r="F84" s="84"/>
      <c r="G84" s="84"/>
      <c r="H84" s="84"/>
      <c r="I84" s="84"/>
      <c r="J84" s="84"/>
      <c r="K84" s="84"/>
      <c r="L84" s="84"/>
      <c r="M84" s="84"/>
    </row>
    <row r="85" spans="4:13" x14ac:dyDescent="0.25">
      <c r="D85" s="84"/>
      <c r="E85" s="84"/>
      <c r="F85" s="84"/>
      <c r="G85" s="84"/>
      <c r="H85" s="84"/>
      <c r="I85" s="84"/>
      <c r="J85" s="84"/>
      <c r="K85" s="84"/>
      <c r="L85" s="84"/>
      <c r="M85" s="84"/>
    </row>
  </sheetData>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U22"/>
  <sheetViews>
    <sheetView showGridLines="0" zoomScale="85" zoomScaleNormal="85" workbookViewId="0"/>
  </sheetViews>
  <sheetFormatPr defaultColWidth="8.6328125" defaultRowHeight="12.5" x14ac:dyDescent="0.25"/>
  <cols>
    <col min="1" max="1" width="44.36328125" style="2" customWidth="1"/>
    <col min="2" max="2" width="15" style="2" customWidth="1"/>
    <col min="3" max="3" width="14" style="2" customWidth="1"/>
    <col min="4" max="18" width="11.6328125" style="2" customWidth="1"/>
    <col min="19" max="23" width="9.6328125" style="2" customWidth="1"/>
    <col min="24" max="16384" width="8.6328125" style="2"/>
  </cols>
  <sheetData>
    <row r="1" spans="1:21" ht="13" x14ac:dyDescent="0.3">
      <c r="A1" s="7" t="s">
        <v>125</v>
      </c>
      <c r="B1" s="7"/>
    </row>
    <row r="3" spans="1:21" ht="13" x14ac:dyDescent="0.3">
      <c r="A3" s="20" t="s">
        <v>52</v>
      </c>
      <c r="B3" s="20" t="s">
        <v>33</v>
      </c>
      <c r="C3" s="20" t="s">
        <v>44</v>
      </c>
      <c r="D3" s="28" t="s">
        <v>15</v>
      </c>
      <c r="E3" s="28" t="s">
        <v>16</v>
      </c>
      <c r="F3" s="28" t="s">
        <v>17</v>
      </c>
      <c r="G3" s="28" t="s">
        <v>18</v>
      </c>
      <c r="H3" s="28" t="s">
        <v>19</v>
      </c>
      <c r="I3" s="28" t="s">
        <v>20</v>
      </c>
      <c r="J3" s="28" t="s">
        <v>21</v>
      </c>
      <c r="K3" s="28" t="s">
        <v>22</v>
      </c>
      <c r="L3" s="28" t="s">
        <v>23</v>
      </c>
      <c r="M3" s="28" t="s">
        <v>24</v>
      </c>
      <c r="N3" s="28" t="s">
        <v>26</v>
      </c>
      <c r="O3" s="28" t="s">
        <v>27</v>
      </c>
      <c r="P3" s="28" t="s">
        <v>28</v>
      </c>
      <c r="Q3" s="28" t="s">
        <v>29</v>
      </c>
      <c r="R3" s="28" t="s">
        <v>34</v>
      </c>
      <c r="S3" s="21" t="s">
        <v>268</v>
      </c>
      <c r="T3" s="21" t="s">
        <v>275</v>
      </c>
    </row>
    <row r="4" spans="1:21" x14ac:dyDescent="0.25">
      <c r="A4" s="1" t="s">
        <v>72</v>
      </c>
      <c r="B4" s="1" t="s">
        <v>46</v>
      </c>
      <c r="C4" s="2" t="s">
        <v>85</v>
      </c>
      <c r="D4" s="85">
        <f>'RAB - NB'!I132*Inflation!D8</f>
        <v>18916.576112074305</v>
      </c>
      <c r="E4" s="85">
        <f>'RAB - NB'!J132*Inflation!E8</f>
        <v>17191.074126635736</v>
      </c>
      <c r="F4" s="85">
        <f>'RAB - NB'!K132*Inflation!F8</f>
        <v>15438.145893995457</v>
      </c>
      <c r="G4" s="85">
        <f>'RAB - NB'!L132*Inflation!G8</f>
        <v>12329.246935164629</v>
      </c>
      <c r="H4" s="85">
        <f>'RAB - NB'!M132*Inflation!H8</f>
        <v>10118.337764552385</v>
      </c>
      <c r="I4" s="85">
        <f>'RAB - NB'!N132*Inflation!I8</f>
        <v>6574.2342859411483</v>
      </c>
      <c r="J4" s="85">
        <f>'RAB - NB'!O132*Inflation!J8</f>
        <v>4285.3723691228261</v>
      </c>
      <c r="K4" s="85">
        <f>'RAB - NB'!P132*Inflation!K8</f>
        <v>3515.7641819930764</v>
      </c>
      <c r="L4" s="85">
        <f>'RAB - NB'!Q132*Inflation!L8</f>
        <v>2877.9037337286027</v>
      </c>
      <c r="M4" s="85">
        <f>'RAB - NB'!R132*Inflation!M8</f>
        <v>2216.5248736536564</v>
      </c>
      <c r="N4" s="85">
        <f>M7*('RAB - NB'!K5/'RAB - NB'!J5)</f>
        <v>1603.6339286392467</v>
      </c>
      <c r="O4" s="85">
        <f>N7*('RAB - NB'!L5/'RAB - NB'!K5)</f>
        <v>2511.527370786474</v>
      </c>
      <c r="P4" s="85">
        <f>O7*('RAB - NB'!M5/'RAB - NB'!L5)</f>
        <v>5180.055400236989</v>
      </c>
      <c r="Q4" s="85">
        <f>P7*('RAB - NB'!N5/'RAB - NB'!M5)</f>
        <v>6544.6506898133375</v>
      </c>
      <c r="R4" s="85">
        <f>Q7*('RAB - NB'!O5/'RAB - NB'!N5)</f>
        <v>7610.0002724127417</v>
      </c>
      <c r="S4" s="85">
        <f>R7*('RAB - NB'!P5/'RAB - NB'!O5)</f>
        <v>7166.0376165745529</v>
      </c>
      <c r="T4" s="85">
        <f>S7*('RAB - NB'!Q5/'RAB - NB'!P5)</f>
        <v>5123.9657678049034</v>
      </c>
    </row>
    <row r="5" spans="1:21" x14ac:dyDescent="0.25">
      <c r="A5" s="1" t="s">
        <v>97</v>
      </c>
      <c r="B5" s="1" t="s">
        <v>46</v>
      </c>
      <c r="C5" s="2" t="s">
        <v>85</v>
      </c>
      <c r="D5" s="85">
        <f>SUM('RAB - NB'!I133,'RAB - NB'!I134)*Inflation!D8</f>
        <v>928.97307001795321</v>
      </c>
      <c r="E5" s="85">
        <f>SUM('RAB - NB'!J133,'RAB - NB'!J134)*Inflation!E8</f>
        <v>1295.2199281867145</v>
      </c>
      <c r="F5" s="85">
        <f>SUM('RAB - NB'!K133,'RAB - NB'!K134)*Inflation!F8</f>
        <v>274.36041292639135</v>
      </c>
      <c r="G5" s="85">
        <f>SUM('RAB - NB'!L133,'RAB - NB'!L134)*Inflation!G8</f>
        <v>1589.5175044883301</v>
      </c>
      <c r="H5" s="85">
        <f>SUM('RAB - NB'!M133,'RAB - NB'!M134)*Inflation!H8</f>
        <v>422.66606822262116</v>
      </c>
      <c r="I5" s="85">
        <f>SUM('RAB - NB'!N133,'RAB - NB'!N134)*Inflation!I8</f>
        <v>1111.2671736292527</v>
      </c>
      <c r="J5" s="85">
        <f>SUM('RAB - NB'!O133,'RAB - NB'!O134)*Inflation!J8</f>
        <v>1026.0873990711771</v>
      </c>
      <c r="K5" s="85">
        <f>SUM('RAB - NB'!P133,'RAB - NB'!P134)*Inflation!K8</f>
        <v>741.96511095228823</v>
      </c>
      <c r="L5" s="85">
        <f>SUM('RAB - NB'!Q133,'RAB - NB'!Q134)*Inflation!L8</f>
        <v>1167.2107846206493</v>
      </c>
      <c r="M5" s="85">
        <f>SUM('RAB - NB'!R133,'RAB - NB'!R134)*Inflation!M8</f>
        <v>1338.8410410246383</v>
      </c>
      <c r="N5" s="84">
        <f>'RAB - NB'!D168</f>
        <v>1649.5427525830914</v>
      </c>
      <c r="O5" s="84">
        <f>'RAB - NB'!E168</f>
        <v>3564.4855391703495</v>
      </c>
      <c r="P5" s="84">
        <f>'RAB - NB'!F168</f>
        <v>3004.287025442537</v>
      </c>
      <c r="Q5" s="84">
        <f>'RAB - NB'!G168</f>
        <v>3227.5581715964049</v>
      </c>
      <c r="R5" s="84">
        <f>'RAB - NB'!H168</f>
        <v>1847.5758543063198</v>
      </c>
      <c r="S5" s="84">
        <f>'RAB - NB'!I168</f>
        <v>664.79970229363653</v>
      </c>
      <c r="T5" s="84">
        <f>'RAB - NB'!J168</f>
        <v>678.91775272573932</v>
      </c>
    </row>
    <row r="6" spans="1:21" x14ac:dyDescent="0.25">
      <c r="A6" s="1" t="s">
        <v>240</v>
      </c>
      <c r="B6" s="1" t="s">
        <v>46</v>
      </c>
      <c r="C6" s="2" t="s">
        <v>85</v>
      </c>
      <c r="D6" s="85">
        <f>'RAB - NB'!I135*Inflation!D8</f>
        <v>3228.6923767998187</v>
      </c>
      <c r="E6" s="85">
        <f>'RAB - NB'!J135*Inflation!E8</f>
        <v>3481.2825145663446</v>
      </c>
      <c r="F6" s="85">
        <f>'RAB - NB'!K135*Inflation!F8</f>
        <v>3682.2086521562064</v>
      </c>
      <c r="G6" s="85">
        <f>'RAB - NB'!L135*Inflation!G8</f>
        <v>3890.6289109861195</v>
      </c>
      <c r="H6" s="85">
        <f>'RAB - NB'!M135*Inflation!H8</f>
        <v>4052.2798627183256</v>
      </c>
      <c r="I6" s="85">
        <f>'RAB - NB'!N135*Inflation!I8</f>
        <v>3545.8254163748843</v>
      </c>
      <c r="J6" s="85">
        <f>'RAB - NB'!O135*Inflation!J8</f>
        <v>1910.0804773562256</v>
      </c>
      <c r="K6" s="85">
        <f>'RAB - NB'!P135*Inflation!K8</f>
        <v>1464.7047463669803</v>
      </c>
      <c r="L6" s="85">
        <f>'RAB - NB'!Q135*Inflation!L8</f>
        <v>1861.9208458031699</v>
      </c>
      <c r="M6" s="85">
        <f>'RAB - NB'!R135*Inflation!M8</f>
        <v>1977.8781913972966</v>
      </c>
      <c r="N6" s="84">
        <f>'RAB - NB'!D169</f>
        <v>923.1546498372395</v>
      </c>
      <c r="O6" s="84">
        <f>'RAB - NB'!E169</f>
        <v>1271.4408707658536</v>
      </c>
      <c r="P6" s="84">
        <f>'RAB - NB'!F169</f>
        <v>1832.7638817835254</v>
      </c>
      <c r="Q6" s="84">
        <f>'RAB - NB'!G169</f>
        <v>2282.0511129720057</v>
      </c>
      <c r="R6" s="84">
        <f>'RAB - NB'!H169</f>
        <v>2519.0919322962582</v>
      </c>
      <c r="S6" s="84">
        <f>'RAB - NB'!I169</f>
        <v>2813.4240853456827</v>
      </c>
      <c r="T6" s="84">
        <f>'RAB - NB'!J169</f>
        <v>2372.9426006647086</v>
      </c>
    </row>
    <row r="7" spans="1:21" x14ac:dyDescent="0.25">
      <c r="A7" s="1" t="s">
        <v>74</v>
      </c>
      <c r="B7" s="1" t="s">
        <v>46</v>
      </c>
      <c r="C7" s="2" t="s">
        <v>85</v>
      </c>
      <c r="D7" s="85">
        <f>D4+D5-D6</f>
        <v>16616.856805292438</v>
      </c>
      <c r="E7" s="85">
        <f t="shared" ref="E7:G7" si="0">E4+E5-E6</f>
        <v>15005.011540256106</v>
      </c>
      <c r="F7" s="85">
        <f t="shared" si="0"/>
        <v>12030.297654765642</v>
      </c>
      <c r="G7" s="85">
        <f t="shared" si="0"/>
        <v>10028.13552866684</v>
      </c>
      <c r="H7" s="85">
        <f t="shared" ref="H7" si="1">H4+H5-H6</f>
        <v>6488.7239700566806</v>
      </c>
      <c r="I7" s="85">
        <f t="shared" ref="I7:J7" si="2">I4+I5-I6</f>
        <v>4139.6760431955172</v>
      </c>
      <c r="J7" s="85">
        <f t="shared" si="2"/>
        <v>3401.3792908377773</v>
      </c>
      <c r="K7" s="85">
        <f t="shared" ref="K7" si="3">K4+K5-K6</f>
        <v>2793.0245465783837</v>
      </c>
      <c r="L7" s="85">
        <f t="shared" ref="L7" si="4">L4+L5-L6</f>
        <v>2183.1936725460819</v>
      </c>
      <c r="M7" s="85">
        <f>M4+M5-M6</f>
        <v>1577.4877232809981</v>
      </c>
      <c r="N7" s="84">
        <f t="shared" ref="N7:T7" si="5">N4+N5-N6</f>
        <v>2330.0220313850987</v>
      </c>
      <c r="O7" s="84">
        <f t="shared" si="5"/>
        <v>4804.5720391909708</v>
      </c>
      <c r="P7" s="84">
        <f t="shared" si="5"/>
        <v>6351.5785438960011</v>
      </c>
      <c r="Q7" s="84">
        <f t="shared" si="5"/>
        <v>7490.1577484377376</v>
      </c>
      <c r="R7" s="84">
        <f t="shared" si="5"/>
        <v>6938.4841944228028</v>
      </c>
      <c r="S7" s="84">
        <f t="shared" si="5"/>
        <v>5017.4132335225058</v>
      </c>
      <c r="T7" s="84">
        <f t="shared" si="5"/>
        <v>3429.9409198659337</v>
      </c>
    </row>
    <row r="8" spans="1:21" x14ac:dyDescent="0.25">
      <c r="A8" s="1" t="s">
        <v>75</v>
      </c>
      <c r="B8" s="1" t="s">
        <v>46</v>
      </c>
      <c r="C8" s="2" t="s">
        <v>85</v>
      </c>
      <c r="D8" s="85">
        <f>AVERAGE(D4,D7)</f>
        <v>17766.716458683371</v>
      </c>
      <c r="E8" s="85">
        <f t="shared" ref="E8:G8" si="6">AVERAGE(E4,E7)</f>
        <v>16098.042833445921</v>
      </c>
      <c r="F8" s="85">
        <f t="shared" si="6"/>
        <v>13734.221774380549</v>
      </c>
      <c r="G8" s="85">
        <f t="shared" si="6"/>
        <v>11178.691231915735</v>
      </c>
      <c r="H8" s="85">
        <f t="shared" ref="H8" si="7">AVERAGE(H4,H7)</f>
        <v>8303.5308673045329</v>
      </c>
      <c r="I8" s="85">
        <f t="shared" ref="I8:J8" si="8">AVERAGE(I4,I7)</f>
        <v>5356.9551645683332</v>
      </c>
      <c r="J8" s="85">
        <f t="shared" si="8"/>
        <v>3843.3758299803017</v>
      </c>
      <c r="K8" s="85">
        <f t="shared" ref="K8" si="9">AVERAGE(K4,K7)</f>
        <v>3154.3943642857303</v>
      </c>
      <c r="L8" s="85">
        <f t="shared" ref="L8" si="10">AVERAGE(L4,L7)</f>
        <v>2530.5487031373423</v>
      </c>
      <c r="M8" s="85">
        <f t="shared" ref="M8" si="11">AVERAGE(M4,M7)</f>
        <v>1897.0062984673273</v>
      </c>
      <c r="N8" s="85">
        <f t="shared" ref="N8" si="12">AVERAGE(N4,N7)</f>
        <v>1966.8279800121727</v>
      </c>
      <c r="O8" s="85">
        <f t="shared" ref="O8" si="13">AVERAGE(O4,O7)</f>
        <v>3658.0497049887226</v>
      </c>
      <c r="P8" s="85">
        <f t="shared" ref="P8" si="14">AVERAGE(P4,P7)</f>
        <v>5765.8169720664955</v>
      </c>
      <c r="Q8" s="85">
        <f t="shared" ref="Q8" si="15">AVERAGE(Q4,Q7)</f>
        <v>7017.4042191255376</v>
      </c>
      <c r="R8" s="85">
        <f t="shared" ref="R8:T8" si="16">AVERAGE(R4,R7)</f>
        <v>7274.2422334177718</v>
      </c>
      <c r="S8" s="85">
        <f t="shared" si="16"/>
        <v>6091.7254250485294</v>
      </c>
      <c r="T8" s="85">
        <f t="shared" si="16"/>
        <v>4276.9533438354183</v>
      </c>
    </row>
    <row r="9" spans="1:21" x14ac:dyDescent="0.25">
      <c r="A9" s="1"/>
      <c r="B9" s="1"/>
      <c r="C9" s="1"/>
      <c r="D9" s="1"/>
      <c r="E9" s="1"/>
      <c r="F9" s="1"/>
      <c r="G9" s="1"/>
      <c r="H9" s="1"/>
      <c r="I9" s="3"/>
      <c r="J9" s="3"/>
      <c r="K9" s="3"/>
      <c r="L9" s="3"/>
      <c r="M9" s="3"/>
      <c r="N9" s="43"/>
      <c r="O9" s="43"/>
      <c r="P9" s="43"/>
      <c r="Q9" s="43"/>
      <c r="R9" s="43"/>
    </row>
    <row r="10" spans="1:21" ht="13" x14ac:dyDescent="0.3">
      <c r="A10" s="20" t="s">
        <v>71</v>
      </c>
      <c r="B10" s="20" t="s">
        <v>33</v>
      </c>
      <c r="C10" s="20" t="s">
        <v>44</v>
      </c>
      <c r="D10" s="28" t="s">
        <v>15</v>
      </c>
      <c r="E10" s="28" t="s">
        <v>16</v>
      </c>
      <c r="F10" s="28" t="s">
        <v>17</v>
      </c>
      <c r="G10" s="28" t="s">
        <v>18</v>
      </c>
      <c r="H10" s="28" t="s">
        <v>19</v>
      </c>
      <c r="I10" s="28" t="s">
        <v>20</v>
      </c>
      <c r="J10" s="28" t="s">
        <v>21</v>
      </c>
      <c r="K10" s="28" t="s">
        <v>22</v>
      </c>
      <c r="L10" s="28" t="s">
        <v>23</v>
      </c>
      <c r="M10" s="28" t="s">
        <v>24</v>
      </c>
      <c r="N10" s="28" t="s">
        <v>26</v>
      </c>
      <c r="O10" s="28" t="s">
        <v>27</v>
      </c>
      <c r="P10" s="28" t="s">
        <v>28</v>
      </c>
      <c r="Q10" s="28" t="s">
        <v>29</v>
      </c>
      <c r="R10" s="28" t="s">
        <v>34</v>
      </c>
      <c r="S10" s="21" t="s">
        <v>268</v>
      </c>
      <c r="T10" s="21" t="s">
        <v>275</v>
      </c>
    </row>
    <row r="11" spans="1:21" x14ac:dyDescent="0.25">
      <c r="A11" s="1" t="s">
        <v>72</v>
      </c>
      <c r="B11" s="1" t="s">
        <v>46</v>
      </c>
      <c r="C11" s="2" t="s">
        <v>85</v>
      </c>
      <c r="D11" s="85">
        <f>'RAB - Build'!I98*Inflation!D8</f>
        <v>0</v>
      </c>
      <c r="E11" s="85">
        <f>D14*(Inflation!E7/Inflation!D7)</f>
        <v>1351.4477109515258</v>
      </c>
      <c r="F11" s="85">
        <f>E14*(Inflation!F7/Inflation!E7)</f>
        <v>2724.1637342908434</v>
      </c>
      <c r="G11" s="85">
        <f>'RAB - Build'!L98*Inflation!G8</f>
        <v>2675.5309515260324</v>
      </c>
      <c r="H11" s="85">
        <f>'RAB - Build'!M98*Inflation!H8</f>
        <v>2582.2233393177739</v>
      </c>
      <c r="I11" s="85">
        <f>'RAB - Build'!N98*Inflation!I8</f>
        <v>2497.3320646319571</v>
      </c>
      <c r="J11" s="85">
        <f>'RAB - Build'!O98*Inflation!J8</f>
        <v>2523.6124017095121</v>
      </c>
      <c r="K11" s="85">
        <f>'RAB - Build'!P98*Inflation!K8</f>
        <v>2491.5274401932843</v>
      </c>
      <c r="L11" s="85">
        <f>'RAB - Build'!Q98*Inflation!L8</f>
        <v>2461.5878060557475</v>
      </c>
      <c r="M11" s="85">
        <f>'RAB - Build'!R98*Inflation!M8</f>
        <v>2391.0783279047901</v>
      </c>
      <c r="N11" s="29">
        <f>M14*('RAB - Build'!K5/'RAB - Build'!J5)</f>
        <v>2278.0306423323391</v>
      </c>
      <c r="O11" s="29">
        <f>N14*('RAB - Build'!L5/'RAB - Build'!K5)</f>
        <v>2420.4996568275724</v>
      </c>
      <c r="P11" s="29">
        <f>O14*('RAB - Build'!M5/'RAB - Build'!L5)</f>
        <v>2485.8892783003444</v>
      </c>
      <c r="Q11" s="29">
        <f>P14*('RAB - Build'!N5/'RAB - Build'!M5)</f>
        <v>2530.6312679028465</v>
      </c>
      <c r="R11" s="29">
        <f>Q14*('RAB - Build'!O5/'RAB - Build'!N5)</f>
        <v>3815.0474369073704</v>
      </c>
      <c r="S11" s="29">
        <f>R14*('RAB - Build'!P5/'RAB - Build'!O5)</f>
        <v>3709.999017784899</v>
      </c>
      <c r="T11" s="29">
        <f>S14*('RAB - Build'!Q5/'RAB - Build'!P5)</f>
        <v>3544.2972123347035</v>
      </c>
      <c r="U11" s="137"/>
    </row>
    <row r="12" spans="1:21" x14ac:dyDescent="0.25">
      <c r="A12" s="1" t="s">
        <v>97</v>
      </c>
      <c r="B12" s="1" t="s">
        <v>46</v>
      </c>
      <c r="C12" s="2" t="s">
        <v>85</v>
      </c>
      <c r="D12" s="85">
        <f>SUM('RAB - Build'!I99:I100)*Inflation!D8</f>
        <v>1332.9658886894074</v>
      </c>
      <c r="E12" s="85">
        <f>SUM('RAB - Build'!J99:J100)*Inflation!E8</f>
        <v>1379.0282764811491</v>
      </c>
      <c r="F12" s="85">
        <f>SUM('RAB - Build'!K99:K100)*Inflation!F8</f>
        <v>0</v>
      </c>
      <c r="G12" s="85">
        <f>SUM('RAB - Build'!L99:L100)*Inflation!G8</f>
        <v>0</v>
      </c>
      <c r="H12" s="85">
        <f>SUM('RAB - Build'!M99:M100)*Inflation!H8</f>
        <v>0</v>
      </c>
      <c r="I12" s="85">
        <f>SUM('RAB - Build'!N99:N100)*Inflation!I8</f>
        <v>100.121245</v>
      </c>
      <c r="J12" s="85">
        <f>SUM('RAB - Build'!O99:O100)*Inflation!J8</f>
        <v>13.60182</v>
      </c>
      <c r="K12" s="85">
        <f>SUM('RAB - Build'!P99:P100)*Inflation!K8</f>
        <v>9.0345899999999997</v>
      </c>
      <c r="L12" s="85">
        <f>SUM('RAB - Build'!Q99:Q100)*Inflation!L8</f>
        <v>33.95111</v>
      </c>
      <c r="M12" s="85">
        <f>SUM('RAB - Build'!R99:R100)*Inflation!M8</f>
        <v>-0.25810999999999851</v>
      </c>
      <c r="N12" s="29">
        <f>'RAB - Build'!D132</f>
        <v>104.9555895637485</v>
      </c>
      <c r="O12" s="29">
        <f>'RAB - Build'!E132</f>
        <v>36.302994470260217</v>
      </c>
      <c r="P12" s="29">
        <f>'RAB - Build'!F132</f>
        <v>136.51515545539036</v>
      </c>
      <c r="Q12" s="29">
        <f>'RAB - Build'!G132</f>
        <v>1427.1813257965905</v>
      </c>
      <c r="R12" s="29">
        <f>'RAB - Build'!H132</f>
        <v>12.482825278810409</v>
      </c>
      <c r="S12" s="29">
        <f>'RAB - Build'!I132</f>
        <v>12.892210027801971</v>
      </c>
      <c r="T12" s="29">
        <f>'RAB - Build'!J132</f>
        <v>13.165996057978886</v>
      </c>
      <c r="U12" s="137"/>
    </row>
    <row r="13" spans="1:21" x14ac:dyDescent="0.25">
      <c r="A13" s="1" t="s">
        <v>240</v>
      </c>
      <c r="B13" s="1" t="s">
        <v>46</v>
      </c>
      <c r="C13" s="2" t="s">
        <v>85</v>
      </c>
      <c r="D13" s="85">
        <f>'RAB - Build'!I101*Inflation!D8</f>
        <v>26.65931777378815</v>
      </c>
      <c r="E13" s="85">
        <f>'RAB - Build'!J101*Inflation!E8</f>
        <v>82.741696588868948</v>
      </c>
      <c r="F13" s="85">
        <f>'RAB - Build'!K101*Inflation!F8</f>
        <v>113.50682226211849</v>
      </c>
      <c r="G13" s="85">
        <f>'RAB - Build'!L101*Inflation!G8</f>
        <v>116.32743267504488</v>
      </c>
      <c r="H13" s="85">
        <f>'RAB - Build'!M101*Inflation!H8</f>
        <v>117.3737881508079</v>
      </c>
      <c r="I13" s="85">
        <f>'RAB - Build'!N101*Inflation!I8</f>
        <v>159.63999918529629</v>
      </c>
      <c r="J13" s="85">
        <f>'RAB - Build'!O101*Inflation!J8</f>
        <v>126.74827492258814</v>
      </c>
      <c r="K13" s="85">
        <f>'RAB - Build'!P101*Inflation!K8</f>
        <v>111.57483604410805</v>
      </c>
      <c r="L13" s="85">
        <f>'RAB - Build'!Q101*Inflation!L8</f>
        <v>140.41665323223285</v>
      </c>
      <c r="M13" s="85">
        <f>'RAB - Build'!R101*Inflation!M8</f>
        <v>149.93137952352154</v>
      </c>
      <c r="N13" s="112">
        <f>'RAB - Build'!D133</f>
        <v>137.41344102412111</v>
      </c>
      <c r="O13" s="112">
        <f>'RAB - Build'!E133</f>
        <v>151.10643837701505</v>
      </c>
      <c r="P13" s="112">
        <f>'RAB - Build'!F133</f>
        <v>166.42870250055086</v>
      </c>
      <c r="Q13" s="112">
        <f>'RAB - Build'!G133</f>
        <v>202.84464398745848</v>
      </c>
      <c r="R13" s="112">
        <f>'RAB - Build'!H133</f>
        <v>235.34013933702079</v>
      </c>
      <c r="S13" s="112">
        <f>'RAB - Build'!I133</f>
        <v>252.29744507489062</v>
      </c>
      <c r="T13" s="112">
        <f>'RAB - Build'!J133</f>
        <v>258.18201158469901</v>
      </c>
      <c r="U13" s="137"/>
    </row>
    <row r="14" spans="1:21" x14ac:dyDescent="0.25">
      <c r="A14" s="1" t="s">
        <v>74</v>
      </c>
      <c r="B14" s="1" t="s">
        <v>46</v>
      </c>
      <c r="C14" s="2" t="s">
        <v>85</v>
      </c>
      <c r="D14" s="85">
        <f>D11+D12-D13</f>
        <v>1306.3065709156192</v>
      </c>
      <c r="E14" s="85">
        <f t="shared" ref="E14:L14" si="17">E11+E12-E13</f>
        <v>2647.7342908438059</v>
      </c>
      <c r="F14" s="85">
        <f t="shared" si="17"/>
        <v>2610.6569120287249</v>
      </c>
      <c r="G14" s="85">
        <f t="shared" si="17"/>
        <v>2559.2035188509876</v>
      </c>
      <c r="H14" s="85">
        <f t="shared" si="17"/>
        <v>2464.8495511669662</v>
      </c>
      <c r="I14" s="85">
        <f t="shared" si="17"/>
        <v>2437.8133104466606</v>
      </c>
      <c r="J14" s="85">
        <f t="shared" si="17"/>
        <v>2410.4659467869237</v>
      </c>
      <c r="K14" s="85">
        <f t="shared" si="17"/>
        <v>2388.9871941491765</v>
      </c>
      <c r="L14" s="85">
        <f t="shared" si="17"/>
        <v>2355.1222628235146</v>
      </c>
      <c r="M14" s="85">
        <f>M11+M12-M13</f>
        <v>2240.8888383812682</v>
      </c>
      <c r="N14" s="112">
        <f t="shared" ref="N14:S14" si="18">N11+N12-N13</f>
        <v>2245.5727908719664</v>
      </c>
      <c r="O14" s="112">
        <f t="shared" si="18"/>
        <v>2305.6962129208177</v>
      </c>
      <c r="P14" s="112">
        <f t="shared" si="18"/>
        <v>2455.9757312551837</v>
      </c>
      <c r="Q14" s="112">
        <f t="shared" si="18"/>
        <v>3754.9679497119787</v>
      </c>
      <c r="R14" s="112">
        <f t="shared" si="18"/>
        <v>3592.1901228491597</v>
      </c>
      <c r="S14" s="112">
        <f t="shared" si="18"/>
        <v>3470.5937827378102</v>
      </c>
      <c r="T14" s="112">
        <f t="shared" ref="T14" si="19">T11+T12-T13</f>
        <v>3299.2811968079836</v>
      </c>
      <c r="U14" s="137"/>
    </row>
    <row r="15" spans="1:21" x14ac:dyDescent="0.25">
      <c r="A15" s="1" t="s">
        <v>75</v>
      </c>
      <c r="B15" s="1" t="s">
        <v>46</v>
      </c>
      <c r="C15" s="2" t="s">
        <v>85</v>
      </c>
      <c r="D15" s="85">
        <f>AVERAGE(D11,D14)</f>
        <v>653.1532854578096</v>
      </c>
      <c r="E15" s="85">
        <f t="shared" ref="E15:L15" si="20">AVERAGE(E11,E14)</f>
        <v>1999.5910008976657</v>
      </c>
      <c r="F15" s="85">
        <f t="shared" si="20"/>
        <v>2667.4103231597842</v>
      </c>
      <c r="G15" s="85">
        <f t="shared" si="20"/>
        <v>2617.3672351885098</v>
      </c>
      <c r="H15" s="85">
        <f t="shared" si="20"/>
        <v>2523.5364452423701</v>
      </c>
      <c r="I15" s="85">
        <f t="shared" si="20"/>
        <v>2467.5726875393088</v>
      </c>
      <c r="J15" s="85">
        <f t="shared" si="20"/>
        <v>2467.0391742482179</v>
      </c>
      <c r="K15" s="85">
        <f t="shared" si="20"/>
        <v>2440.2573171712302</v>
      </c>
      <c r="L15" s="85">
        <f t="shared" si="20"/>
        <v>2408.3550344396308</v>
      </c>
      <c r="M15" s="85">
        <f>AVERAGE(M11,M14)</f>
        <v>2315.9835831430291</v>
      </c>
      <c r="N15" s="112">
        <f t="shared" ref="N15:S15" si="21">(N14+N11)/2</f>
        <v>2261.8017166021527</v>
      </c>
      <c r="O15" s="112">
        <f t="shared" si="21"/>
        <v>2363.0979348741948</v>
      </c>
      <c r="P15" s="112">
        <f t="shared" si="21"/>
        <v>2470.9325047777638</v>
      </c>
      <c r="Q15" s="112">
        <f t="shared" si="21"/>
        <v>3142.7996088074124</v>
      </c>
      <c r="R15" s="112">
        <f t="shared" si="21"/>
        <v>3703.6187798782648</v>
      </c>
      <c r="S15" s="112">
        <f t="shared" si="21"/>
        <v>3590.2964002613544</v>
      </c>
      <c r="T15" s="112">
        <f t="shared" ref="T15" si="22">(T14+T11)/2</f>
        <v>3421.7892045713434</v>
      </c>
      <c r="U15" s="137"/>
    </row>
    <row r="16" spans="1:21" x14ac:dyDescent="0.25">
      <c r="A16" s="1"/>
      <c r="B16" s="1"/>
      <c r="C16" s="1"/>
      <c r="D16" s="1"/>
      <c r="E16" s="1"/>
      <c r="F16" s="1"/>
      <c r="G16" s="1"/>
      <c r="H16" s="1"/>
      <c r="I16" s="3"/>
      <c r="J16" s="3"/>
      <c r="K16" s="3"/>
      <c r="L16" s="3"/>
      <c r="M16" s="3"/>
      <c r="N16" s="43"/>
      <c r="O16" s="43"/>
      <c r="P16" s="43"/>
      <c r="Q16" s="43"/>
      <c r="R16" s="43"/>
    </row>
    <row r="17" spans="1:20" ht="13" x14ac:dyDescent="0.3">
      <c r="A17" s="20" t="s">
        <v>243</v>
      </c>
      <c r="B17" s="20" t="s">
        <v>33</v>
      </c>
      <c r="C17" s="20" t="s">
        <v>44</v>
      </c>
      <c r="D17" s="28" t="s">
        <v>15</v>
      </c>
      <c r="E17" s="28" t="s">
        <v>16</v>
      </c>
      <c r="F17" s="28" t="s">
        <v>17</v>
      </c>
      <c r="G17" s="28" t="s">
        <v>18</v>
      </c>
      <c r="H17" s="28" t="s">
        <v>19</v>
      </c>
      <c r="I17" s="28" t="s">
        <v>20</v>
      </c>
      <c r="J17" s="28" t="s">
        <v>21</v>
      </c>
      <c r="K17" s="28" t="s">
        <v>22</v>
      </c>
      <c r="L17" s="28" t="s">
        <v>23</v>
      </c>
      <c r="M17" s="28" t="s">
        <v>24</v>
      </c>
      <c r="N17" s="28" t="s">
        <v>26</v>
      </c>
      <c r="O17" s="28" t="s">
        <v>27</v>
      </c>
      <c r="P17" s="28" t="s">
        <v>28</v>
      </c>
      <c r="Q17" s="28" t="s">
        <v>29</v>
      </c>
      <c r="R17" s="28" t="s">
        <v>34</v>
      </c>
      <c r="S17" s="21" t="s">
        <v>268</v>
      </c>
      <c r="T17" s="21" t="s">
        <v>275</v>
      </c>
    </row>
    <row r="18" spans="1:20" x14ac:dyDescent="0.25">
      <c r="A18" s="1" t="s">
        <v>72</v>
      </c>
      <c r="B18" s="1" t="s">
        <v>46</v>
      </c>
      <c r="C18" s="2" t="s">
        <v>85</v>
      </c>
      <c r="L18" s="85">
        <f>'RAB Inputs'!Q55*Inflation!L8</f>
        <v>1916.0735236605399</v>
      </c>
      <c r="M18" s="85">
        <f>L21*(Inflation!M7/Inflation!L7)</f>
        <v>972.66327727806038</v>
      </c>
    </row>
    <row r="19" spans="1:20" x14ac:dyDescent="0.25">
      <c r="A19" s="1" t="s">
        <v>97</v>
      </c>
      <c r="B19" s="1" t="s">
        <v>46</v>
      </c>
      <c r="C19" s="2" t="s">
        <v>85</v>
      </c>
      <c r="L19" s="85">
        <v>0</v>
      </c>
      <c r="M19" s="85">
        <v>0</v>
      </c>
    </row>
    <row r="20" spans="1:20" x14ac:dyDescent="0.25">
      <c r="A20" s="1" t="s">
        <v>222</v>
      </c>
      <c r="B20" s="1" t="s">
        <v>46</v>
      </c>
      <c r="C20" s="2" t="s">
        <v>85</v>
      </c>
      <c r="L20" s="85">
        <f>'RAB Inputs'!Q56*Inflation!L8</f>
        <v>958.03676183026994</v>
      </c>
      <c r="M20" s="85">
        <f>'RAB Inputs'!R56*Inflation!M8</f>
        <v>972.66327727806038</v>
      </c>
    </row>
    <row r="21" spans="1:20" x14ac:dyDescent="0.25">
      <c r="A21" s="1" t="s">
        <v>74</v>
      </c>
      <c r="B21" s="1" t="s">
        <v>46</v>
      </c>
      <c r="C21" s="2" t="s">
        <v>85</v>
      </c>
      <c r="L21" s="85">
        <f>L18+L19-L20</f>
        <v>958.03676183026994</v>
      </c>
      <c r="M21" s="85">
        <f t="shared" ref="M21" si="23">M18+M19-M20</f>
        <v>0</v>
      </c>
    </row>
    <row r="22" spans="1:20" x14ac:dyDescent="0.25">
      <c r="A22" s="1" t="s">
        <v>75</v>
      </c>
      <c r="B22" s="1" t="s">
        <v>46</v>
      </c>
      <c r="C22" s="2" t="s">
        <v>85</v>
      </c>
      <c r="L22" s="85">
        <f>AVERAGE(L18,L21)</f>
        <v>1437.055142745405</v>
      </c>
      <c r="M22" s="85">
        <f t="shared" ref="M22" si="24">AVERAGE(M18,M21)</f>
        <v>486.33163863903019</v>
      </c>
    </row>
  </sheetData>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T35"/>
  <sheetViews>
    <sheetView showGridLines="0" topLeftCell="A3" zoomScale="85" zoomScaleNormal="85" workbookViewId="0">
      <selection activeCell="D18" sqref="D18:J19"/>
    </sheetView>
  </sheetViews>
  <sheetFormatPr defaultColWidth="8.6328125" defaultRowHeight="12.5" x14ac:dyDescent="0.25"/>
  <cols>
    <col min="1" max="1" width="60.54296875" style="2" customWidth="1"/>
    <col min="2" max="2" width="15" style="6" customWidth="1"/>
    <col min="3" max="3" width="16" style="2" customWidth="1"/>
    <col min="4" max="7" width="8.6328125" style="2"/>
    <col min="8" max="8" width="9.08984375" style="2" bestFit="1" customWidth="1"/>
    <col min="9" max="16384" width="8.6328125" style="2"/>
  </cols>
  <sheetData>
    <row r="1" spans="1:10" ht="13" x14ac:dyDescent="0.3">
      <c r="A1" s="7" t="s">
        <v>117</v>
      </c>
      <c r="B1" s="8"/>
    </row>
    <row r="3" spans="1:10" ht="13" x14ac:dyDescent="0.3">
      <c r="A3" s="16" t="s">
        <v>232</v>
      </c>
      <c r="B3" s="17" t="s">
        <v>33</v>
      </c>
      <c r="C3" s="20" t="s">
        <v>44</v>
      </c>
      <c r="D3" s="21" t="s">
        <v>26</v>
      </c>
      <c r="E3" s="21" t="s">
        <v>27</v>
      </c>
      <c r="F3" s="21" t="s">
        <v>28</v>
      </c>
      <c r="G3" s="21" t="s">
        <v>29</v>
      </c>
      <c r="H3" s="21" t="s">
        <v>34</v>
      </c>
      <c r="I3" s="21" t="s">
        <v>268</v>
      </c>
      <c r="J3" s="21" t="s">
        <v>275</v>
      </c>
    </row>
    <row r="4" spans="1:10" x14ac:dyDescent="0.25">
      <c r="A4" s="2" t="s">
        <v>225</v>
      </c>
      <c r="B4" s="5" t="s">
        <v>46</v>
      </c>
      <c r="C4" s="2" t="s">
        <v>85</v>
      </c>
      <c r="D4" s="29">
        <f>'RAB Summary (2020-27)'!D8</f>
        <v>1966.8279800121732</v>
      </c>
      <c r="E4" s="29">
        <f>'RAB Summary (2020-27)'!E8</f>
        <v>3658.0497049887226</v>
      </c>
      <c r="F4" s="29">
        <f>'RAB Summary (2020-27)'!F8</f>
        <v>5765.8169720664955</v>
      </c>
      <c r="G4" s="29">
        <f>'RAB Summary (2020-27)'!G8</f>
        <v>7017.4042191255376</v>
      </c>
      <c r="H4" s="29">
        <f>'RAB Summary (2020-27)'!H8</f>
        <v>7274.2422334177718</v>
      </c>
      <c r="I4" s="29">
        <f>'RAB Summary (2020-27)'!I8</f>
        <v>6091.7254250485294</v>
      </c>
      <c r="J4" s="29">
        <f>'RAB Summary (2020-27)'!J8</f>
        <v>4276.9533438354183</v>
      </c>
    </row>
    <row r="5" spans="1:10" x14ac:dyDescent="0.25">
      <c r="A5" s="2" t="s">
        <v>226</v>
      </c>
      <c r="B5" s="5" t="s">
        <v>46</v>
      </c>
      <c r="C5" s="2" t="s">
        <v>85</v>
      </c>
      <c r="D5" s="29">
        <f>'RAB Summary (2020-27)'!D15</f>
        <v>2261.8017166021536</v>
      </c>
      <c r="E5" s="29">
        <f>'RAB Summary (2020-27)'!E15</f>
        <v>2363.0979348741957</v>
      </c>
      <c r="F5" s="29">
        <f>'RAB Summary (2020-27)'!F15</f>
        <v>2470.9325047777647</v>
      </c>
      <c r="G5" s="29">
        <f>'RAB Summary (2020-27)'!G15</f>
        <v>3142.7996088074142</v>
      </c>
      <c r="H5" s="29">
        <f>'RAB Summary (2020-27)'!H15</f>
        <v>3703.6187798782667</v>
      </c>
      <c r="I5" s="29">
        <f>'RAB Summary (2020-27)'!I15</f>
        <v>3590.2964002613562</v>
      </c>
      <c r="J5" s="29">
        <f>'RAB Summary (2020-27)'!J15</f>
        <v>3421.7892045713452</v>
      </c>
    </row>
    <row r="6" spans="1:10" ht="13" x14ac:dyDescent="0.3">
      <c r="A6" s="10" t="s">
        <v>227</v>
      </c>
      <c r="B6" s="86" t="s">
        <v>46</v>
      </c>
      <c r="C6" s="10" t="s">
        <v>85</v>
      </c>
      <c r="D6" s="88">
        <f t="shared" ref="D6:I6" si="0">SUM(D4:D5)</f>
        <v>4228.6296966143273</v>
      </c>
      <c r="E6" s="88">
        <f t="shared" si="0"/>
        <v>6021.1476398629184</v>
      </c>
      <c r="F6" s="88">
        <f t="shared" si="0"/>
        <v>8236.7494768442593</v>
      </c>
      <c r="G6" s="88">
        <f t="shared" si="0"/>
        <v>10160.203827932952</v>
      </c>
      <c r="H6" s="88">
        <f t="shared" si="0"/>
        <v>10977.861013296038</v>
      </c>
      <c r="I6" s="88">
        <f t="shared" si="0"/>
        <v>9682.0218253098865</v>
      </c>
      <c r="J6" s="88">
        <f t="shared" ref="J6" si="1">SUM(J4:J5)</f>
        <v>7698.7425484067635</v>
      </c>
    </row>
    <row r="7" spans="1:10" ht="13" x14ac:dyDescent="0.3">
      <c r="A7" s="16"/>
      <c r="B7" s="86"/>
      <c r="C7" s="10"/>
      <c r="D7" s="88"/>
      <c r="E7" s="88"/>
      <c r="F7" s="88"/>
      <c r="G7" s="88"/>
      <c r="H7" s="88"/>
      <c r="I7" s="29"/>
    </row>
    <row r="8" spans="1:10" ht="13" x14ac:dyDescent="0.3">
      <c r="A8" s="7" t="s">
        <v>119</v>
      </c>
      <c r="B8" s="5"/>
      <c r="C8" s="1"/>
      <c r="D8" s="1"/>
      <c r="E8" s="1"/>
      <c r="F8" s="1"/>
      <c r="G8" s="16"/>
      <c r="H8" s="29"/>
      <c r="I8" s="1"/>
    </row>
    <row r="9" spans="1:10" ht="13" x14ac:dyDescent="0.3">
      <c r="A9" s="1" t="s">
        <v>171</v>
      </c>
      <c r="B9" s="5" t="s">
        <v>25</v>
      </c>
      <c r="C9" s="1"/>
      <c r="D9" s="14">
        <v>0.4</v>
      </c>
      <c r="E9" s="14">
        <v>0.4</v>
      </c>
      <c r="F9" s="14">
        <v>0.4</v>
      </c>
      <c r="G9" s="14">
        <v>0.4</v>
      </c>
      <c r="H9" s="14">
        <v>0.4</v>
      </c>
      <c r="I9" s="14">
        <v>0.4</v>
      </c>
      <c r="J9" s="14">
        <v>0.4</v>
      </c>
    </row>
    <row r="10" spans="1:10" ht="13" x14ac:dyDescent="0.3">
      <c r="A10" s="1" t="s">
        <v>172</v>
      </c>
      <c r="B10" s="5" t="s">
        <v>25</v>
      </c>
      <c r="C10" s="1"/>
      <c r="D10" s="89">
        <v>7.4999999999999997E-3</v>
      </c>
      <c r="E10" s="89">
        <v>7.4999999999999997E-3</v>
      </c>
      <c r="F10" s="89">
        <v>7.4999999999999997E-3</v>
      </c>
      <c r="G10" s="89">
        <v>7.4999999999999997E-3</v>
      </c>
      <c r="H10" s="89">
        <v>7.4999999999999997E-3</v>
      </c>
      <c r="I10" s="89">
        <v>7.4999999999999997E-3</v>
      </c>
      <c r="J10" s="89">
        <v>7.4999999999999997E-3</v>
      </c>
    </row>
    <row r="11" spans="1:10" ht="13" x14ac:dyDescent="0.3">
      <c r="A11" s="1" t="s">
        <v>176</v>
      </c>
      <c r="B11" s="5" t="s">
        <v>25</v>
      </c>
      <c r="C11" s="1"/>
      <c r="D11" s="89">
        <v>5.0299999999999997E-2</v>
      </c>
      <c r="E11" s="89">
        <v>5.0299999999999997E-2</v>
      </c>
      <c r="F11" s="89">
        <v>5.0299999999999997E-2</v>
      </c>
      <c r="G11" s="89">
        <v>5.0299999999999997E-2</v>
      </c>
      <c r="H11" s="89">
        <v>5.0299999999999997E-2</v>
      </c>
      <c r="I11" s="89">
        <v>5.0299999999999997E-2</v>
      </c>
      <c r="J11" s="89">
        <v>5.0299999999999997E-2</v>
      </c>
    </row>
    <row r="12" spans="1:10" ht="13" x14ac:dyDescent="0.3">
      <c r="A12" s="1" t="s">
        <v>173</v>
      </c>
      <c r="B12" s="5" t="s">
        <v>25</v>
      </c>
      <c r="C12" s="1"/>
      <c r="D12" s="110">
        <f>'Post FD Inputs'!D31</f>
        <v>0.19</v>
      </c>
      <c r="E12" s="110">
        <f>'Post FD Inputs'!E31</f>
        <v>0.19</v>
      </c>
      <c r="F12" s="110">
        <f>'Post FD Inputs'!F31</f>
        <v>0.22</v>
      </c>
      <c r="G12" s="110">
        <f>'Post FD Inputs'!G31</f>
        <v>0.25</v>
      </c>
      <c r="H12" s="110">
        <f>'Post FD Inputs'!H31</f>
        <v>0.25</v>
      </c>
      <c r="I12" s="110">
        <f>'Post FD Inputs'!I31</f>
        <v>0.25</v>
      </c>
      <c r="J12" s="110">
        <f>'Post FD Inputs'!J31</f>
        <v>0.25</v>
      </c>
    </row>
    <row r="13" spans="1:10" ht="13" x14ac:dyDescent="0.3">
      <c r="A13" s="16" t="s">
        <v>120</v>
      </c>
      <c r="B13" s="86" t="s">
        <v>25</v>
      </c>
      <c r="C13" s="16"/>
      <c r="D13" s="90">
        <f>(D9*D10)+((1-D9)*(D11/(1-D12)))</f>
        <v>4.0259259259259259E-2</v>
      </c>
      <c r="E13" s="90">
        <f t="shared" ref="E13:I13" si="2">(E9*E10)+((1-E9)*(E11/(1-E12)))</f>
        <v>4.0259259259259259E-2</v>
      </c>
      <c r="F13" s="90">
        <f t="shared" si="2"/>
        <v>4.1692307692307688E-2</v>
      </c>
      <c r="G13" s="90">
        <f t="shared" si="2"/>
        <v>4.3240000000000001E-2</v>
      </c>
      <c r="H13" s="90">
        <f t="shared" si="2"/>
        <v>4.3240000000000001E-2</v>
      </c>
      <c r="I13" s="90">
        <f t="shared" si="2"/>
        <v>4.3240000000000001E-2</v>
      </c>
      <c r="J13" s="90">
        <f t="shared" ref="J13" si="3">(J9*J10)+((1-J9)*(J11/(1-J12)))</f>
        <v>4.3240000000000001E-2</v>
      </c>
    </row>
    <row r="14" spans="1:10" ht="13" x14ac:dyDescent="0.3">
      <c r="A14" s="1"/>
      <c r="B14" s="5"/>
      <c r="C14" s="1"/>
      <c r="D14" s="1"/>
      <c r="E14" s="1"/>
      <c r="F14" s="1"/>
      <c r="G14" s="16"/>
      <c r="H14" s="29"/>
      <c r="I14" s="1"/>
    </row>
    <row r="15" spans="1:10" ht="13" x14ac:dyDescent="0.3">
      <c r="A15" s="7" t="s">
        <v>126</v>
      </c>
      <c r="B15" s="8"/>
    </row>
    <row r="16" spans="1:10" x14ac:dyDescent="0.25">
      <c r="I16" s="87"/>
    </row>
    <row r="17" spans="1:20" ht="13" x14ac:dyDescent="0.3">
      <c r="A17" s="10" t="s">
        <v>231</v>
      </c>
      <c r="B17" s="17" t="s">
        <v>33</v>
      </c>
      <c r="C17" s="20" t="s">
        <v>44</v>
      </c>
      <c r="D17" s="21" t="s">
        <v>26</v>
      </c>
      <c r="E17" s="21" t="s">
        <v>27</v>
      </c>
      <c r="F17" s="21" t="s">
        <v>28</v>
      </c>
      <c r="G17" s="21" t="s">
        <v>29</v>
      </c>
      <c r="H17" s="21" t="s">
        <v>34</v>
      </c>
      <c r="I17" s="21" t="s">
        <v>268</v>
      </c>
      <c r="J17" s="21" t="s">
        <v>275</v>
      </c>
    </row>
    <row r="18" spans="1:20" ht="13" x14ac:dyDescent="0.3">
      <c r="A18" s="2" t="s">
        <v>229</v>
      </c>
      <c r="B18" s="6" t="s">
        <v>46</v>
      </c>
      <c r="C18" s="2" t="s">
        <v>85</v>
      </c>
      <c r="D18" s="47">
        <f>D4*D$13</f>
        <v>79.183037565675264</v>
      </c>
      <c r="E18" s="47">
        <f t="shared" ref="E18:I18" si="4">E4*E$13</f>
        <v>147.27037145639784</v>
      </c>
      <c r="F18" s="47">
        <f t="shared" si="4"/>
        <v>240.39021529692619</v>
      </c>
      <c r="G18" s="47">
        <f t="shared" si="4"/>
        <v>303.43255843498827</v>
      </c>
      <c r="H18" s="47">
        <f t="shared" si="4"/>
        <v>314.53823417298446</v>
      </c>
      <c r="I18" s="47">
        <f t="shared" si="4"/>
        <v>263.40620737909842</v>
      </c>
      <c r="J18" s="47">
        <f t="shared" ref="J18" si="5">J4*J$13</f>
        <v>184.93546258744348</v>
      </c>
    </row>
    <row r="19" spans="1:20" ht="13" x14ac:dyDescent="0.3">
      <c r="A19" s="2" t="s">
        <v>230</v>
      </c>
      <c r="B19" s="6" t="s">
        <v>46</v>
      </c>
      <c r="C19" s="2" t="s">
        <v>85</v>
      </c>
      <c r="D19" s="47">
        <f>D5*D$13</f>
        <v>91.058461701723743</v>
      </c>
      <c r="E19" s="47">
        <f t="shared" ref="E19:I19" si="6">E5*E$13</f>
        <v>95.136572415120398</v>
      </c>
      <c r="F19" s="47">
        <f t="shared" si="6"/>
        <v>103.01887827611911</v>
      </c>
      <c r="G19" s="47">
        <f t="shared" si="6"/>
        <v>135.89465508483258</v>
      </c>
      <c r="H19" s="47">
        <f t="shared" si="6"/>
        <v>160.14447604193626</v>
      </c>
      <c r="I19" s="47">
        <f t="shared" si="6"/>
        <v>155.24441634730104</v>
      </c>
      <c r="J19" s="47">
        <f t="shared" ref="J19" si="7">J5*J$13</f>
        <v>147.95816520566495</v>
      </c>
    </row>
    <row r="20" spans="1:20" ht="13" x14ac:dyDescent="0.3">
      <c r="A20" s="113" t="s">
        <v>228</v>
      </c>
      <c r="B20" s="134" t="s">
        <v>46</v>
      </c>
      <c r="C20" s="113" t="s">
        <v>85</v>
      </c>
      <c r="D20" s="135">
        <f t="shared" ref="D20:I20" si="8">SUM(D18:D19)</f>
        <v>170.24149926739901</v>
      </c>
      <c r="E20" s="135">
        <f t="shared" si="8"/>
        <v>242.40694387151825</v>
      </c>
      <c r="F20" s="135">
        <f t="shared" si="8"/>
        <v>343.40909357304531</v>
      </c>
      <c r="G20" s="135">
        <f t="shared" si="8"/>
        <v>439.32721351982082</v>
      </c>
      <c r="H20" s="135">
        <f t="shared" si="8"/>
        <v>474.68271021492069</v>
      </c>
      <c r="I20" s="135">
        <f t="shared" si="8"/>
        <v>418.65062372639943</v>
      </c>
      <c r="J20" s="135">
        <f t="shared" ref="J20" si="9">SUM(J18:J19)</f>
        <v>332.89362779310841</v>
      </c>
    </row>
    <row r="23" spans="1:20" ht="13" x14ac:dyDescent="0.3">
      <c r="A23" s="7" t="s">
        <v>177</v>
      </c>
      <c r="B23" s="8"/>
      <c r="D23" s="47"/>
      <c r="E23" s="47"/>
      <c r="F23" s="47"/>
      <c r="G23" s="47"/>
      <c r="H23" s="47"/>
    </row>
    <row r="25" spans="1:20" ht="13" x14ac:dyDescent="0.3">
      <c r="A25" s="10" t="s">
        <v>118</v>
      </c>
      <c r="B25" s="17" t="s">
        <v>33</v>
      </c>
      <c r="C25" s="20" t="s">
        <v>44</v>
      </c>
      <c r="D25" s="21" t="s">
        <v>26</v>
      </c>
      <c r="E25" s="21" t="s">
        <v>27</v>
      </c>
      <c r="F25" s="21" t="s">
        <v>28</v>
      </c>
      <c r="G25" s="21" t="s">
        <v>29</v>
      </c>
      <c r="H25" s="21" t="s">
        <v>34</v>
      </c>
      <c r="I25" s="21" t="s">
        <v>268</v>
      </c>
      <c r="J25" s="21" t="s">
        <v>275</v>
      </c>
      <c r="P25" s="47"/>
      <c r="Q25" s="47"/>
      <c r="R25" s="47"/>
      <c r="S25" s="47"/>
      <c r="T25" s="47"/>
    </row>
    <row r="26" spans="1:20" x14ac:dyDescent="0.25">
      <c r="A26" s="2" t="s">
        <v>234</v>
      </c>
      <c r="B26" s="6" t="s">
        <v>46</v>
      </c>
      <c r="C26" s="2" t="s">
        <v>60</v>
      </c>
      <c r="D26" s="47">
        <f>D18/Inflation!N$4</f>
        <v>77.174772120168996</v>
      </c>
      <c r="E26" s="47">
        <f>E18/Inflation!O$4</f>
        <v>133.16211738410425</v>
      </c>
      <c r="F26" s="47">
        <f>F18/Inflation!P$4</f>
        <v>201.60551181566058</v>
      </c>
      <c r="G26" s="47">
        <f>G18/Inflation!Q$4</f>
        <v>246.96931382454417</v>
      </c>
      <c r="H26" s="47">
        <f>H18/Inflation!R$4</f>
        <v>251.97679783831708</v>
      </c>
      <c r="I26" s="47">
        <f>I18/Inflation!S$4</f>
        <v>204.31423845179728</v>
      </c>
      <c r="J26" s="47">
        <f>J18/Inflation!T$4</f>
        <v>140.4644675367106</v>
      </c>
      <c r="P26" s="47"/>
      <c r="Q26" s="47"/>
      <c r="R26" s="47"/>
      <c r="S26" s="47"/>
      <c r="T26" s="47"/>
    </row>
    <row r="27" spans="1:20" x14ac:dyDescent="0.25">
      <c r="A27" s="2" t="s">
        <v>235</v>
      </c>
      <c r="B27" s="6" t="s">
        <v>46</v>
      </c>
      <c r="C27" s="2" t="s">
        <v>60</v>
      </c>
      <c r="D27" s="47">
        <f>D19/Inflation!N$4</f>
        <v>88.74900796291189</v>
      </c>
      <c r="E27" s="47">
        <f>E19/Inflation!O$4</f>
        <v>86.022648671150876</v>
      </c>
      <c r="F27" s="47">
        <f>F19/Inflation!P$4</f>
        <v>86.397749824710942</v>
      </c>
      <c r="G27" s="47">
        <f>G19/Inflation!Q$4</f>
        <v>110.60714740641443</v>
      </c>
      <c r="H27" s="47">
        <f>H19/Inflation!R$4</f>
        <v>128.29185097526073</v>
      </c>
      <c r="I27" s="47">
        <f>I19/Inflation!S$4</f>
        <v>120.41722560563116</v>
      </c>
      <c r="J27" s="47">
        <f>J19/Inflation!T$4</f>
        <v>112.37901375186803</v>
      </c>
      <c r="P27" s="47"/>
      <c r="Q27" s="47"/>
      <c r="R27" s="47"/>
      <c r="S27" s="47"/>
      <c r="T27" s="47"/>
    </row>
    <row r="28" spans="1:20" ht="13" x14ac:dyDescent="0.3">
      <c r="A28" s="10" t="s">
        <v>233</v>
      </c>
      <c r="B28" s="9" t="s">
        <v>46</v>
      </c>
      <c r="C28" s="10" t="s">
        <v>60</v>
      </c>
      <c r="D28" s="48">
        <f t="shared" ref="D28:I28" si="10">SUM(D26:D27)</f>
        <v>165.92378008308089</v>
      </c>
      <c r="E28" s="48">
        <f t="shared" si="10"/>
        <v>219.18476605525512</v>
      </c>
      <c r="F28" s="48">
        <f t="shared" si="10"/>
        <v>288.00326164037153</v>
      </c>
      <c r="G28" s="48">
        <f t="shared" si="10"/>
        <v>357.57646123095861</v>
      </c>
      <c r="H28" s="48">
        <f t="shared" si="10"/>
        <v>380.26864881357778</v>
      </c>
      <c r="I28" s="48">
        <f t="shared" si="10"/>
        <v>324.73146405742841</v>
      </c>
      <c r="J28" s="48">
        <f t="shared" ref="J28" si="11">SUM(J26:J27)</f>
        <v>252.84348128857863</v>
      </c>
      <c r="P28" s="47"/>
      <c r="Q28" s="47"/>
      <c r="R28" s="47"/>
      <c r="S28" s="47"/>
      <c r="T28" s="47"/>
    </row>
    <row r="31" spans="1:20" x14ac:dyDescent="0.25">
      <c r="K31" s="47"/>
    </row>
    <row r="35" spans="4:8" x14ac:dyDescent="0.25">
      <c r="D35" s="47"/>
      <c r="E35" s="47"/>
      <c r="F35" s="47"/>
      <c r="G35" s="47"/>
      <c r="H35" s="47"/>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M39"/>
  <sheetViews>
    <sheetView showGridLines="0" zoomScale="85" zoomScaleNormal="85" workbookViewId="0"/>
  </sheetViews>
  <sheetFormatPr defaultColWidth="8.6328125" defaultRowHeight="12.5" x14ac:dyDescent="0.25"/>
  <cols>
    <col min="1" max="1" width="12.6328125" style="2" customWidth="1"/>
    <col min="2" max="2" width="27" style="2" customWidth="1"/>
    <col min="3" max="3" width="154.36328125" style="2" customWidth="1"/>
    <col min="4" max="23" width="10.36328125" style="2" customWidth="1"/>
    <col min="24" max="16384" width="8.6328125" style="2"/>
  </cols>
  <sheetData>
    <row r="1" spans="1:1469" ht="13" x14ac:dyDescent="0.3">
      <c r="A1" s="7" t="s">
        <v>274</v>
      </c>
      <c r="B1" s="18"/>
      <c r="C1" s="18"/>
    </row>
    <row r="2" spans="1:1469" ht="17" customHeight="1" x14ac:dyDescent="0.3">
      <c r="A2" s="10" t="s">
        <v>0</v>
      </c>
      <c r="C2" s="65"/>
    </row>
    <row r="3" spans="1:1469" ht="20" customHeight="1" x14ac:dyDescent="0.3">
      <c r="A3" s="10" t="s">
        <v>1</v>
      </c>
      <c r="B3" s="10" t="s">
        <v>2</v>
      </c>
      <c r="C3" s="50" t="s">
        <v>3</v>
      </c>
      <c r="D3" s="52"/>
      <c r="E3" s="52"/>
      <c r="F3" s="52"/>
      <c r="G3" s="52"/>
      <c r="H3" s="52"/>
    </row>
    <row r="4" spans="1:1469" ht="27.65" customHeight="1" x14ac:dyDescent="0.25">
      <c r="A4" s="66" t="s">
        <v>4</v>
      </c>
      <c r="B4" s="67"/>
      <c r="C4" s="67"/>
      <c r="D4" s="68"/>
      <c r="E4" s="69"/>
      <c r="F4" s="69"/>
      <c r="G4" s="69"/>
      <c r="H4" s="42"/>
      <c r="I4" s="42"/>
    </row>
    <row r="5" spans="1:1469" ht="27.65" customHeight="1" x14ac:dyDescent="0.25">
      <c r="A5" s="70"/>
      <c r="B5" s="71" t="s">
        <v>5</v>
      </c>
      <c r="C5" s="70" t="s">
        <v>178</v>
      </c>
      <c r="D5" s="68"/>
      <c r="E5" s="69"/>
      <c r="F5" s="69"/>
      <c r="G5" s="69"/>
    </row>
    <row r="6" spans="1:1469" ht="27.65" customHeight="1" x14ac:dyDescent="0.25">
      <c r="A6" s="70"/>
      <c r="B6" s="71" t="s">
        <v>159</v>
      </c>
      <c r="C6" s="70" t="s">
        <v>160</v>
      </c>
      <c r="D6" s="68"/>
      <c r="E6" s="69"/>
      <c r="F6" s="69"/>
      <c r="G6" s="69"/>
    </row>
    <row r="7" spans="1:1469" ht="37.25" customHeight="1" x14ac:dyDescent="0.25">
      <c r="A7" s="70"/>
      <c r="B7" s="71" t="s">
        <v>135</v>
      </c>
      <c r="C7" s="70" t="s">
        <v>179</v>
      </c>
      <c r="D7" s="68"/>
      <c r="E7" s="69"/>
      <c r="F7" s="69"/>
      <c r="G7" s="69"/>
    </row>
    <row r="8" spans="1:1469" ht="39" customHeight="1" x14ac:dyDescent="0.25">
      <c r="A8" s="72"/>
      <c r="B8" s="71" t="s">
        <v>6</v>
      </c>
      <c r="C8" s="70" t="s">
        <v>181</v>
      </c>
      <c r="D8" s="68"/>
      <c r="E8" s="69"/>
      <c r="F8" s="69"/>
      <c r="G8" s="69"/>
    </row>
    <row r="9" spans="1:1469" ht="27.65" customHeight="1" x14ac:dyDescent="0.25">
      <c r="A9" s="74" t="s">
        <v>7</v>
      </c>
      <c r="B9" s="75"/>
      <c r="C9" s="75"/>
      <c r="D9" s="68"/>
      <c r="E9" s="69"/>
      <c r="F9" s="69"/>
      <c r="G9" s="69"/>
      <c r="H9" s="73"/>
    </row>
    <row r="10" spans="1:1469" ht="27.65" customHeight="1" x14ac:dyDescent="0.25">
      <c r="A10" s="74"/>
      <c r="B10" s="75"/>
      <c r="C10" s="75"/>
      <c r="D10" s="68"/>
      <c r="E10" s="69"/>
      <c r="F10" s="69"/>
      <c r="G10" s="69"/>
      <c r="H10" s="73"/>
    </row>
    <row r="11" spans="1:1469" ht="27.65" customHeight="1" x14ac:dyDescent="0.25">
      <c r="A11" s="109"/>
      <c r="B11" s="76" t="s">
        <v>161</v>
      </c>
      <c r="C11" s="77" t="s">
        <v>162</v>
      </c>
      <c r="D11" s="68"/>
      <c r="E11" s="69"/>
      <c r="F11" s="69"/>
      <c r="G11" s="69"/>
      <c r="H11" s="73"/>
    </row>
    <row r="12" spans="1:1469" ht="27.65" customHeight="1" x14ac:dyDescent="0.25">
      <c r="A12" s="77"/>
      <c r="B12" s="76" t="s">
        <v>127</v>
      </c>
      <c r="C12" s="77" t="s">
        <v>284</v>
      </c>
    </row>
    <row r="13" spans="1:1469" ht="31.25" customHeight="1" x14ac:dyDescent="0.25">
      <c r="A13" s="77"/>
      <c r="B13" s="76" t="s">
        <v>128</v>
      </c>
      <c r="C13" s="77" t="s">
        <v>285</v>
      </c>
    </row>
    <row r="14" spans="1:1469" ht="27.65" customHeight="1" x14ac:dyDescent="0.25">
      <c r="A14" s="78" t="s">
        <v>9</v>
      </c>
      <c r="B14" s="79"/>
      <c r="C14" s="79"/>
    </row>
    <row r="15" spans="1:1469" s="114" customFormat="1" ht="27.65" customHeight="1" x14ac:dyDescent="0.25">
      <c r="A15" s="117"/>
      <c r="B15" s="140" t="s">
        <v>283</v>
      </c>
      <c r="C15" s="118" t="s">
        <v>286</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c r="AML15" s="1"/>
      <c r="AMM15" s="1"/>
      <c r="AMN15" s="1"/>
      <c r="AMO15" s="1"/>
      <c r="AMP15" s="1"/>
      <c r="AMQ15" s="1"/>
      <c r="AMR15" s="1"/>
      <c r="AMS15" s="1"/>
      <c r="AMT15" s="1"/>
      <c r="AMU15" s="1"/>
      <c r="AMV15" s="1"/>
      <c r="AMW15" s="1"/>
      <c r="AMX15" s="1"/>
      <c r="AMY15" s="1"/>
      <c r="AMZ15" s="1"/>
      <c r="ANA15" s="1"/>
      <c r="ANB15" s="1"/>
      <c r="ANC15" s="1"/>
      <c r="AND15" s="1"/>
      <c r="ANE15" s="1"/>
      <c r="ANF15" s="1"/>
      <c r="ANG15" s="1"/>
      <c r="ANH15" s="1"/>
      <c r="ANI15" s="1"/>
      <c r="ANJ15" s="1"/>
      <c r="ANK15" s="1"/>
      <c r="ANL15" s="1"/>
      <c r="ANM15" s="1"/>
      <c r="ANN15" s="1"/>
      <c r="ANO15" s="1"/>
      <c r="ANP15" s="1"/>
      <c r="ANQ15" s="1"/>
      <c r="ANR15" s="1"/>
      <c r="ANS15" s="1"/>
      <c r="ANT15" s="1"/>
      <c r="ANU15" s="1"/>
      <c r="ANV15" s="1"/>
      <c r="ANW15" s="1"/>
      <c r="ANX15" s="1"/>
      <c r="ANY15" s="1"/>
      <c r="ANZ15" s="1"/>
      <c r="AOA15" s="1"/>
      <c r="AOB15" s="1"/>
      <c r="AOC15" s="1"/>
      <c r="AOD15" s="1"/>
      <c r="AOE15" s="1"/>
      <c r="AOF15" s="1"/>
      <c r="AOG15" s="1"/>
      <c r="AOH15" s="1"/>
      <c r="AOI15" s="1"/>
      <c r="AOJ15" s="1"/>
      <c r="AOK15" s="1"/>
      <c r="AOL15" s="1"/>
      <c r="AOM15" s="1"/>
      <c r="AON15" s="1"/>
      <c r="AOO15" s="1"/>
      <c r="AOP15" s="1"/>
      <c r="AOQ15" s="1"/>
      <c r="AOR15" s="1"/>
      <c r="AOS15" s="1"/>
      <c r="AOT15" s="1"/>
      <c r="AOU15" s="1"/>
      <c r="AOV15" s="1"/>
      <c r="AOW15" s="1"/>
      <c r="AOX15" s="1"/>
      <c r="AOY15" s="1"/>
      <c r="AOZ15" s="1"/>
      <c r="APA15" s="1"/>
      <c r="APB15" s="1"/>
      <c r="APC15" s="1"/>
      <c r="APD15" s="1"/>
      <c r="APE15" s="1"/>
      <c r="APF15" s="1"/>
      <c r="APG15" s="1"/>
      <c r="APH15" s="1"/>
      <c r="API15" s="1"/>
      <c r="APJ15" s="1"/>
      <c r="APK15" s="1"/>
      <c r="APL15" s="1"/>
      <c r="APM15" s="1"/>
      <c r="APN15" s="1"/>
      <c r="APO15" s="1"/>
      <c r="APP15" s="1"/>
      <c r="APQ15" s="1"/>
      <c r="APR15" s="1"/>
      <c r="APS15" s="1"/>
      <c r="APT15" s="1"/>
      <c r="APU15" s="1"/>
      <c r="APV15" s="1"/>
      <c r="APW15" s="1"/>
      <c r="APX15" s="1"/>
      <c r="APY15" s="1"/>
      <c r="APZ15" s="1"/>
      <c r="AQA15" s="1"/>
      <c r="AQB15" s="1"/>
      <c r="AQC15" s="1"/>
      <c r="AQD15" s="1"/>
      <c r="AQE15" s="1"/>
      <c r="AQF15" s="1"/>
      <c r="AQG15" s="1"/>
      <c r="AQH15" s="1"/>
      <c r="AQI15" s="1"/>
      <c r="AQJ15" s="1"/>
      <c r="AQK15" s="1"/>
      <c r="AQL15" s="1"/>
      <c r="AQM15" s="1"/>
      <c r="AQN15" s="1"/>
      <c r="AQO15" s="1"/>
      <c r="AQP15" s="1"/>
      <c r="AQQ15" s="1"/>
      <c r="AQR15" s="1"/>
      <c r="AQS15" s="1"/>
      <c r="AQT15" s="1"/>
      <c r="AQU15" s="1"/>
      <c r="AQV15" s="1"/>
      <c r="AQW15" s="1"/>
      <c r="AQX15" s="1"/>
      <c r="AQY15" s="1"/>
      <c r="AQZ15" s="1"/>
      <c r="ARA15" s="1"/>
      <c r="ARB15" s="1"/>
      <c r="ARC15" s="1"/>
      <c r="ARD15" s="1"/>
      <c r="ARE15" s="1"/>
      <c r="ARF15" s="1"/>
      <c r="ARG15" s="1"/>
      <c r="ARH15" s="1"/>
      <c r="ARI15" s="1"/>
      <c r="ARJ15" s="1"/>
      <c r="ARK15" s="1"/>
      <c r="ARL15" s="1"/>
      <c r="ARM15" s="1"/>
      <c r="ARN15" s="1"/>
      <c r="ARO15" s="1"/>
      <c r="ARP15" s="1"/>
      <c r="ARQ15" s="1"/>
      <c r="ARR15" s="1"/>
      <c r="ARS15" s="1"/>
      <c r="ART15" s="1"/>
      <c r="ARU15" s="1"/>
      <c r="ARV15" s="1"/>
      <c r="ARW15" s="1"/>
      <c r="ARX15" s="1"/>
      <c r="ARY15" s="1"/>
      <c r="ARZ15" s="1"/>
      <c r="ASA15" s="1"/>
      <c r="ASB15" s="1"/>
      <c r="ASC15" s="1"/>
      <c r="ASD15" s="1"/>
      <c r="ASE15" s="1"/>
      <c r="ASF15" s="1"/>
      <c r="ASG15" s="1"/>
      <c r="ASH15" s="1"/>
      <c r="ASI15" s="1"/>
      <c r="ASJ15" s="1"/>
      <c r="ASK15" s="1"/>
      <c r="ASL15" s="1"/>
      <c r="ASM15" s="1"/>
      <c r="ASN15" s="1"/>
      <c r="ASO15" s="1"/>
      <c r="ASP15" s="1"/>
      <c r="ASQ15" s="1"/>
      <c r="ASR15" s="1"/>
      <c r="ASS15" s="1"/>
      <c r="AST15" s="1"/>
      <c r="ASU15" s="1"/>
      <c r="ASV15" s="1"/>
      <c r="ASW15" s="1"/>
      <c r="ASX15" s="1"/>
      <c r="ASY15" s="1"/>
      <c r="ASZ15" s="1"/>
      <c r="ATA15" s="1"/>
      <c r="ATB15" s="1"/>
      <c r="ATC15" s="1"/>
      <c r="ATD15" s="1"/>
      <c r="ATE15" s="1"/>
      <c r="ATF15" s="1"/>
      <c r="ATG15" s="1"/>
      <c r="ATH15" s="1"/>
      <c r="ATI15" s="1"/>
      <c r="ATJ15" s="1"/>
      <c r="ATK15" s="1"/>
      <c r="ATL15" s="1"/>
      <c r="ATM15" s="1"/>
      <c r="ATN15" s="1"/>
      <c r="ATO15" s="1"/>
      <c r="ATP15" s="1"/>
      <c r="ATQ15" s="1"/>
      <c r="ATR15" s="1"/>
      <c r="ATS15" s="1"/>
      <c r="ATT15" s="1"/>
      <c r="ATU15" s="1"/>
      <c r="ATV15" s="1"/>
      <c r="ATW15" s="1"/>
      <c r="ATX15" s="1"/>
      <c r="ATY15" s="1"/>
      <c r="ATZ15" s="1"/>
      <c r="AUA15" s="1"/>
      <c r="AUB15" s="1"/>
      <c r="AUC15" s="1"/>
      <c r="AUD15" s="1"/>
      <c r="AUE15" s="1"/>
      <c r="AUF15" s="1"/>
      <c r="AUG15" s="1"/>
      <c r="AUH15" s="1"/>
      <c r="AUI15" s="1"/>
      <c r="AUJ15" s="1"/>
      <c r="AUK15" s="1"/>
      <c r="AUL15" s="1"/>
      <c r="AUM15" s="1"/>
      <c r="AUN15" s="1"/>
      <c r="AUO15" s="1"/>
      <c r="AUP15" s="1"/>
      <c r="AUQ15" s="1"/>
      <c r="AUR15" s="1"/>
      <c r="AUS15" s="1"/>
      <c r="AUT15" s="1"/>
      <c r="AUU15" s="1"/>
      <c r="AUV15" s="1"/>
      <c r="AUW15" s="1"/>
      <c r="AUX15" s="1"/>
      <c r="AUY15" s="1"/>
      <c r="AUZ15" s="1"/>
      <c r="AVA15" s="1"/>
      <c r="AVB15" s="1"/>
      <c r="AVC15" s="1"/>
      <c r="AVD15" s="1"/>
      <c r="AVE15" s="1"/>
      <c r="AVF15" s="1"/>
      <c r="AVG15" s="1"/>
      <c r="AVH15" s="1"/>
      <c r="AVI15" s="1"/>
      <c r="AVJ15" s="1"/>
      <c r="AVK15" s="1"/>
      <c r="AVL15" s="1"/>
      <c r="AVM15" s="1"/>
      <c r="AVN15" s="1"/>
      <c r="AVO15" s="1"/>
      <c r="AVP15" s="1"/>
      <c r="AVQ15" s="1"/>
      <c r="AVR15" s="1"/>
      <c r="AVS15" s="1"/>
      <c r="AVT15" s="1"/>
      <c r="AVU15" s="1"/>
      <c r="AVV15" s="1"/>
      <c r="AVW15" s="1"/>
      <c r="AVX15" s="1"/>
      <c r="AVY15" s="1"/>
      <c r="AVZ15" s="1"/>
      <c r="AWA15" s="1"/>
      <c r="AWB15" s="1"/>
      <c r="AWC15" s="1"/>
      <c r="AWD15" s="1"/>
      <c r="AWE15" s="1"/>
      <c r="AWF15" s="1"/>
      <c r="AWG15" s="1"/>
      <c r="AWH15" s="1"/>
      <c r="AWI15" s="1"/>
      <c r="AWJ15" s="1"/>
      <c r="AWK15" s="1"/>
      <c r="AWL15" s="1"/>
      <c r="AWM15" s="1"/>
      <c r="AWN15" s="1"/>
      <c r="AWO15" s="1"/>
      <c r="AWP15" s="1"/>
      <c r="AWQ15" s="1"/>
      <c r="AWR15" s="1"/>
      <c r="AWS15" s="1"/>
      <c r="AWT15" s="1"/>
      <c r="AWU15" s="1"/>
      <c r="AWV15" s="1"/>
      <c r="AWW15" s="1"/>
      <c r="AWX15" s="1"/>
      <c r="AWY15" s="1"/>
      <c r="AWZ15" s="1"/>
      <c r="AXA15" s="1"/>
      <c r="AXB15" s="1"/>
      <c r="AXC15" s="1"/>
      <c r="AXD15" s="1"/>
      <c r="AXE15" s="1"/>
      <c r="AXF15" s="1"/>
      <c r="AXG15" s="1"/>
      <c r="AXH15" s="1"/>
      <c r="AXI15" s="1"/>
      <c r="AXJ15" s="1"/>
      <c r="AXK15" s="1"/>
      <c r="AXL15" s="1"/>
      <c r="AXM15" s="1"/>
      <c r="AXN15" s="1"/>
      <c r="AXO15" s="1"/>
      <c r="AXP15" s="1"/>
      <c r="AXQ15" s="1"/>
      <c r="AXR15" s="1"/>
      <c r="AXS15" s="1"/>
      <c r="AXT15" s="1"/>
      <c r="AXU15" s="1"/>
      <c r="AXV15" s="1"/>
      <c r="AXW15" s="1"/>
      <c r="AXX15" s="1"/>
      <c r="AXY15" s="1"/>
      <c r="AXZ15" s="1"/>
      <c r="AYA15" s="1"/>
      <c r="AYB15" s="1"/>
      <c r="AYC15" s="1"/>
      <c r="AYD15" s="1"/>
      <c r="AYE15" s="1"/>
      <c r="AYF15" s="1"/>
      <c r="AYG15" s="1"/>
      <c r="AYH15" s="1"/>
      <c r="AYI15" s="1"/>
      <c r="AYJ15" s="1"/>
      <c r="AYK15" s="1"/>
      <c r="AYL15" s="1"/>
      <c r="AYM15" s="1"/>
      <c r="AYN15" s="1"/>
      <c r="AYO15" s="1"/>
      <c r="AYP15" s="1"/>
      <c r="AYQ15" s="1"/>
      <c r="AYR15" s="1"/>
      <c r="AYS15" s="1"/>
      <c r="AYT15" s="1"/>
      <c r="AYU15" s="1"/>
      <c r="AYV15" s="1"/>
      <c r="AYW15" s="1"/>
      <c r="AYX15" s="1"/>
      <c r="AYY15" s="1"/>
      <c r="AYZ15" s="1"/>
      <c r="AZA15" s="1"/>
      <c r="AZB15" s="1"/>
      <c r="AZC15" s="1"/>
      <c r="AZD15" s="1"/>
      <c r="AZE15" s="1"/>
      <c r="AZF15" s="1"/>
      <c r="AZG15" s="1"/>
      <c r="AZH15" s="1"/>
      <c r="AZI15" s="1"/>
      <c r="AZJ15" s="1"/>
      <c r="AZK15" s="1"/>
      <c r="AZL15" s="1"/>
      <c r="AZM15" s="1"/>
      <c r="AZN15" s="1"/>
      <c r="AZO15" s="1"/>
      <c r="AZP15" s="1"/>
      <c r="AZQ15" s="1"/>
      <c r="AZR15" s="1"/>
      <c r="AZS15" s="1"/>
      <c r="AZT15" s="1"/>
      <c r="AZU15" s="1"/>
      <c r="AZV15" s="1"/>
      <c r="AZW15" s="1"/>
      <c r="AZX15" s="1"/>
      <c r="AZY15" s="1"/>
      <c r="AZZ15" s="1"/>
      <c r="BAA15" s="1"/>
      <c r="BAB15" s="1"/>
      <c r="BAC15" s="1"/>
      <c r="BAD15" s="1"/>
      <c r="BAE15" s="1"/>
      <c r="BAF15" s="1"/>
      <c r="BAG15" s="1"/>
      <c r="BAH15" s="1"/>
      <c r="BAI15" s="1"/>
      <c r="BAJ15" s="1"/>
      <c r="BAK15" s="1"/>
      <c r="BAL15" s="1"/>
      <c r="BAM15" s="1"/>
      <c r="BAN15" s="1"/>
      <c r="BAO15" s="1"/>
      <c r="BAP15" s="1"/>
      <c r="BAQ15" s="1"/>
      <c r="BAR15" s="1"/>
      <c r="BAS15" s="1"/>
      <c r="BAT15" s="1"/>
      <c r="BAU15" s="1"/>
      <c r="BAV15" s="1"/>
      <c r="BAW15" s="1"/>
      <c r="BAX15" s="1"/>
      <c r="BAY15" s="1"/>
      <c r="BAZ15" s="1"/>
      <c r="BBA15" s="1"/>
      <c r="BBB15" s="1"/>
      <c r="BBC15" s="1"/>
      <c r="BBD15" s="1"/>
      <c r="BBE15" s="1"/>
      <c r="BBF15" s="1"/>
      <c r="BBG15" s="1"/>
      <c r="BBH15" s="1"/>
      <c r="BBI15" s="1"/>
      <c r="BBJ15" s="1"/>
      <c r="BBK15" s="1"/>
      <c r="BBL15" s="1"/>
      <c r="BBM15" s="1"/>
      <c r="BBN15" s="1"/>
      <c r="BBO15" s="1"/>
      <c r="BBP15" s="1"/>
      <c r="BBQ15" s="1"/>
      <c r="BBR15" s="1"/>
      <c r="BBS15" s="1"/>
      <c r="BBT15" s="1"/>
      <c r="BBU15" s="1"/>
      <c r="BBV15" s="1"/>
      <c r="BBW15" s="1"/>
      <c r="BBX15" s="1"/>
      <c r="BBY15" s="1"/>
      <c r="BBZ15" s="1"/>
      <c r="BCA15" s="1"/>
      <c r="BCB15" s="1"/>
      <c r="BCC15" s="1"/>
      <c r="BCD15" s="1"/>
      <c r="BCE15" s="1"/>
      <c r="BCF15" s="1"/>
      <c r="BCG15" s="1"/>
      <c r="BCH15" s="1"/>
      <c r="BCI15" s="1"/>
      <c r="BCJ15" s="1"/>
      <c r="BCK15" s="1"/>
      <c r="BCL15" s="1"/>
      <c r="BCM15" s="1"/>
      <c r="BCN15" s="1"/>
      <c r="BCO15" s="1"/>
      <c r="BCP15" s="1"/>
      <c r="BCQ15" s="1"/>
      <c r="BCR15" s="1"/>
      <c r="BCS15" s="1"/>
      <c r="BCT15" s="1"/>
      <c r="BCU15" s="1"/>
      <c r="BCV15" s="1"/>
      <c r="BCW15" s="1"/>
      <c r="BCX15" s="1"/>
      <c r="BCY15" s="1"/>
      <c r="BCZ15" s="1"/>
      <c r="BDA15" s="1"/>
      <c r="BDB15" s="1"/>
      <c r="BDC15" s="1"/>
      <c r="BDD15" s="1"/>
      <c r="BDE15" s="1"/>
      <c r="BDF15" s="1"/>
      <c r="BDG15" s="1"/>
      <c r="BDH15" s="1"/>
      <c r="BDI15" s="1"/>
      <c r="BDJ15" s="1"/>
      <c r="BDK15" s="1"/>
      <c r="BDL15" s="1"/>
      <c r="BDM15" s="1"/>
    </row>
    <row r="16" spans="1:1469" s="114" customFormat="1" ht="27.65" customHeight="1" x14ac:dyDescent="0.25">
      <c r="A16" s="117"/>
      <c r="B16" s="119" t="s">
        <v>244</v>
      </c>
      <c r="C16" s="118" t="s">
        <v>287</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c r="AML16" s="1"/>
      <c r="AMM16" s="1"/>
      <c r="AMN16" s="1"/>
      <c r="AMO16" s="1"/>
      <c r="AMP16" s="1"/>
      <c r="AMQ16" s="1"/>
      <c r="AMR16" s="1"/>
      <c r="AMS16" s="1"/>
      <c r="AMT16" s="1"/>
      <c r="AMU16" s="1"/>
      <c r="AMV16" s="1"/>
      <c r="AMW16" s="1"/>
      <c r="AMX16" s="1"/>
      <c r="AMY16" s="1"/>
      <c r="AMZ16" s="1"/>
      <c r="ANA16" s="1"/>
      <c r="ANB16" s="1"/>
      <c r="ANC16" s="1"/>
      <c r="AND16" s="1"/>
      <c r="ANE16" s="1"/>
      <c r="ANF16" s="1"/>
      <c r="ANG16" s="1"/>
      <c r="ANH16" s="1"/>
      <c r="ANI16" s="1"/>
      <c r="ANJ16" s="1"/>
      <c r="ANK16" s="1"/>
      <c r="ANL16" s="1"/>
      <c r="ANM16" s="1"/>
      <c r="ANN16" s="1"/>
      <c r="ANO16" s="1"/>
      <c r="ANP16" s="1"/>
      <c r="ANQ16" s="1"/>
      <c r="ANR16" s="1"/>
      <c r="ANS16" s="1"/>
      <c r="ANT16" s="1"/>
      <c r="ANU16" s="1"/>
      <c r="ANV16" s="1"/>
      <c r="ANW16" s="1"/>
      <c r="ANX16" s="1"/>
      <c r="ANY16" s="1"/>
      <c r="ANZ16" s="1"/>
      <c r="AOA16" s="1"/>
      <c r="AOB16" s="1"/>
      <c r="AOC16" s="1"/>
      <c r="AOD16" s="1"/>
      <c r="AOE16" s="1"/>
      <c r="AOF16" s="1"/>
      <c r="AOG16" s="1"/>
      <c r="AOH16" s="1"/>
      <c r="AOI16" s="1"/>
      <c r="AOJ16" s="1"/>
      <c r="AOK16" s="1"/>
      <c r="AOL16" s="1"/>
      <c r="AOM16" s="1"/>
      <c r="AON16" s="1"/>
      <c r="AOO16" s="1"/>
      <c r="AOP16" s="1"/>
      <c r="AOQ16" s="1"/>
      <c r="AOR16" s="1"/>
      <c r="AOS16" s="1"/>
      <c r="AOT16" s="1"/>
      <c r="AOU16" s="1"/>
      <c r="AOV16" s="1"/>
      <c r="AOW16" s="1"/>
      <c r="AOX16" s="1"/>
      <c r="AOY16" s="1"/>
      <c r="AOZ16" s="1"/>
      <c r="APA16" s="1"/>
      <c r="APB16" s="1"/>
      <c r="APC16" s="1"/>
      <c r="APD16" s="1"/>
      <c r="APE16" s="1"/>
      <c r="APF16" s="1"/>
      <c r="APG16" s="1"/>
      <c r="APH16" s="1"/>
      <c r="API16" s="1"/>
      <c r="APJ16" s="1"/>
      <c r="APK16" s="1"/>
      <c r="APL16" s="1"/>
      <c r="APM16" s="1"/>
      <c r="APN16" s="1"/>
      <c r="APO16" s="1"/>
      <c r="APP16" s="1"/>
      <c r="APQ16" s="1"/>
      <c r="APR16" s="1"/>
      <c r="APS16" s="1"/>
      <c r="APT16" s="1"/>
      <c r="APU16" s="1"/>
      <c r="APV16" s="1"/>
      <c r="APW16" s="1"/>
      <c r="APX16" s="1"/>
      <c r="APY16" s="1"/>
      <c r="APZ16" s="1"/>
      <c r="AQA16" s="1"/>
      <c r="AQB16" s="1"/>
      <c r="AQC16" s="1"/>
      <c r="AQD16" s="1"/>
      <c r="AQE16" s="1"/>
      <c r="AQF16" s="1"/>
      <c r="AQG16" s="1"/>
      <c r="AQH16" s="1"/>
      <c r="AQI16" s="1"/>
      <c r="AQJ16" s="1"/>
      <c r="AQK16" s="1"/>
      <c r="AQL16" s="1"/>
      <c r="AQM16" s="1"/>
      <c r="AQN16" s="1"/>
      <c r="AQO16" s="1"/>
      <c r="AQP16" s="1"/>
      <c r="AQQ16" s="1"/>
      <c r="AQR16" s="1"/>
      <c r="AQS16" s="1"/>
      <c r="AQT16" s="1"/>
      <c r="AQU16" s="1"/>
      <c r="AQV16" s="1"/>
      <c r="AQW16" s="1"/>
      <c r="AQX16" s="1"/>
      <c r="AQY16" s="1"/>
      <c r="AQZ16" s="1"/>
      <c r="ARA16" s="1"/>
      <c r="ARB16" s="1"/>
      <c r="ARC16" s="1"/>
      <c r="ARD16" s="1"/>
      <c r="ARE16" s="1"/>
      <c r="ARF16" s="1"/>
      <c r="ARG16" s="1"/>
      <c r="ARH16" s="1"/>
      <c r="ARI16" s="1"/>
      <c r="ARJ16" s="1"/>
      <c r="ARK16" s="1"/>
      <c r="ARL16" s="1"/>
      <c r="ARM16" s="1"/>
      <c r="ARN16" s="1"/>
      <c r="ARO16" s="1"/>
      <c r="ARP16" s="1"/>
      <c r="ARQ16" s="1"/>
      <c r="ARR16" s="1"/>
      <c r="ARS16" s="1"/>
      <c r="ART16" s="1"/>
      <c r="ARU16" s="1"/>
      <c r="ARV16" s="1"/>
      <c r="ARW16" s="1"/>
      <c r="ARX16" s="1"/>
      <c r="ARY16" s="1"/>
      <c r="ARZ16" s="1"/>
      <c r="ASA16" s="1"/>
      <c r="ASB16" s="1"/>
      <c r="ASC16" s="1"/>
      <c r="ASD16" s="1"/>
      <c r="ASE16" s="1"/>
      <c r="ASF16" s="1"/>
      <c r="ASG16" s="1"/>
      <c r="ASH16" s="1"/>
      <c r="ASI16" s="1"/>
      <c r="ASJ16" s="1"/>
      <c r="ASK16" s="1"/>
      <c r="ASL16" s="1"/>
      <c r="ASM16" s="1"/>
      <c r="ASN16" s="1"/>
      <c r="ASO16" s="1"/>
      <c r="ASP16" s="1"/>
      <c r="ASQ16" s="1"/>
      <c r="ASR16" s="1"/>
      <c r="ASS16" s="1"/>
      <c r="AST16" s="1"/>
      <c r="ASU16" s="1"/>
      <c r="ASV16" s="1"/>
      <c r="ASW16" s="1"/>
      <c r="ASX16" s="1"/>
      <c r="ASY16" s="1"/>
      <c r="ASZ16" s="1"/>
      <c r="ATA16" s="1"/>
      <c r="ATB16" s="1"/>
      <c r="ATC16" s="1"/>
      <c r="ATD16" s="1"/>
      <c r="ATE16" s="1"/>
      <c r="ATF16" s="1"/>
      <c r="ATG16" s="1"/>
      <c r="ATH16" s="1"/>
      <c r="ATI16" s="1"/>
      <c r="ATJ16" s="1"/>
      <c r="ATK16" s="1"/>
      <c r="ATL16" s="1"/>
      <c r="ATM16" s="1"/>
      <c r="ATN16" s="1"/>
      <c r="ATO16" s="1"/>
      <c r="ATP16" s="1"/>
      <c r="ATQ16" s="1"/>
      <c r="ATR16" s="1"/>
      <c r="ATS16" s="1"/>
      <c r="ATT16" s="1"/>
      <c r="ATU16" s="1"/>
      <c r="ATV16" s="1"/>
      <c r="ATW16" s="1"/>
      <c r="ATX16" s="1"/>
      <c r="ATY16" s="1"/>
      <c r="ATZ16" s="1"/>
      <c r="AUA16" s="1"/>
      <c r="AUB16" s="1"/>
      <c r="AUC16" s="1"/>
      <c r="AUD16" s="1"/>
      <c r="AUE16" s="1"/>
      <c r="AUF16" s="1"/>
      <c r="AUG16" s="1"/>
      <c r="AUH16" s="1"/>
      <c r="AUI16" s="1"/>
      <c r="AUJ16" s="1"/>
      <c r="AUK16" s="1"/>
      <c r="AUL16" s="1"/>
      <c r="AUM16" s="1"/>
      <c r="AUN16" s="1"/>
      <c r="AUO16" s="1"/>
      <c r="AUP16" s="1"/>
      <c r="AUQ16" s="1"/>
      <c r="AUR16" s="1"/>
      <c r="AUS16" s="1"/>
      <c r="AUT16" s="1"/>
      <c r="AUU16" s="1"/>
      <c r="AUV16" s="1"/>
      <c r="AUW16" s="1"/>
      <c r="AUX16" s="1"/>
      <c r="AUY16" s="1"/>
      <c r="AUZ16" s="1"/>
      <c r="AVA16" s="1"/>
      <c r="AVB16" s="1"/>
      <c r="AVC16" s="1"/>
      <c r="AVD16" s="1"/>
      <c r="AVE16" s="1"/>
      <c r="AVF16" s="1"/>
      <c r="AVG16" s="1"/>
      <c r="AVH16" s="1"/>
      <c r="AVI16" s="1"/>
      <c r="AVJ16" s="1"/>
      <c r="AVK16" s="1"/>
      <c r="AVL16" s="1"/>
      <c r="AVM16" s="1"/>
      <c r="AVN16" s="1"/>
      <c r="AVO16" s="1"/>
      <c r="AVP16" s="1"/>
      <c r="AVQ16" s="1"/>
      <c r="AVR16" s="1"/>
      <c r="AVS16" s="1"/>
      <c r="AVT16" s="1"/>
      <c r="AVU16" s="1"/>
      <c r="AVV16" s="1"/>
      <c r="AVW16" s="1"/>
      <c r="AVX16" s="1"/>
      <c r="AVY16" s="1"/>
      <c r="AVZ16" s="1"/>
      <c r="AWA16" s="1"/>
      <c r="AWB16" s="1"/>
      <c r="AWC16" s="1"/>
      <c r="AWD16" s="1"/>
      <c r="AWE16" s="1"/>
      <c r="AWF16" s="1"/>
      <c r="AWG16" s="1"/>
      <c r="AWH16" s="1"/>
      <c r="AWI16" s="1"/>
      <c r="AWJ16" s="1"/>
      <c r="AWK16" s="1"/>
      <c r="AWL16" s="1"/>
      <c r="AWM16" s="1"/>
      <c r="AWN16" s="1"/>
      <c r="AWO16" s="1"/>
      <c r="AWP16" s="1"/>
      <c r="AWQ16" s="1"/>
      <c r="AWR16" s="1"/>
      <c r="AWS16" s="1"/>
      <c r="AWT16" s="1"/>
      <c r="AWU16" s="1"/>
      <c r="AWV16" s="1"/>
      <c r="AWW16" s="1"/>
      <c r="AWX16" s="1"/>
      <c r="AWY16" s="1"/>
      <c r="AWZ16" s="1"/>
      <c r="AXA16" s="1"/>
      <c r="AXB16" s="1"/>
      <c r="AXC16" s="1"/>
      <c r="AXD16" s="1"/>
      <c r="AXE16" s="1"/>
      <c r="AXF16" s="1"/>
      <c r="AXG16" s="1"/>
      <c r="AXH16" s="1"/>
      <c r="AXI16" s="1"/>
      <c r="AXJ16" s="1"/>
      <c r="AXK16" s="1"/>
      <c r="AXL16" s="1"/>
      <c r="AXM16" s="1"/>
      <c r="AXN16" s="1"/>
      <c r="AXO16" s="1"/>
      <c r="AXP16" s="1"/>
      <c r="AXQ16" s="1"/>
      <c r="AXR16" s="1"/>
      <c r="AXS16" s="1"/>
      <c r="AXT16" s="1"/>
      <c r="AXU16" s="1"/>
      <c r="AXV16" s="1"/>
      <c r="AXW16" s="1"/>
      <c r="AXX16" s="1"/>
      <c r="AXY16" s="1"/>
      <c r="AXZ16" s="1"/>
      <c r="AYA16" s="1"/>
      <c r="AYB16" s="1"/>
      <c r="AYC16" s="1"/>
      <c r="AYD16" s="1"/>
      <c r="AYE16" s="1"/>
      <c r="AYF16" s="1"/>
      <c r="AYG16" s="1"/>
      <c r="AYH16" s="1"/>
      <c r="AYI16" s="1"/>
      <c r="AYJ16" s="1"/>
      <c r="AYK16" s="1"/>
      <c r="AYL16" s="1"/>
      <c r="AYM16" s="1"/>
      <c r="AYN16" s="1"/>
      <c r="AYO16" s="1"/>
      <c r="AYP16" s="1"/>
      <c r="AYQ16" s="1"/>
      <c r="AYR16" s="1"/>
      <c r="AYS16" s="1"/>
      <c r="AYT16" s="1"/>
      <c r="AYU16" s="1"/>
      <c r="AYV16" s="1"/>
      <c r="AYW16" s="1"/>
      <c r="AYX16" s="1"/>
      <c r="AYY16" s="1"/>
      <c r="AYZ16" s="1"/>
      <c r="AZA16" s="1"/>
      <c r="AZB16" s="1"/>
      <c r="AZC16" s="1"/>
      <c r="AZD16" s="1"/>
      <c r="AZE16" s="1"/>
      <c r="AZF16" s="1"/>
      <c r="AZG16" s="1"/>
      <c r="AZH16" s="1"/>
      <c r="AZI16" s="1"/>
      <c r="AZJ16" s="1"/>
      <c r="AZK16" s="1"/>
      <c r="AZL16" s="1"/>
      <c r="AZM16" s="1"/>
      <c r="AZN16" s="1"/>
      <c r="AZO16" s="1"/>
      <c r="AZP16" s="1"/>
      <c r="AZQ16" s="1"/>
      <c r="AZR16" s="1"/>
      <c r="AZS16" s="1"/>
      <c r="AZT16" s="1"/>
      <c r="AZU16" s="1"/>
      <c r="AZV16" s="1"/>
      <c r="AZW16" s="1"/>
      <c r="AZX16" s="1"/>
      <c r="AZY16" s="1"/>
      <c r="AZZ16" s="1"/>
      <c r="BAA16" s="1"/>
      <c r="BAB16" s="1"/>
      <c r="BAC16" s="1"/>
      <c r="BAD16" s="1"/>
      <c r="BAE16" s="1"/>
      <c r="BAF16" s="1"/>
      <c r="BAG16" s="1"/>
      <c r="BAH16" s="1"/>
      <c r="BAI16" s="1"/>
      <c r="BAJ16" s="1"/>
      <c r="BAK16" s="1"/>
      <c r="BAL16" s="1"/>
      <c r="BAM16" s="1"/>
      <c r="BAN16" s="1"/>
      <c r="BAO16" s="1"/>
      <c r="BAP16" s="1"/>
      <c r="BAQ16" s="1"/>
      <c r="BAR16" s="1"/>
      <c r="BAS16" s="1"/>
      <c r="BAT16" s="1"/>
      <c r="BAU16" s="1"/>
      <c r="BAV16" s="1"/>
      <c r="BAW16" s="1"/>
      <c r="BAX16" s="1"/>
      <c r="BAY16" s="1"/>
      <c r="BAZ16" s="1"/>
      <c r="BBA16" s="1"/>
      <c r="BBB16" s="1"/>
      <c r="BBC16" s="1"/>
      <c r="BBD16" s="1"/>
      <c r="BBE16" s="1"/>
      <c r="BBF16" s="1"/>
      <c r="BBG16" s="1"/>
      <c r="BBH16" s="1"/>
      <c r="BBI16" s="1"/>
      <c r="BBJ16" s="1"/>
      <c r="BBK16" s="1"/>
      <c r="BBL16" s="1"/>
      <c r="BBM16" s="1"/>
      <c r="BBN16" s="1"/>
      <c r="BBO16" s="1"/>
      <c r="BBP16" s="1"/>
      <c r="BBQ16" s="1"/>
      <c r="BBR16" s="1"/>
      <c r="BBS16" s="1"/>
      <c r="BBT16" s="1"/>
      <c r="BBU16" s="1"/>
      <c r="BBV16" s="1"/>
      <c r="BBW16" s="1"/>
      <c r="BBX16" s="1"/>
      <c r="BBY16" s="1"/>
      <c r="BBZ16" s="1"/>
      <c r="BCA16" s="1"/>
      <c r="BCB16" s="1"/>
      <c r="BCC16" s="1"/>
      <c r="BCD16" s="1"/>
      <c r="BCE16" s="1"/>
      <c r="BCF16" s="1"/>
      <c r="BCG16" s="1"/>
      <c r="BCH16" s="1"/>
      <c r="BCI16" s="1"/>
      <c r="BCJ16" s="1"/>
      <c r="BCK16" s="1"/>
      <c r="BCL16" s="1"/>
      <c r="BCM16" s="1"/>
      <c r="BCN16" s="1"/>
      <c r="BCO16" s="1"/>
      <c r="BCP16" s="1"/>
      <c r="BCQ16" s="1"/>
      <c r="BCR16" s="1"/>
      <c r="BCS16" s="1"/>
      <c r="BCT16" s="1"/>
      <c r="BCU16" s="1"/>
      <c r="BCV16" s="1"/>
      <c r="BCW16" s="1"/>
      <c r="BCX16" s="1"/>
      <c r="BCY16" s="1"/>
      <c r="BCZ16" s="1"/>
      <c r="BDA16" s="1"/>
      <c r="BDB16" s="1"/>
      <c r="BDC16" s="1"/>
      <c r="BDD16" s="1"/>
      <c r="BDE16" s="1"/>
      <c r="BDF16" s="1"/>
      <c r="BDG16" s="1"/>
      <c r="BDH16" s="1"/>
      <c r="BDI16" s="1"/>
      <c r="BDJ16" s="1"/>
      <c r="BDK16" s="1"/>
      <c r="BDL16" s="1"/>
      <c r="BDM16" s="1"/>
    </row>
    <row r="17" spans="1:3" ht="27.65" customHeight="1" x14ac:dyDescent="0.25">
      <c r="A17" s="80"/>
      <c r="B17" s="81" t="s">
        <v>8</v>
      </c>
      <c r="C17" s="80" t="s">
        <v>129</v>
      </c>
    </row>
    <row r="18" spans="1:3" ht="40.25" customHeight="1" x14ac:dyDescent="0.25"/>
    <row r="19" spans="1:3" ht="40.25" customHeight="1" x14ac:dyDescent="0.25"/>
    <row r="20" spans="1:3" ht="40.25" customHeight="1" x14ac:dyDescent="0.25"/>
    <row r="21" spans="1:3" ht="40.25" customHeight="1" x14ac:dyDescent="0.25"/>
    <row r="22" spans="1:3" ht="40.25" customHeight="1" x14ac:dyDescent="0.25"/>
    <row r="23" spans="1:3" ht="40.25" customHeight="1" x14ac:dyDescent="0.25"/>
    <row r="24" spans="1:3" ht="40.25" customHeight="1" x14ac:dyDescent="0.25"/>
    <row r="25" spans="1:3" ht="40.25" customHeight="1" x14ac:dyDescent="0.25"/>
    <row r="26" spans="1:3" ht="40.25" customHeight="1" x14ac:dyDescent="0.25"/>
    <row r="27" spans="1:3" ht="40.25" customHeight="1" x14ac:dyDescent="0.25"/>
    <row r="28" spans="1:3" ht="40.25" customHeight="1" x14ac:dyDescent="0.25"/>
    <row r="29" spans="1:3" ht="40.25" customHeight="1" x14ac:dyDescent="0.25"/>
    <row r="30" spans="1:3" ht="40.25" customHeight="1" x14ac:dyDescent="0.25"/>
    <row r="31" spans="1:3" ht="40.25" customHeight="1" x14ac:dyDescent="0.25"/>
    <row r="32" spans="1:3" ht="40.25" customHeight="1" x14ac:dyDescent="0.25"/>
    <row r="33" ht="40.25" customHeight="1" x14ac:dyDescent="0.25"/>
    <row r="34" ht="40.25" customHeight="1" x14ac:dyDescent="0.25"/>
    <row r="35" ht="40.25" customHeight="1" x14ac:dyDescent="0.25"/>
    <row r="36" ht="40.25" customHeight="1" x14ac:dyDescent="0.25"/>
    <row r="37" ht="40.25" customHeight="1" x14ac:dyDescent="0.25"/>
    <row r="38" ht="40.25" customHeight="1" x14ac:dyDescent="0.25"/>
    <row r="39" ht="40.25" customHeight="1" x14ac:dyDescent="0.25"/>
  </sheetData>
  <hyperlinks>
    <hyperlink ref="B5" location="Inflation!A1" display="Inflation" xr:uid="{00000000-0004-0000-0100-000000000000}"/>
    <hyperlink ref="B8" location="'RAB inputs'!A1" display="RAB inputs" xr:uid="{00000000-0004-0000-0100-000001000000}"/>
    <hyperlink ref="B12" location="'RAB - NB'!A1" display="RAB" xr:uid="{00000000-0004-0000-0100-000002000000}"/>
    <hyperlink ref="B13" location="'RAB - Build'!A1" display="RAB - Build" xr:uid="{00000000-0004-0000-0100-000003000000}"/>
    <hyperlink ref="B17" location="Return!A1" display="Return" xr:uid="{00000000-0004-0000-0100-000004000000}"/>
    <hyperlink ref="B7" location="'Post FD Inputs'!A1" display="Post FD Inputs" xr:uid="{00000000-0004-0000-0100-000005000000}"/>
    <hyperlink ref="B6" location="'FD Allowances'!A1" display="FD Allowances" xr:uid="{00000000-0004-0000-0100-000007000000}"/>
    <hyperlink ref="B11" location="'Cost Sharing'!A1" display="RAB - NB" xr:uid="{00000000-0004-0000-0100-000008000000}"/>
    <hyperlink ref="B16" location="'RAB Summary (from 2010)'!A1" display="RAB Summary (from 2010)" xr:uid="{00000000-0004-0000-0100-000009000000}"/>
    <hyperlink ref="B15" location="'RAB Summary (2020-27)'!A1" display="RAB Summary (2020-27)" xr:uid="{4484283A-E216-40E2-9CF0-68992BD05B6F}"/>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
  <sheetViews>
    <sheetView showGridLines="0"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T162"/>
  <sheetViews>
    <sheetView showGridLines="0" zoomScale="85" zoomScaleNormal="85" workbookViewId="0">
      <selection activeCell="B28" sqref="B28"/>
    </sheetView>
  </sheetViews>
  <sheetFormatPr defaultColWidth="9.08984375" defaultRowHeight="12.5" x14ac:dyDescent="0.25"/>
  <cols>
    <col min="1" max="1" width="56.36328125" style="1" customWidth="1"/>
    <col min="2" max="2" width="17.453125" style="1" customWidth="1"/>
    <col min="3" max="3" width="15.36328125" style="5" customWidth="1"/>
    <col min="4" max="4" width="10.54296875" style="1" customWidth="1"/>
    <col min="5" max="18" width="10.54296875" style="5" customWidth="1"/>
    <col min="19" max="19" width="9.08984375" style="5"/>
    <col min="20" max="16384" width="9.08984375" style="1"/>
  </cols>
  <sheetData>
    <row r="1" spans="1:20" ht="13" x14ac:dyDescent="0.3">
      <c r="A1" s="7" t="s">
        <v>12</v>
      </c>
      <c r="B1" s="8"/>
      <c r="D1" s="5"/>
      <c r="S1" s="1"/>
    </row>
    <row r="2" spans="1:20" ht="13" x14ac:dyDescent="0.3">
      <c r="A2" s="2"/>
      <c r="B2" s="9" t="s">
        <v>10</v>
      </c>
      <c r="D2" s="17" t="s">
        <v>15</v>
      </c>
      <c r="E2" s="17" t="s">
        <v>16</v>
      </c>
      <c r="F2" s="17" t="s">
        <v>17</v>
      </c>
      <c r="G2" s="17" t="s">
        <v>18</v>
      </c>
      <c r="H2" s="17" t="s">
        <v>19</v>
      </c>
      <c r="I2" s="17" t="s">
        <v>20</v>
      </c>
      <c r="J2" s="17" t="s">
        <v>21</v>
      </c>
      <c r="K2" s="17" t="s">
        <v>22</v>
      </c>
      <c r="L2" s="17" t="s">
        <v>23</v>
      </c>
      <c r="M2" s="17" t="s">
        <v>24</v>
      </c>
      <c r="N2" s="17" t="s">
        <v>26</v>
      </c>
      <c r="O2" s="17" t="s">
        <v>27</v>
      </c>
      <c r="P2" s="17" t="s">
        <v>28</v>
      </c>
      <c r="Q2" s="17" t="s">
        <v>29</v>
      </c>
      <c r="R2" s="17" t="s">
        <v>34</v>
      </c>
      <c r="S2" s="17" t="s">
        <v>268</v>
      </c>
      <c r="T2" s="17" t="s">
        <v>275</v>
      </c>
    </row>
    <row r="3" spans="1:20" x14ac:dyDescent="0.25">
      <c r="A3" s="2" t="s">
        <v>13</v>
      </c>
      <c r="B3" s="6" t="s">
        <v>11</v>
      </c>
      <c r="D3" s="5">
        <v>93.3</v>
      </c>
      <c r="E3" s="5">
        <v>95.9</v>
      </c>
      <c r="F3" s="5">
        <v>98</v>
      </c>
      <c r="G3" s="5">
        <v>99.6</v>
      </c>
      <c r="H3" s="5">
        <v>99.9</v>
      </c>
      <c r="I3" s="5">
        <v>100.6</v>
      </c>
      <c r="J3" s="5">
        <v>103.2</v>
      </c>
      <c r="K3" s="5">
        <v>105.5</v>
      </c>
      <c r="L3" s="5">
        <v>107.6</v>
      </c>
      <c r="M3" s="5">
        <v>108.6</v>
      </c>
      <c r="N3" s="123">
        <v>110.4</v>
      </c>
      <c r="O3" s="123">
        <v>119</v>
      </c>
      <c r="P3" s="123">
        <v>128.30000000000001</v>
      </c>
      <c r="Q3" s="123">
        <v>132.19999999999999</v>
      </c>
      <c r="R3" s="55">
        <v>134.3152</v>
      </c>
      <c r="S3" s="55">
        <v>138.7201798991492</v>
      </c>
      <c r="T3" s="55">
        <v>141.66611758385281</v>
      </c>
    </row>
    <row r="4" spans="1:20" x14ac:dyDescent="0.25">
      <c r="A4" s="2" t="s">
        <v>241</v>
      </c>
      <c r="B4" s="6"/>
      <c r="D4" s="91">
        <f>D3/$L$3</f>
        <v>0.86710037174721188</v>
      </c>
      <c r="E4" s="91">
        <f t="shared" ref="E4:K4" si="0">E3/$L$3</f>
        <v>0.89126394052044622</v>
      </c>
      <c r="F4" s="91">
        <f t="shared" si="0"/>
        <v>0.91078066914498146</v>
      </c>
      <c r="G4" s="91">
        <f t="shared" si="0"/>
        <v>0.92565055762081783</v>
      </c>
      <c r="H4" s="91">
        <f t="shared" si="0"/>
        <v>0.92843866171003731</v>
      </c>
      <c r="I4" s="91">
        <f t="shared" si="0"/>
        <v>0.93494423791821557</v>
      </c>
      <c r="J4" s="91">
        <f t="shared" si="0"/>
        <v>0.9591078066914499</v>
      </c>
      <c r="K4" s="91">
        <f t="shared" si="0"/>
        <v>0.98048327137546476</v>
      </c>
      <c r="L4" s="91">
        <f>L3/$L$3</f>
        <v>1</v>
      </c>
      <c r="M4" s="91">
        <f t="shared" ref="M4:T4" si="1">M3/$L$3</f>
        <v>1.0092936802973977</v>
      </c>
      <c r="N4" s="91">
        <f t="shared" si="1"/>
        <v>1.0260223048327139</v>
      </c>
      <c r="O4" s="91">
        <f t="shared" si="1"/>
        <v>1.1059479553903346</v>
      </c>
      <c r="P4" s="91">
        <f t="shared" si="1"/>
        <v>1.192379182156134</v>
      </c>
      <c r="Q4" s="91">
        <f t="shared" si="1"/>
        <v>1.228624535315985</v>
      </c>
      <c r="R4" s="91">
        <f t="shared" si="1"/>
        <v>1.248282527881041</v>
      </c>
      <c r="S4" s="91">
        <f t="shared" si="1"/>
        <v>1.2892210027801971</v>
      </c>
      <c r="T4" s="91">
        <f t="shared" si="1"/>
        <v>1.3165996057978886</v>
      </c>
    </row>
    <row r="5" spans="1:20" x14ac:dyDescent="0.25">
      <c r="A5" s="2"/>
      <c r="B5" s="6"/>
      <c r="D5" s="5"/>
      <c r="E5" s="54"/>
      <c r="F5" s="54"/>
      <c r="G5" s="54"/>
      <c r="H5" s="54"/>
      <c r="I5" s="54"/>
      <c r="J5" s="54"/>
      <c r="K5" s="54"/>
      <c r="L5" s="54"/>
      <c r="M5" s="54"/>
      <c r="N5" s="54"/>
      <c r="O5" s="54"/>
      <c r="P5" s="54"/>
      <c r="Q5" s="54"/>
      <c r="R5" s="54"/>
      <c r="S5" s="1"/>
    </row>
    <row r="6" spans="1:20" ht="13" x14ac:dyDescent="0.3">
      <c r="A6" s="2"/>
      <c r="B6" s="9"/>
      <c r="D6" s="17" t="s">
        <v>15</v>
      </c>
      <c r="E6" s="17" t="s">
        <v>16</v>
      </c>
      <c r="F6" s="17" t="s">
        <v>17</v>
      </c>
      <c r="G6" s="17" t="s">
        <v>18</v>
      </c>
      <c r="H6" s="17" t="s">
        <v>19</v>
      </c>
      <c r="I6" s="17" t="s">
        <v>20</v>
      </c>
      <c r="J6" s="17" t="s">
        <v>21</v>
      </c>
      <c r="K6" s="17" t="s">
        <v>22</v>
      </c>
      <c r="L6" s="17" t="s">
        <v>23</v>
      </c>
      <c r="M6" s="17" t="s">
        <v>24</v>
      </c>
      <c r="N6" s="17" t="s">
        <v>26</v>
      </c>
      <c r="O6" s="17" t="s">
        <v>27</v>
      </c>
      <c r="P6" s="17" t="s">
        <v>28</v>
      </c>
      <c r="Q6" s="17" t="s">
        <v>29</v>
      </c>
      <c r="R6" s="17" t="s">
        <v>34</v>
      </c>
      <c r="S6" s="17" t="s">
        <v>268</v>
      </c>
      <c r="T6" s="17" t="s">
        <v>275</v>
      </c>
    </row>
    <row r="7" spans="1:20" x14ac:dyDescent="0.25">
      <c r="A7" s="2" t="s">
        <v>14</v>
      </c>
      <c r="B7" s="6" t="s">
        <v>11</v>
      </c>
      <c r="D7" s="5">
        <v>234.4</v>
      </c>
      <c r="E7" s="5">
        <v>242.5</v>
      </c>
      <c r="F7" s="5">
        <v>249.5</v>
      </c>
      <c r="G7" s="5">
        <v>255.7</v>
      </c>
      <c r="H7" s="5">
        <v>258</v>
      </c>
      <c r="I7" s="5">
        <v>261.39999999999998</v>
      </c>
      <c r="J7" s="5">
        <v>270.60000000000002</v>
      </c>
      <c r="K7" s="5">
        <v>279.7</v>
      </c>
      <c r="L7" s="5">
        <v>288.2</v>
      </c>
      <c r="M7" s="5">
        <v>292.60000000000002</v>
      </c>
      <c r="N7" s="123">
        <v>301.10000000000002</v>
      </c>
      <c r="O7" s="55"/>
      <c r="P7" s="55"/>
      <c r="Q7" s="55"/>
      <c r="R7" s="55"/>
      <c r="S7" s="1"/>
    </row>
    <row r="8" spans="1:20" x14ac:dyDescent="0.25">
      <c r="A8" s="2" t="s">
        <v>242</v>
      </c>
      <c r="B8" s="6"/>
      <c r="D8" s="91">
        <f>D7/$G$7</f>
        <v>0.9166992569417286</v>
      </c>
      <c r="E8" s="91">
        <f t="shared" ref="E8:N8" si="2">E7/$G$7</f>
        <v>0.9483770043019164</v>
      </c>
      <c r="F8" s="91">
        <f t="shared" si="2"/>
        <v>0.97575283535393043</v>
      </c>
      <c r="G8" s="91">
        <f t="shared" si="2"/>
        <v>1</v>
      </c>
      <c r="H8" s="91">
        <f t="shared" si="2"/>
        <v>1.0089949159170903</v>
      </c>
      <c r="I8" s="91">
        <f t="shared" si="2"/>
        <v>1.0222917481423544</v>
      </c>
      <c r="J8" s="91">
        <f t="shared" si="2"/>
        <v>1.0582714118107157</v>
      </c>
      <c r="K8" s="91">
        <f t="shared" si="2"/>
        <v>1.0938599921783341</v>
      </c>
      <c r="L8" s="91">
        <f t="shared" si="2"/>
        <v>1.127102072741494</v>
      </c>
      <c r="M8" s="91">
        <f t="shared" si="2"/>
        <v>1.1443097379741887</v>
      </c>
      <c r="N8" s="91">
        <f t="shared" si="2"/>
        <v>1.1775518185373486</v>
      </c>
      <c r="O8" s="91"/>
      <c r="P8" s="91"/>
      <c r="Q8" s="91"/>
      <c r="R8" s="91"/>
      <c r="S8" s="1"/>
    </row>
    <row r="9" spans="1:20" x14ac:dyDescent="0.25">
      <c r="B9" s="5"/>
      <c r="D9" s="5"/>
      <c r="S9" s="1"/>
    </row>
    <row r="10" spans="1:20" ht="13" x14ac:dyDescent="0.3">
      <c r="A10" s="10" t="s">
        <v>180</v>
      </c>
      <c r="B10" s="6"/>
      <c r="D10" s="5"/>
      <c r="S10" s="1"/>
    </row>
    <row r="11" spans="1:20" ht="13" x14ac:dyDescent="0.3">
      <c r="A11" s="2" t="s">
        <v>269</v>
      </c>
      <c r="B11" s="6" t="s">
        <v>25</v>
      </c>
      <c r="C11" s="15" t="s">
        <v>273</v>
      </c>
      <c r="D11" s="5"/>
      <c r="S11" s="1"/>
    </row>
    <row r="13" spans="1:20" ht="13" x14ac:dyDescent="0.3">
      <c r="A13" s="16" t="s">
        <v>30</v>
      </c>
      <c r="C13" s="92">
        <f>(M7/G7)/(M3/L3)</f>
        <v>1.1337728158933951</v>
      </c>
    </row>
    <row r="17" spans="1:19" x14ac:dyDescent="0.25">
      <c r="A17" s="5"/>
      <c r="B17" s="5"/>
      <c r="D17" s="5"/>
      <c r="M17" s="1"/>
      <c r="N17" s="1"/>
      <c r="O17" s="1"/>
      <c r="P17" s="1"/>
      <c r="Q17" s="1"/>
      <c r="R17" s="1"/>
      <c r="S17" s="1"/>
    </row>
    <row r="18" spans="1:19" x14ac:dyDescent="0.25">
      <c r="A18" s="5"/>
      <c r="B18" s="5"/>
      <c r="D18" s="5"/>
      <c r="M18" s="1"/>
      <c r="N18" s="1"/>
      <c r="O18" s="1"/>
      <c r="P18" s="1"/>
      <c r="Q18" s="1"/>
      <c r="R18" s="1"/>
      <c r="S18" s="1"/>
    </row>
    <row r="19" spans="1:19" x14ac:dyDescent="0.25">
      <c r="A19" s="5"/>
      <c r="B19" s="5"/>
      <c r="D19" s="5"/>
      <c r="M19" s="1"/>
      <c r="N19" s="1"/>
      <c r="O19" s="1"/>
      <c r="P19" s="1"/>
      <c r="Q19" s="1"/>
      <c r="R19" s="1"/>
      <c r="S19" s="1"/>
    </row>
    <row r="20" spans="1:19" x14ac:dyDescent="0.25">
      <c r="A20" s="5"/>
      <c r="B20" s="5"/>
      <c r="D20" s="5"/>
      <c r="M20" s="1"/>
      <c r="N20" s="1"/>
      <c r="O20" s="1"/>
      <c r="P20" s="1"/>
      <c r="Q20" s="1"/>
      <c r="R20" s="1"/>
      <c r="S20" s="1"/>
    </row>
    <row r="21" spans="1:19" x14ac:dyDescent="0.25">
      <c r="A21" s="5"/>
      <c r="B21" s="5"/>
      <c r="D21" s="5"/>
      <c r="M21" s="1"/>
      <c r="N21" s="1"/>
      <c r="O21" s="1"/>
      <c r="P21" s="1"/>
      <c r="Q21" s="1"/>
      <c r="R21" s="1"/>
      <c r="S21" s="1"/>
    </row>
    <row r="22" spans="1:19" x14ac:dyDescent="0.25">
      <c r="A22" s="5"/>
      <c r="B22" s="5"/>
      <c r="D22" s="5"/>
      <c r="M22" s="1"/>
      <c r="N22" s="1"/>
      <c r="O22" s="1"/>
      <c r="P22" s="1"/>
      <c r="Q22" s="1"/>
      <c r="R22" s="1"/>
      <c r="S22" s="1"/>
    </row>
    <row r="23" spans="1:19" x14ac:dyDescent="0.25">
      <c r="A23" s="5"/>
      <c r="B23" s="5"/>
      <c r="D23" s="5"/>
      <c r="M23" s="1"/>
      <c r="N23" s="1"/>
      <c r="O23" s="1"/>
      <c r="P23" s="1"/>
      <c r="Q23" s="1"/>
      <c r="R23" s="1"/>
      <c r="S23" s="1"/>
    </row>
    <row r="24" spans="1:19" x14ac:dyDescent="0.25">
      <c r="C24" s="1"/>
      <c r="E24" s="1"/>
      <c r="F24" s="1"/>
      <c r="G24" s="1"/>
      <c r="H24" s="1"/>
      <c r="I24" s="1"/>
      <c r="J24" s="1"/>
      <c r="K24" s="1"/>
      <c r="L24" s="1"/>
      <c r="M24" s="1"/>
      <c r="N24" s="1"/>
      <c r="O24" s="1"/>
      <c r="P24" s="1"/>
      <c r="Q24" s="1"/>
      <c r="R24" s="1"/>
      <c r="S24" s="1"/>
    </row>
    <row r="25" spans="1:19" x14ac:dyDescent="0.25">
      <c r="C25" s="1"/>
      <c r="E25" s="1"/>
      <c r="F25" s="1"/>
      <c r="G25" s="1"/>
      <c r="H25" s="1"/>
      <c r="I25" s="1"/>
      <c r="J25" s="1"/>
      <c r="K25" s="1"/>
      <c r="L25" s="1"/>
      <c r="M25" s="1"/>
      <c r="N25" s="1"/>
      <c r="O25" s="1"/>
      <c r="P25" s="1"/>
      <c r="Q25" s="1"/>
      <c r="R25" s="1"/>
      <c r="S25" s="1"/>
    </row>
    <row r="26" spans="1:19" x14ac:dyDescent="0.25">
      <c r="C26" s="1"/>
      <c r="E26" s="1"/>
      <c r="F26" s="1"/>
      <c r="G26" s="1"/>
      <c r="H26" s="1"/>
      <c r="I26" s="1"/>
      <c r="J26" s="1"/>
      <c r="K26" s="1"/>
      <c r="L26" s="1"/>
      <c r="M26" s="1"/>
      <c r="N26" s="1"/>
      <c r="O26" s="1"/>
      <c r="P26" s="1"/>
      <c r="Q26" s="1"/>
      <c r="R26" s="1"/>
      <c r="S26" s="1"/>
    </row>
    <row r="27" spans="1:19" x14ac:dyDescent="0.25">
      <c r="C27" s="1"/>
      <c r="E27" s="1"/>
      <c r="F27" s="1"/>
      <c r="G27" s="1"/>
      <c r="H27" s="1"/>
      <c r="I27" s="1"/>
      <c r="J27" s="1"/>
      <c r="K27" s="1"/>
      <c r="L27" s="1"/>
      <c r="M27" s="1"/>
      <c r="N27" s="1"/>
      <c r="O27" s="1"/>
      <c r="P27" s="1"/>
      <c r="Q27" s="1"/>
      <c r="R27" s="1"/>
      <c r="S27" s="1"/>
    </row>
    <row r="28" spans="1:19" x14ac:dyDescent="0.25">
      <c r="C28" s="1"/>
      <c r="E28" s="1"/>
      <c r="F28" s="1"/>
      <c r="G28" s="1"/>
      <c r="H28" s="1"/>
      <c r="I28" s="1"/>
      <c r="J28" s="1"/>
      <c r="K28" s="1"/>
      <c r="L28" s="1"/>
      <c r="M28" s="1"/>
      <c r="N28" s="1"/>
      <c r="O28" s="1"/>
      <c r="P28" s="1"/>
      <c r="Q28" s="1"/>
      <c r="R28" s="1"/>
      <c r="S28" s="1"/>
    </row>
    <row r="29" spans="1:19" x14ac:dyDescent="0.25">
      <c r="C29" s="1"/>
      <c r="E29" s="1"/>
      <c r="F29" s="1"/>
      <c r="G29" s="1"/>
      <c r="H29" s="1"/>
      <c r="I29" s="1"/>
      <c r="J29" s="1"/>
      <c r="K29" s="1"/>
      <c r="L29" s="1"/>
      <c r="M29" s="1"/>
      <c r="N29" s="1"/>
      <c r="O29" s="1"/>
      <c r="P29" s="1"/>
      <c r="Q29" s="1"/>
      <c r="R29" s="1"/>
      <c r="S29" s="1"/>
    </row>
    <row r="30" spans="1:19" x14ac:dyDescent="0.25">
      <c r="C30" s="1"/>
      <c r="E30" s="1"/>
      <c r="F30" s="1"/>
      <c r="G30" s="1"/>
      <c r="H30" s="1"/>
      <c r="I30" s="1"/>
      <c r="J30" s="1"/>
      <c r="K30" s="1"/>
      <c r="L30" s="1"/>
      <c r="M30" s="1"/>
      <c r="N30" s="1"/>
      <c r="O30" s="1"/>
      <c r="P30" s="1"/>
      <c r="Q30" s="1"/>
      <c r="R30" s="1"/>
      <c r="S30" s="1"/>
    </row>
    <row r="31" spans="1:19" x14ac:dyDescent="0.25">
      <c r="C31" s="1"/>
      <c r="E31" s="1"/>
      <c r="F31" s="1"/>
      <c r="G31" s="1"/>
      <c r="H31" s="1"/>
      <c r="I31" s="1"/>
      <c r="J31" s="1"/>
      <c r="K31" s="1"/>
      <c r="L31" s="1"/>
      <c r="M31" s="1"/>
      <c r="N31" s="1"/>
      <c r="O31" s="1"/>
      <c r="P31" s="1"/>
      <c r="Q31" s="1"/>
      <c r="R31" s="1"/>
      <c r="S31" s="1"/>
    </row>
    <row r="32" spans="1:19" ht="15" customHeight="1" x14ac:dyDescent="0.25">
      <c r="C32" s="1"/>
      <c r="E32" s="1"/>
      <c r="F32" s="1"/>
      <c r="G32" s="1"/>
      <c r="H32" s="1"/>
      <c r="I32" s="1"/>
      <c r="J32" s="1"/>
      <c r="K32" s="1"/>
      <c r="L32" s="1"/>
      <c r="M32" s="1"/>
      <c r="N32" s="1"/>
      <c r="O32" s="1"/>
      <c r="P32" s="1"/>
      <c r="Q32" s="1"/>
      <c r="R32" s="1"/>
      <c r="S32" s="1"/>
    </row>
    <row r="33" spans="1:19" x14ac:dyDescent="0.25">
      <c r="C33" s="1"/>
      <c r="E33" s="1"/>
      <c r="F33" s="1"/>
      <c r="G33" s="1"/>
      <c r="H33" s="1"/>
      <c r="I33" s="1"/>
      <c r="J33" s="1"/>
      <c r="K33" s="1"/>
      <c r="L33" s="1"/>
      <c r="M33" s="1"/>
      <c r="N33" s="1"/>
      <c r="O33" s="1"/>
      <c r="P33" s="1"/>
      <c r="Q33" s="1"/>
      <c r="R33" s="1"/>
      <c r="S33" s="1"/>
    </row>
    <row r="34" spans="1:19" ht="15" customHeight="1" x14ac:dyDescent="0.25">
      <c r="C34" s="1"/>
      <c r="E34" s="1"/>
      <c r="F34" s="1"/>
      <c r="G34" s="1"/>
      <c r="H34" s="1"/>
      <c r="I34" s="1"/>
      <c r="J34" s="1"/>
      <c r="K34" s="1"/>
      <c r="L34" s="1"/>
      <c r="M34" s="1"/>
      <c r="N34" s="1"/>
      <c r="O34" s="1"/>
      <c r="P34" s="1"/>
      <c r="Q34" s="1"/>
      <c r="R34" s="1"/>
      <c r="S34" s="1"/>
    </row>
    <row r="35" spans="1:19" x14ac:dyDescent="0.25">
      <c r="C35" s="1"/>
      <c r="E35" s="1"/>
      <c r="F35" s="1"/>
      <c r="G35" s="1"/>
      <c r="H35" s="1"/>
      <c r="I35" s="1"/>
      <c r="J35" s="1"/>
      <c r="K35" s="1"/>
      <c r="L35" s="1"/>
      <c r="M35" s="1"/>
      <c r="N35" s="1"/>
      <c r="O35" s="1"/>
      <c r="P35" s="1"/>
      <c r="Q35" s="1"/>
      <c r="R35" s="1"/>
      <c r="S35" s="1"/>
    </row>
    <row r="36" spans="1:19" ht="15" customHeight="1" x14ac:dyDescent="0.25">
      <c r="C36" s="1"/>
      <c r="E36" s="1"/>
      <c r="F36" s="1"/>
      <c r="G36" s="1"/>
      <c r="H36" s="1"/>
      <c r="I36" s="1"/>
      <c r="J36" s="1"/>
      <c r="K36" s="1"/>
      <c r="L36" s="1"/>
      <c r="M36" s="1"/>
      <c r="N36" s="1"/>
      <c r="O36" s="1"/>
      <c r="P36" s="1"/>
      <c r="Q36" s="1"/>
      <c r="R36" s="1"/>
      <c r="S36" s="1"/>
    </row>
    <row r="37" spans="1:19" x14ac:dyDescent="0.25">
      <c r="C37" s="1"/>
      <c r="E37" s="1"/>
      <c r="F37" s="1"/>
      <c r="G37" s="1"/>
      <c r="H37" s="1"/>
      <c r="I37" s="1"/>
      <c r="J37" s="1"/>
      <c r="K37" s="1"/>
      <c r="L37" s="1"/>
      <c r="M37" s="1"/>
      <c r="N37" s="1"/>
      <c r="O37" s="1"/>
      <c r="P37" s="1"/>
      <c r="Q37" s="1"/>
      <c r="R37" s="1"/>
      <c r="S37" s="1"/>
    </row>
    <row r="38" spans="1:19" x14ac:dyDescent="0.25">
      <c r="A38" s="5"/>
      <c r="B38" s="5"/>
      <c r="D38" s="5"/>
      <c r="M38" s="1"/>
      <c r="N38" s="1"/>
      <c r="O38" s="1"/>
      <c r="P38" s="1"/>
      <c r="Q38" s="1"/>
      <c r="R38" s="1"/>
      <c r="S38" s="1"/>
    </row>
    <row r="39" spans="1:19" x14ac:dyDescent="0.25">
      <c r="A39" s="5"/>
      <c r="B39" s="5"/>
      <c r="D39" s="5"/>
      <c r="M39" s="1"/>
      <c r="N39" s="1"/>
      <c r="O39" s="1"/>
      <c r="P39" s="1"/>
      <c r="Q39" s="1"/>
      <c r="R39" s="1"/>
      <c r="S39" s="1"/>
    </row>
    <row r="40" spans="1:19" x14ac:dyDescent="0.25">
      <c r="A40" s="5"/>
      <c r="B40" s="5"/>
      <c r="D40" s="5"/>
      <c r="F40" s="11"/>
      <c r="J40" s="12"/>
      <c r="M40" s="1"/>
      <c r="N40" s="1"/>
      <c r="O40" s="1"/>
      <c r="P40" s="1"/>
      <c r="Q40" s="1"/>
      <c r="R40" s="1"/>
      <c r="S40" s="1"/>
    </row>
    <row r="41" spans="1:19" x14ac:dyDescent="0.25">
      <c r="A41" s="4"/>
      <c r="B41" s="5"/>
      <c r="D41" s="5"/>
      <c r="M41" s="1"/>
      <c r="N41" s="1"/>
      <c r="O41" s="1"/>
      <c r="P41" s="1"/>
      <c r="Q41" s="1"/>
      <c r="R41" s="1"/>
      <c r="S41" s="1"/>
    </row>
    <row r="42" spans="1:19" x14ac:dyDescent="0.25">
      <c r="A42" s="4"/>
      <c r="B42" s="13"/>
      <c r="D42" s="5"/>
      <c r="M42" s="1"/>
      <c r="N42" s="1"/>
      <c r="O42" s="1"/>
      <c r="P42" s="1"/>
      <c r="Q42" s="1"/>
      <c r="R42" s="1"/>
      <c r="S42" s="1"/>
    </row>
    <row r="43" spans="1:19" x14ac:dyDescent="0.25">
      <c r="A43" s="5"/>
      <c r="B43" s="5"/>
      <c r="D43" s="5"/>
      <c r="M43" s="1"/>
      <c r="N43" s="1"/>
      <c r="O43" s="1"/>
      <c r="P43" s="1"/>
      <c r="Q43" s="1"/>
      <c r="R43" s="1"/>
      <c r="S43" s="1"/>
    </row>
    <row r="44" spans="1:19" x14ac:dyDescent="0.25">
      <c r="A44" s="5"/>
      <c r="B44" s="5"/>
      <c r="D44" s="5"/>
      <c r="M44" s="1"/>
      <c r="N44" s="1"/>
      <c r="O44" s="1"/>
      <c r="P44" s="1"/>
      <c r="Q44" s="1"/>
      <c r="R44" s="1"/>
      <c r="S44" s="1"/>
    </row>
    <row r="45" spans="1:19" x14ac:dyDescent="0.25">
      <c r="A45" s="5"/>
      <c r="B45" s="5"/>
      <c r="D45" s="5"/>
      <c r="M45" s="1"/>
      <c r="N45" s="1"/>
      <c r="O45" s="1"/>
      <c r="P45" s="1"/>
      <c r="Q45" s="1"/>
      <c r="R45" s="1"/>
      <c r="S45" s="1"/>
    </row>
    <row r="46" spans="1:19" x14ac:dyDescent="0.25">
      <c r="A46" s="5"/>
      <c r="B46" s="5"/>
      <c r="D46" s="5"/>
      <c r="M46" s="1"/>
      <c r="N46" s="1"/>
      <c r="O46" s="1"/>
      <c r="P46" s="1"/>
      <c r="Q46" s="1"/>
      <c r="R46" s="1"/>
      <c r="S46" s="1"/>
    </row>
    <row r="47" spans="1:19" x14ac:dyDescent="0.25">
      <c r="A47" s="5"/>
      <c r="B47" s="5"/>
      <c r="D47" s="5"/>
      <c r="M47" s="1"/>
      <c r="N47" s="1"/>
      <c r="O47" s="1"/>
      <c r="P47" s="1"/>
      <c r="Q47" s="1"/>
      <c r="R47" s="1"/>
      <c r="S47" s="1"/>
    </row>
    <row r="48" spans="1:19" x14ac:dyDescent="0.25">
      <c r="A48" s="5"/>
      <c r="B48" s="5"/>
      <c r="D48" s="5"/>
      <c r="M48" s="1"/>
      <c r="N48" s="1"/>
      <c r="O48" s="1"/>
      <c r="P48" s="1"/>
      <c r="Q48" s="1"/>
      <c r="R48" s="1"/>
      <c r="S48" s="1"/>
    </row>
    <row r="49" spans="1:19" x14ac:dyDescent="0.25">
      <c r="A49" s="5"/>
      <c r="B49" s="5"/>
      <c r="D49" s="5"/>
      <c r="M49" s="1"/>
      <c r="N49" s="1"/>
      <c r="O49" s="1"/>
      <c r="P49" s="1"/>
      <c r="Q49" s="1"/>
      <c r="R49" s="1"/>
      <c r="S49" s="1"/>
    </row>
    <row r="50" spans="1:19" x14ac:dyDescent="0.25">
      <c r="A50" s="5"/>
      <c r="B50" s="5"/>
      <c r="D50" s="5"/>
      <c r="M50" s="1"/>
      <c r="N50" s="1"/>
      <c r="O50" s="1"/>
      <c r="P50" s="1"/>
      <c r="Q50" s="1"/>
      <c r="R50" s="1"/>
      <c r="S50" s="1"/>
    </row>
    <row r="51" spans="1:19" x14ac:dyDescent="0.25">
      <c r="A51" s="5"/>
      <c r="B51" s="5"/>
      <c r="D51" s="5"/>
      <c r="M51" s="1"/>
      <c r="N51" s="1"/>
      <c r="O51" s="1"/>
      <c r="P51" s="1"/>
      <c r="Q51" s="1"/>
      <c r="R51" s="1"/>
      <c r="S51" s="1"/>
    </row>
    <row r="52" spans="1:19" x14ac:dyDescent="0.25">
      <c r="A52" s="5"/>
      <c r="B52" s="5"/>
      <c r="D52" s="5"/>
      <c r="M52" s="1"/>
      <c r="N52" s="1"/>
      <c r="O52" s="1"/>
      <c r="P52" s="1"/>
      <c r="Q52" s="1"/>
      <c r="R52" s="1"/>
      <c r="S52" s="1"/>
    </row>
    <row r="53" spans="1:19" x14ac:dyDescent="0.25">
      <c r="A53" s="5"/>
      <c r="B53" s="5"/>
      <c r="D53" s="5"/>
      <c r="M53" s="1"/>
      <c r="N53" s="1"/>
      <c r="O53" s="1"/>
      <c r="P53" s="1"/>
      <c r="Q53" s="1"/>
      <c r="R53" s="1"/>
      <c r="S53" s="1"/>
    </row>
    <row r="54" spans="1:19" x14ac:dyDescent="0.25">
      <c r="A54" s="5"/>
      <c r="B54" s="5"/>
      <c r="D54" s="5"/>
      <c r="M54" s="1"/>
      <c r="N54" s="1"/>
      <c r="O54" s="1"/>
      <c r="P54" s="1"/>
      <c r="Q54" s="1"/>
      <c r="R54" s="1"/>
      <c r="S54" s="1"/>
    </row>
    <row r="55" spans="1:19" x14ac:dyDescent="0.25">
      <c r="A55" s="5"/>
      <c r="B55" s="5"/>
      <c r="D55" s="5"/>
      <c r="M55" s="1"/>
      <c r="N55" s="1"/>
      <c r="O55" s="1"/>
      <c r="P55" s="1"/>
      <c r="Q55" s="1"/>
      <c r="R55" s="1"/>
      <c r="S55" s="1"/>
    </row>
    <row r="56" spans="1:19" x14ac:dyDescent="0.25">
      <c r="A56" s="5"/>
      <c r="B56" s="5"/>
      <c r="D56" s="5"/>
      <c r="M56" s="1"/>
      <c r="N56" s="1"/>
      <c r="O56" s="1"/>
      <c r="P56" s="1"/>
      <c r="Q56" s="1"/>
      <c r="R56" s="1"/>
      <c r="S56" s="1"/>
    </row>
    <row r="57" spans="1:19" x14ac:dyDescent="0.25">
      <c r="A57" s="5"/>
      <c r="B57" s="5"/>
      <c r="D57" s="5"/>
      <c r="M57" s="1"/>
      <c r="N57" s="1"/>
      <c r="O57" s="1"/>
      <c r="P57" s="1"/>
      <c r="Q57" s="1"/>
      <c r="R57" s="1"/>
      <c r="S57" s="1"/>
    </row>
    <row r="58" spans="1:19" x14ac:dyDescent="0.25">
      <c r="A58" s="5"/>
      <c r="B58" s="5"/>
      <c r="D58" s="5"/>
      <c r="M58" s="1"/>
      <c r="N58" s="1"/>
      <c r="O58" s="1"/>
      <c r="P58" s="1"/>
      <c r="Q58" s="1"/>
      <c r="R58" s="1"/>
      <c r="S58" s="1"/>
    </row>
    <row r="59" spans="1:19" x14ac:dyDescent="0.25">
      <c r="A59" s="5"/>
      <c r="B59" s="5"/>
      <c r="D59" s="5"/>
      <c r="M59" s="1"/>
      <c r="N59" s="1"/>
      <c r="O59" s="1"/>
      <c r="P59" s="1"/>
      <c r="Q59" s="1"/>
      <c r="R59" s="1"/>
      <c r="S59" s="1"/>
    </row>
    <row r="60" spans="1:19" x14ac:dyDescent="0.25">
      <c r="A60" s="5"/>
      <c r="B60" s="5"/>
      <c r="D60" s="5"/>
      <c r="M60" s="1"/>
      <c r="N60" s="1"/>
      <c r="O60" s="1"/>
      <c r="P60" s="1"/>
      <c r="Q60" s="1"/>
      <c r="R60" s="1"/>
      <c r="S60" s="1"/>
    </row>
    <row r="61" spans="1:19" x14ac:dyDescent="0.25">
      <c r="A61" s="5"/>
      <c r="B61" s="5"/>
      <c r="D61" s="5"/>
      <c r="M61" s="1"/>
      <c r="N61" s="1"/>
      <c r="O61" s="1"/>
      <c r="P61" s="1"/>
      <c r="Q61" s="1"/>
      <c r="R61" s="1"/>
      <c r="S61" s="1"/>
    </row>
    <row r="62" spans="1:19" x14ac:dyDescent="0.25">
      <c r="A62" s="5"/>
      <c r="B62" s="5"/>
      <c r="D62" s="5"/>
      <c r="M62" s="1"/>
      <c r="N62" s="1"/>
      <c r="O62" s="1"/>
      <c r="P62" s="1"/>
      <c r="Q62" s="1"/>
      <c r="R62" s="1"/>
      <c r="S62" s="1"/>
    </row>
    <row r="63" spans="1:19" x14ac:dyDescent="0.25">
      <c r="A63" s="5"/>
      <c r="B63" s="5"/>
      <c r="D63" s="5"/>
      <c r="M63" s="1"/>
      <c r="N63" s="1"/>
      <c r="O63" s="1"/>
      <c r="P63" s="1"/>
      <c r="Q63" s="1"/>
      <c r="R63" s="1"/>
      <c r="S63" s="1"/>
    </row>
    <row r="64" spans="1:19" x14ac:dyDescent="0.25">
      <c r="A64" s="5"/>
      <c r="B64" s="5"/>
      <c r="D64" s="5"/>
      <c r="M64" s="1"/>
      <c r="N64" s="1"/>
      <c r="O64" s="1"/>
      <c r="P64" s="1"/>
      <c r="Q64" s="1"/>
      <c r="R64" s="1"/>
      <c r="S64" s="1"/>
    </row>
    <row r="65" spans="1:19" x14ac:dyDescent="0.25">
      <c r="A65" s="5"/>
      <c r="B65" s="5"/>
      <c r="D65" s="5"/>
      <c r="M65" s="1"/>
      <c r="N65" s="1"/>
      <c r="O65" s="1"/>
      <c r="P65" s="1"/>
      <c r="Q65" s="1"/>
      <c r="R65" s="1"/>
      <c r="S65" s="1"/>
    </row>
    <row r="66" spans="1:19" x14ac:dyDescent="0.25">
      <c r="A66" s="5"/>
      <c r="B66" s="5"/>
      <c r="D66" s="5"/>
      <c r="M66" s="1"/>
      <c r="N66" s="1"/>
      <c r="O66" s="1"/>
      <c r="P66" s="1"/>
      <c r="Q66" s="1"/>
      <c r="R66" s="1"/>
      <c r="S66" s="1"/>
    </row>
    <row r="67" spans="1:19" x14ac:dyDescent="0.25">
      <c r="A67" s="5"/>
      <c r="B67" s="5"/>
      <c r="D67" s="5"/>
      <c r="M67" s="1"/>
      <c r="N67" s="1"/>
      <c r="O67" s="1"/>
      <c r="P67" s="1"/>
      <c r="Q67" s="1"/>
      <c r="R67" s="1"/>
      <c r="S67" s="1"/>
    </row>
    <row r="68" spans="1:19" x14ac:dyDescent="0.25">
      <c r="A68" s="5"/>
      <c r="B68" s="5"/>
      <c r="D68" s="5"/>
      <c r="M68" s="1"/>
      <c r="N68" s="1"/>
      <c r="O68" s="1"/>
      <c r="P68" s="1"/>
      <c r="Q68" s="1"/>
      <c r="R68" s="1"/>
      <c r="S68" s="1"/>
    </row>
    <row r="69" spans="1:19" x14ac:dyDescent="0.25">
      <c r="A69" s="5"/>
      <c r="B69" s="5"/>
      <c r="D69" s="5"/>
      <c r="M69" s="1"/>
      <c r="N69" s="1"/>
      <c r="O69" s="1"/>
      <c r="P69" s="1"/>
      <c r="Q69" s="1"/>
      <c r="R69" s="1"/>
      <c r="S69" s="1"/>
    </row>
    <row r="70" spans="1:19" x14ac:dyDescent="0.25">
      <c r="A70" s="5"/>
      <c r="B70" s="5"/>
      <c r="D70" s="5"/>
      <c r="M70" s="1"/>
      <c r="N70" s="1"/>
      <c r="O70" s="1"/>
      <c r="P70" s="1"/>
      <c r="Q70" s="1"/>
      <c r="R70" s="1"/>
      <c r="S70" s="1"/>
    </row>
    <row r="71" spans="1:19" x14ac:dyDescent="0.25">
      <c r="A71" s="5"/>
      <c r="B71" s="5"/>
      <c r="D71" s="5"/>
      <c r="M71" s="1"/>
      <c r="N71" s="1"/>
      <c r="O71" s="1"/>
      <c r="P71" s="1"/>
      <c r="Q71" s="1"/>
      <c r="R71" s="1"/>
      <c r="S71" s="1"/>
    </row>
    <row r="72" spans="1:19" x14ac:dyDescent="0.25">
      <c r="A72" s="5"/>
      <c r="B72" s="5"/>
      <c r="D72" s="5"/>
      <c r="M72" s="1"/>
      <c r="N72" s="1"/>
      <c r="O72" s="1"/>
      <c r="P72" s="1"/>
      <c r="Q72" s="1"/>
      <c r="R72" s="1"/>
      <c r="S72" s="1"/>
    </row>
    <row r="73" spans="1:19" x14ac:dyDescent="0.25">
      <c r="A73" s="5"/>
      <c r="B73" s="5"/>
      <c r="D73" s="5"/>
      <c r="M73" s="1"/>
      <c r="N73" s="1"/>
      <c r="O73" s="1"/>
      <c r="P73" s="1"/>
      <c r="Q73" s="1"/>
      <c r="R73" s="1"/>
      <c r="S73" s="1"/>
    </row>
    <row r="74" spans="1:19" x14ac:dyDescent="0.25">
      <c r="A74" s="5"/>
      <c r="B74" s="5"/>
      <c r="D74" s="5"/>
      <c r="M74" s="1"/>
      <c r="N74" s="1"/>
      <c r="O74" s="1"/>
      <c r="P74" s="1"/>
      <c r="Q74" s="1"/>
      <c r="R74" s="1"/>
      <c r="S74" s="1"/>
    </row>
    <row r="75" spans="1:19" x14ac:dyDescent="0.25">
      <c r="A75" s="5"/>
      <c r="B75" s="5"/>
      <c r="D75" s="5"/>
      <c r="M75" s="1"/>
      <c r="N75" s="1"/>
      <c r="O75" s="1"/>
      <c r="P75" s="1"/>
      <c r="Q75" s="1"/>
      <c r="R75" s="1"/>
      <c r="S75" s="1"/>
    </row>
    <row r="76" spans="1:19" x14ac:dyDescent="0.25">
      <c r="A76" s="5"/>
      <c r="B76" s="5"/>
      <c r="D76" s="5"/>
      <c r="M76" s="1"/>
      <c r="N76" s="1"/>
      <c r="O76" s="1"/>
      <c r="P76" s="1"/>
      <c r="Q76" s="1"/>
      <c r="R76" s="1"/>
      <c r="S76" s="1"/>
    </row>
    <row r="77" spans="1:19" x14ac:dyDescent="0.25">
      <c r="A77" s="5"/>
      <c r="B77" s="5"/>
      <c r="D77" s="5"/>
      <c r="M77" s="1"/>
      <c r="N77" s="1"/>
      <c r="O77" s="1"/>
      <c r="P77" s="1"/>
      <c r="Q77" s="1"/>
      <c r="R77" s="1"/>
      <c r="S77" s="1"/>
    </row>
    <row r="78" spans="1:19" x14ac:dyDescent="0.25">
      <c r="A78" s="5"/>
      <c r="B78" s="5"/>
      <c r="D78" s="5"/>
      <c r="M78" s="1"/>
      <c r="N78" s="1"/>
      <c r="O78" s="1"/>
      <c r="P78" s="1"/>
      <c r="Q78" s="1"/>
      <c r="R78" s="1"/>
      <c r="S78" s="1"/>
    </row>
    <row r="79" spans="1:19" x14ac:dyDescent="0.25">
      <c r="A79" s="5"/>
      <c r="B79" s="5"/>
      <c r="D79" s="5"/>
      <c r="M79" s="1"/>
      <c r="N79" s="1"/>
      <c r="O79" s="1"/>
      <c r="P79" s="1"/>
      <c r="Q79" s="1"/>
      <c r="R79" s="1"/>
      <c r="S79" s="1"/>
    </row>
    <row r="80" spans="1:19" x14ac:dyDescent="0.25">
      <c r="A80" s="5"/>
      <c r="B80" s="5"/>
      <c r="D80" s="5"/>
      <c r="M80" s="1"/>
      <c r="N80" s="1"/>
      <c r="O80" s="1"/>
      <c r="P80" s="1"/>
      <c r="Q80" s="1"/>
      <c r="R80" s="1"/>
      <c r="S80" s="1"/>
    </row>
    <row r="81" spans="1:19" x14ac:dyDescent="0.25">
      <c r="A81" s="5"/>
      <c r="B81" s="5"/>
      <c r="D81" s="5"/>
      <c r="M81" s="1"/>
      <c r="N81" s="1"/>
      <c r="O81" s="1"/>
      <c r="P81" s="1"/>
      <c r="Q81" s="1"/>
      <c r="R81" s="1"/>
      <c r="S81" s="1"/>
    </row>
    <row r="82" spans="1:19" x14ac:dyDescent="0.25">
      <c r="A82" s="5"/>
      <c r="B82" s="5"/>
      <c r="D82" s="5"/>
      <c r="M82" s="1"/>
      <c r="N82" s="1"/>
      <c r="O82" s="1"/>
      <c r="P82" s="1"/>
      <c r="Q82" s="1"/>
      <c r="R82" s="1"/>
      <c r="S82" s="1"/>
    </row>
    <row r="83" spans="1:19" x14ac:dyDescent="0.25">
      <c r="A83" s="5"/>
      <c r="B83" s="5"/>
      <c r="D83" s="5"/>
      <c r="M83" s="1"/>
      <c r="N83" s="1"/>
      <c r="O83" s="1"/>
      <c r="P83" s="1"/>
      <c r="Q83" s="1"/>
      <c r="R83" s="1"/>
      <c r="S83" s="1"/>
    </row>
    <row r="84" spans="1:19" x14ac:dyDescent="0.25">
      <c r="A84" s="5"/>
      <c r="B84" s="5"/>
      <c r="D84" s="5"/>
      <c r="M84" s="1"/>
      <c r="N84" s="1"/>
      <c r="O84" s="1"/>
      <c r="P84" s="1"/>
      <c r="Q84" s="1"/>
      <c r="R84" s="1"/>
      <c r="S84" s="1"/>
    </row>
    <row r="85" spans="1:19" x14ac:dyDescent="0.25">
      <c r="A85" s="5"/>
      <c r="B85" s="5"/>
      <c r="D85" s="5"/>
      <c r="M85" s="1"/>
      <c r="N85" s="1"/>
      <c r="O85" s="1"/>
      <c r="P85" s="1"/>
      <c r="Q85" s="1"/>
      <c r="R85" s="1"/>
      <c r="S85" s="1"/>
    </row>
    <row r="86" spans="1:19" x14ac:dyDescent="0.25">
      <c r="A86" s="5"/>
      <c r="B86" s="5"/>
      <c r="D86" s="5"/>
      <c r="M86" s="1"/>
      <c r="N86" s="1"/>
      <c r="O86" s="1"/>
      <c r="P86" s="1"/>
      <c r="Q86" s="1"/>
      <c r="R86" s="1"/>
      <c r="S86" s="1"/>
    </row>
    <row r="87" spans="1:19" x14ac:dyDescent="0.25">
      <c r="A87" s="5"/>
      <c r="B87" s="5"/>
      <c r="D87" s="5"/>
      <c r="M87" s="1"/>
      <c r="N87" s="1"/>
      <c r="O87" s="1"/>
      <c r="P87" s="1"/>
      <c r="Q87" s="1"/>
      <c r="R87" s="1"/>
      <c r="S87" s="1"/>
    </row>
    <row r="88" spans="1:19" x14ac:dyDescent="0.25">
      <c r="A88" s="5"/>
      <c r="B88" s="5"/>
      <c r="D88" s="5"/>
      <c r="M88" s="1"/>
      <c r="N88" s="1"/>
      <c r="O88" s="1"/>
      <c r="P88" s="1"/>
      <c r="Q88" s="1"/>
      <c r="R88" s="1"/>
      <c r="S88" s="1"/>
    </row>
    <row r="89" spans="1:19" x14ac:dyDescent="0.25">
      <c r="A89" s="5"/>
      <c r="B89" s="5"/>
      <c r="D89" s="5"/>
      <c r="M89" s="1"/>
      <c r="N89" s="1"/>
      <c r="O89" s="1"/>
      <c r="P89" s="1"/>
      <c r="Q89" s="1"/>
      <c r="R89" s="1"/>
      <c r="S89" s="1"/>
    </row>
    <row r="90" spans="1:19" x14ac:dyDescent="0.25">
      <c r="A90" s="5"/>
      <c r="B90" s="5"/>
      <c r="D90" s="5"/>
      <c r="M90" s="1"/>
      <c r="N90" s="1"/>
      <c r="O90" s="1"/>
      <c r="P90" s="1"/>
      <c r="Q90" s="1"/>
      <c r="R90" s="1"/>
      <c r="S90" s="1"/>
    </row>
    <row r="91" spans="1:19" x14ac:dyDescent="0.25">
      <c r="A91" s="5"/>
      <c r="B91" s="5"/>
      <c r="D91" s="5"/>
      <c r="M91" s="1"/>
      <c r="N91" s="1"/>
      <c r="O91" s="1"/>
      <c r="P91" s="1"/>
      <c r="Q91" s="1"/>
      <c r="R91" s="1"/>
      <c r="S91" s="1"/>
    </row>
    <row r="92" spans="1:19" x14ac:dyDescent="0.25">
      <c r="A92" s="5"/>
      <c r="B92" s="5"/>
      <c r="D92" s="5"/>
      <c r="M92" s="1"/>
      <c r="N92" s="1"/>
      <c r="O92" s="1"/>
      <c r="P92" s="1"/>
      <c r="Q92" s="1"/>
      <c r="R92" s="1"/>
      <c r="S92" s="1"/>
    </row>
    <row r="93" spans="1:19" x14ac:dyDescent="0.25">
      <c r="A93" s="5"/>
      <c r="B93" s="5"/>
      <c r="D93" s="5"/>
      <c r="M93" s="1"/>
      <c r="N93" s="1"/>
      <c r="O93" s="1"/>
      <c r="P93" s="1"/>
      <c r="Q93" s="1"/>
      <c r="R93" s="1"/>
      <c r="S93" s="1"/>
    </row>
    <row r="94" spans="1:19" x14ac:dyDescent="0.25">
      <c r="A94" s="5"/>
      <c r="B94" s="5"/>
      <c r="D94" s="5"/>
      <c r="M94" s="1"/>
      <c r="N94" s="1"/>
      <c r="O94" s="1"/>
      <c r="P94" s="1"/>
      <c r="Q94" s="1"/>
      <c r="R94" s="1"/>
      <c r="S94" s="1"/>
    </row>
    <row r="95" spans="1:19" x14ac:dyDescent="0.25">
      <c r="A95" s="5"/>
      <c r="B95" s="5"/>
      <c r="D95" s="5"/>
      <c r="M95" s="1"/>
      <c r="N95" s="1"/>
      <c r="O95" s="1"/>
      <c r="P95" s="1"/>
      <c r="Q95" s="1"/>
      <c r="R95" s="1"/>
      <c r="S95" s="1"/>
    </row>
    <row r="96" spans="1:19" x14ac:dyDescent="0.25">
      <c r="A96" s="5"/>
      <c r="B96" s="5"/>
      <c r="D96" s="5"/>
      <c r="M96" s="1"/>
      <c r="N96" s="1"/>
      <c r="O96" s="1"/>
      <c r="P96" s="1"/>
      <c r="Q96" s="1"/>
      <c r="R96" s="1"/>
      <c r="S96" s="1"/>
    </row>
    <row r="97" spans="1:19" x14ac:dyDescent="0.25">
      <c r="A97" s="5"/>
      <c r="B97" s="5"/>
      <c r="D97" s="5"/>
      <c r="M97" s="1"/>
      <c r="N97" s="1"/>
      <c r="O97" s="1"/>
      <c r="P97" s="1"/>
      <c r="Q97" s="1"/>
      <c r="R97" s="1"/>
      <c r="S97" s="1"/>
    </row>
    <row r="98" spans="1:19" x14ac:dyDescent="0.25">
      <c r="A98" s="5"/>
      <c r="B98" s="5"/>
      <c r="D98" s="5"/>
      <c r="M98" s="1"/>
      <c r="N98" s="1"/>
      <c r="O98" s="1"/>
      <c r="P98" s="1"/>
      <c r="Q98" s="1"/>
      <c r="R98" s="1"/>
      <c r="S98" s="1"/>
    </row>
    <row r="99" spans="1:19" x14ac:dyDescent="0.25">
      <c r="A99" s="5"/>
      <c r="B99" s="5"/>
      <c r="D99" s="5"/>
      <c r="M99" s="1"/>
      <c r="N99" s="1"/>
      <c r="O99" s="1"/>
      <c r="P99" s="1"/>
      <c r="Q99" s="1"/>
      <c r="R99" s="1"/>
      <c r="S99" s="1"/>
    </row>
    <row r="100" spans="1:19" x14ac:dyDescent="0.25">
      <c r="A100" s="5"/>
      <c r="B100" s="5"/>
      <c r="D100" s="5"/>
      <c r="M100" s="1"/>
      <c r="N100" s="1"/>
      <c r="O100" s="1"/>
      <c r="P100" s="1"/>
      <c r="Q100" s="1"/>
      <c r="R100" s="1"/>
      <c r="S100" s="1"/>
    </row>
    <row r="101" spans="1:19" x14ac:dyDescent="0.25">
      <c r="A101" s="5"/>
      <c r="B101" s="5"/>
      <c r="D101" s="5"/>
      <c r="M101" s="1"/>
      <c r="N101" s="1"/>
      <c r="O101" s="1"/>
      <c r="P101" s="1"/>
      <c r="Q101" s="1"/>
      <c r="R101" s="1"/>
      <c r="S101" s="1"/>
    </row>
    <row r="102" spans="1:19" x14ac:dyDescent="0.25">
      <c r="A102" s="5"/>
      <c r="B102" s="5"/>
      <c r="D102" s="5"/>
      <c r="M102" s="1"/>
      <c r="N102" s="1"/>
      <c r="O102" s="1"/>
      <c r="P102" s="1"/>
      <c r="Q102" s="1"/>
      <c r="R102" s="1"/>
      <c r="S102" s="1"/>
    </row>
    <row r="103" spans="1:19" x14ac:dyDescent="0.25">
      <c r="A103" s="5"/>
      <c r="B103" s="5"/>
      <c r="D103" s="5"/>
      <c r="M103" s="1"/>
      <c r="N103" s="1"/>
      <c r="O103" s="1"/>
      <c r="P103" s="1"/>
      <c r="Q103" s="1"/>
      <c r="R103" s="1"/>
      <c r="S103" s="1"/>
    </row>
    <row r="104" spans="1:19" x14ac:dyDescent="0.25">
      <c r="A104" s="5"/>
      <c r="B104" s="5"/>
      <c r="D104" s="5"/>
      <c r="M104" s="1"/>
      <c r="N104" s="1"/>
      <c r="O104" s="1"/>
      <c r="P104" s="1"/>
      <c r="Q104" s="1"/>
      <c r="R104" s="1"/>
      <c r="S104" s="1"/>
    </row>
    <row r="105" spans="1:19" x14ac:dyDescent="0.25">
      <c r="A105" s="5"/>
      <c r="B105" s="5"/>
      <c r="D105" s="5"/>
      <c r="M105" s="1"/>
      <c r="N105" s="1"/>
      <c r="O105" s="1"/>
      <c r="P105" s="1"/>
      <c r="Q105" s="1"/>
      <c r="R105" s="1"/>
      <c r="S105" s="1"/>
    </row>
    <row r="106" spans="1:19" x14ac:dyDescent="0.25">
      <c r="A106" s="5"/>
      <c r="B106" s="5"/>
      <c r="D106" s="5"/>
      <c r="M106" s="1"/>
      <c r="N106" s="1"/>
      <c r="O106" s="1"/>
      <c r="P106" s="1"/>
      <c r="Q106" s="1"/>
      <c r="R106" s="1"/>
      <c r="S106" s="1"/>
    </row>
    <row r="107" spans="1:19" x14ac:dyDescent="0.25">
      <c r="A107" s="5"/>
      <c r="B107" s="5"/>
      <c r="D107" s="5"/>
      <c r="M107" s="1"/>
      <c r="N107" s="1"/>
      <c r="O107" s="1"/>
      <c r="P107" s="1"/>
      <c r="Q107" s="1"/>
      <c r="R107" s="1"/>
      <c r="S107" s="1"/>
    </row>
    <row r="108" spans="1:19" x14ac:dyDescent="0.25">
      <c r="A108" s="5"/>
      <c r="B108" s="5"/>
      <c r="D108" s="5"/>
      <c r="M108" s="1"/>
      <c r="N108" s="1"/>
      <c r="O108" s="1"/>
      <c r="P108" s="1"/>
      <c r="Q108" s="1"/>
      <c r="R108" s="1"/>
      <c r="S108" s="1"/>
    </row>
    <row r="109" spans="1:19" x14ac:dyDescent="0.25">
      <c r="A109" s="5"/>
      <c r="B109" s="5"/>
      <c r="D109" s="5"/>
      <c r="M109" s="1"/>
      <c r="N109" s="1"/>
      <c r="O109" s="1"/>
      <c r="P109" s="1"/>
      <c r="Q109" s="1"/>
      <c r="R109" s="1"/>
      <c r="S109" s="1"/>
    </row>
    <row r="110" spans="1:19" x14ac:dyDescent="0.25">
      <c r="A110" s="5"/>
      <c r="B110" s="5"/>
      <c r="D110" s="5"/>
      <c r="M110" s="1"/>
      <c r="N110" s="1"/>
      <c r="O110" s="1"/>
      <c r="P110" s="1"/>
      <c r="Q110" s="1"/>
      <c r="R110" s="1"/>
      <c r="S110" s="1"/>
    </row>
    <row r="111" spans="1:19" x14ac:dyDescent="0.25">
      <c r="A111" s="5"/>
      <c r="B111" s="5"/>
      <c r="D111" s="5"/>
      <c r="M111" s="1"/>
      <c r="N111" s="1"/>
      <c r="O111" s="1"/>
      <c r="P111" s="1"/>
      <c r="Q111" s="1"/>
      <c r="R111" s="1"/>
      <c r="S111" s="1"/>
    </row>
    <row r="112" spans="1:19" x14ac:dyDescent="0.25">
      <c r="A112" s="5"/>
      <c r="B112" s="5"/>
      <c r="D112" s="5"/>
      <c r="M112" s="1"/>
      <c r="N112" s="1"/>
      <c r="O112" s="1"/>
      <c r="P112" s="1"/>
      <c r="Q112" s="1"/>
      <c r="R112" s="1"/>
      <c r="S112" s="1"/>
    </row>
    <row r="113" spans="1:19" x14ac:dyDescent="0.25">
      <c r="A113" s="5"/>
      <c r="B113" s="5"/>
      <c r="D113" s="5"/>
      <c r="M113" s="1"/>
      <c r="N113" s="1"/>
      <c r="O113" s="1"/>
      <c r="P113" s="1"/>
      <c r="Q113" s="1"/>
      <c r="R113" s="1"/>
      <c r="S113" s="1"/>
    </row>
    <row r="114" spans="1:19" x14ac:dyDescent="0.25">
      <c r="A114" s="5"/>
      <c r="B114" s="5"/>
      <c r="D114" s="5"/>
      <c r="M114" s="1"/>
      <c r="N114" s="1"/>
      <c r="O114" s="1"/>
      <c r="P114" s="1"/>
      <c r="Q114" s="1"/>
      <c r="R114" s="1"/>
      <c r="S114" s="1"/>
    </row>
    <row r="115" spans="1:19" x14ac:dyDescent="0.25">
      <c r="A115" s="5"/>
      <c r="B115" s="5"/>
      <c r="D115" s="5"/>
      <c r="M115" s="1"/>
      <c r="N115" s="1"/>
      <c r="O115" s="1"/>
      <c r="P115" s="1"/>
      <c r="Q115" s="1"/>
      <c r="R115" s="1"/>
      <c r="S115" s="1"/>
    </row>
    <row r="116" spans="1:19" x14ac:dyDescent="0.25">
      <c r="A116" s="5"/>
      <c r="B116" s="5"/>
      <c r="D116" s="5"/>
      <c r="M116" s="1"/>
      <c r="N116" s="1"/>
      <c r="O116" s="1"/>
      <c r="P116" s="1"/>
      <c r="Q116" s="1"/>
      <c r="R116" s="1"/>
      <c r="S116" s="1"/>
    </row>
    <row r="117" spans="1:19" x14ac:dyDescent="0.25">
      <c r="A117" s="5"/>
      <c r="B117" s="5"/>
      <c r="D117" s="5"/>
      <c r="M117" s="1"/>
      <c r="N117" s="1"/>
      <c r="O117" s="1"/>
      <c r="P117" s="1"/>
      <c r="Q117" s="1"/>
      <c r="R117" s="1"/>
      <c r="S117" s="1"/>
    </row>
    <row r="118" spans="1:19" x14ac:dyDescent="0.25">
      <c r="A118" s="5"/>
      <c r="B118" s="5"/>
      <c r="D118" s="5"/>
      <c r="M118" s="1"/>
      <c r="N118" s="1"/>
      <c r="O118" s="1"/>
      <c r="P118" s="1"/>
      <c r="Q118" s="1"/>
      <c r="R118" s="1"/>
      <c r="S118" s="1"/>
    </row>
    <row r="119" spans="1:19" x14ac:dyDescent="0.25">
      <c r="A119" s="5"/>
      <c r="B119" s="5"/>
      <c r="D119" s="5"/>
      <c r="M119" s="1"/>
      <c r="N119" s="1"/>
      <c r="O119" s="1"/>
      <c r="P119" s="1"/>
      <c r="Q119" s="1"/>
      <c r="R119" s="1"/>
      <c r="S119" s="1"/>
    </row>
    <row r="120" spans="1:19" x14ac:dyDescent="0.25">
      <c r="A120" s="5"/>
      <c r="B120" s="5"/>
      <c r="D120" s="5"/>
      <c r="M120" s="1"/>
      <c r="N120" s="1"/>
      <c r="O120" s="1"/>
      <c r="P120" s="1"/>
      <c r="Q120" s="1"/>
      <c r="R120" s="1"/>
      <c r="S120" s="1"/>
    </row>
    <row r="121" spans="1:19" x14ac:dyDescent="0.25">
      <c r="A121" s="5"/>
      <c r="B121" s="5"/>
      <c r="D121" s="5"/>
      <c r="M121" s="1"/>
      <c r="N121" s="1"/>
      <c r="O121" s="1"/>
      <c r="P121" s="1"/>
      <c r="Q121" s="1"/>
      <c r="R121" s="1"/>
      <c r="S121" s="1"/>
    </row>
    <row r="122" spans="1:19" x14ac:dyDescent="0.25">
      <c r="A122" s="5"/>
      <c r="B122" s="5"/>
      <c r="D122" s="5"/>
      <c r="M122" s="1"/>
      <c r="N122" s="1"/>
      <c r="O122" s="1"/>
      <c r="P122" s="1"/>
      <c r="Q122" s="1"/>
      <c r="R122" s="1"/>
      <c r="S122" s="1"/>
    </row>
    <row r="123" spans="1:19" x14ac:dyDescent="0.25">
      <c r="A123" s="5"/>
      <c r="B123" s="5"/>
      <c r="D123" s="5"/>
      <c r="M123" s="1"/>
      <c r="N123" s="1"/>
      <c r="O123" s="1"/>
      <c r="P123" s="1"/>
      <c r="Q123" s="1"/>
      <c r="R123" s="1"/>
      <c r="S123" s="1"/>
    </row>
    <row r="124" spans="1:19" x14ac:dyDescent="0.25">
      <c r="A124" s="5"/>
      <c r="B124" s="5"/>
      <c r="D124" s="5"/>
      <c r="M124" s="1"/>
      <c r="N124" s="1"/>
      <c r="O124" s="1"/>
      <c r="P124" s="1"/>
      <c r="Q124" s="1"/>
      <c r="R124" s="1"/>
      <c r="S124" s="1"/>
    </row>
    <row r="125" spans="1:19" x14ac:dyDescent="0.25">
      <c r="A125" s="5"/>
      <c r="B125" s="5"/>
      <c r="D125" s="5"/>
      <c r="M125" s="1"/>
      <c r="N125" s="1"/>
      <c r="O125" s="1"/>
      <c r="P125" s="1"/>
      <c r="Q125" s="1"/>
      <c r="R125" s="1"/>
      <c r="S125" s="1"/>
    </row>
    <row r="126" spans="1:19" x14ac:dyDescent="0.25">
      <c r="A126" s="5"/>
      <c r="B126" s="5"/>
      <c r="D126" s="5"/>
      <c r="M126" s="1"/>
      <c r="N126" s="1"/>
      <c r="O126" s="1"/>
      <c r="P126" s="1"/>
      <c r="Q126" s="1"/>
      <c r="R126" s="1"/>
      <c r="S126" s="1"/>
    </row>
    <row r="127" spans="1:19" x14ac:dyDescent="0.25">
      <c r="A127" s="5"/>
      <c r="B127" s="5"/>
      <c r="D127" s="5"/>
      <c r="M127" s="1"/>
      <c r="N127" s="1"/>
      <c r="O127" s="1"/>
      <c r="P127" s="1"/>
      <c r="Q127" s="1"/>
      <c r="R127" s="1"/>
      <c r="S127" s="1"/>
    </row>
    <row r="128" spans="1:19" x14ac:dyDescent="0.25">
      <c r="A128" s="5"/>
      <c r="B128" s="5"/>
      <c r="D128" s="5"/>
      <c r="M128" s="1"/>
      <c r="N128" s="1"/>
      <c r="O128" s="1"/>
      <c r="P128" s="1"/>
      <c r="Q128" s="1"/>
      <c r="R128" s="1"/>
      <c r="S128" s="1"/>
    </row>
    <row r="129" spans="1:19" x14ac:dyDescent="0.25">
      <c r="A129" s="5"/>
      <c r="B129" s="5"/>
      <c r="D129" s="5"/>
      <c r="M129" s="1"/>
      <c r="N129" s="1"/>
      <c r="O129" s="1"/>
      <c r="P129" s="1"/>
      <c r="Q129" s="1"/>
      <c r="R129" s="1"/>
      <c r="S129" s="1"/>
    </row>
    <row r="130" spans="1:19" x14ac:dyDescent="0.25">
      <c r="A130" s="5"/>
      <c r="B130" s="5"/>
      <c r="D130" s="5"/>
      <c r="M130" s="1"/>
      <c r="N130" s="1"/>
      <c r="O130" s="1"/>
      <c r="P130" s="1"/>
      <c r="Q130" s="1"/>
      <c r="R130" s="1"/>
      <c r="S130" s="1"/>
    </row>
    <row r="131" spans="1:19" x14ac:dyDescent="0.25">
      <c r="A131" s="5"/>
      <c r="B131" s="5"/>
      <c r="D131" s="5"/>
      <c r="M131" s="1"/>
      <c r="N131" s="1"/>
      <c r="O131" s="1"/>
      <c r="P131" s="1"/>
      <c r="Q131" s="1"/>
      <c r="R131" s="1"/>
      <c r="S131" s="1"/>
    </row>
    <row r="132" spans="1:19" x14ac:dyDescent="0.25">
      <c r="A132" s="5"/>
      <c r="B132" s="5"/>
      <c r="D132" s="5"/>
      <c r="M132" s="1"/>
      <c r="N132" s="1"/>
      <c r="O132" s="1"/>
      <c r="P132" s="1"/>
      <c r="Q132" s="1"/>
      <c r="R132" s="1"/>
      <c r="S132" s="1"/>
    </row>
    <row r="133" spans="1:19" x14ac:dyDescent="0.25">
      <c r="A133" s="5"/>
      <c r="B133" s="5"/>
      <c r="D133" s="5"/>
      <c r="M133" s="1"/>
      <c r="N133" s="1"/>
      <c r="O133" s="1"/>
      <c r="P133" s="1"/>
      <c r="Q133" s="1"/>
      <c r="R133" s="1"/>
      <c r="S133" s="1"/>
    </row>
    <row r="134" spans="1:19" x14ac:dyDescent="0.25">
      <c r="A134" s="5"/>
      <c r="B134" s="5"/>
      <c r="D134" s="5"/>
      <c r="M134" s="1"/>
      <c r="N134" s="1"/>
      <c r="O134" s="1"/>
      <c r="P134" s="1"/>
      <c r="Q134" s="1"/>
      <c r="R134" s="1"/>
      <c r="S134" s="1"/>
    </row>
    <row r="135" spans="1:19" x14ac:dyDescent="0.25">
      <c r="A135" s="5"/>
      <c r="B135" s="5"/>
      <c r="D135" s="5"/>
      <c r="M135" s="1"/>
      <c r="N135" s="1"/>
      <c r="O135" s="1"/>
      <c r="P135" s="1"/>
      <c r="Q135" s="1"/>
      <c r="R135" s="1"/>
      <c r="S135" s="1"/>
    </row>
    <row r="136" spans="1:19" x14ac:dyDescent="0.25">
      <c r="A136" s="5"/>
      <c r="B136" s="5"/>
      <c r="D136" s="5"/>
      <c r="M136" s="1"/>
      <c r="N136" s="1"/>
      <c r="O136" s="1"/>
      <c r="P136" s="1"/>
      <c r="Q136" s="1"/>
      <c r="R136" s="1"/>
      <c r="S136" s="1"/>
    </row>
    <row r="137" spans="1:19" x14ac:dyDescent="0.25">
      <c r="A137" s="5"/>
      <c r="B137" s="5"/>
      <c r="D137" s="5"/>
      <c r="M137" s="1"/>
      <c r="N137" s="1"/>
      <c r="O137" s="1"/>
      <c r="P137" s="1"/>
      <c r="Q137" s="1"/>
      <c r="R137" s="1"/>
      <c r="S137" s="1"/>
    </row>
    <row r="138" spans="1:19" x14ac:dyDescent="0.25">
      <c r="A138" s="5"/>
      <c r="B138" s="5"/>
      <c r="D138" s="5"/>
      <c r="M138" s="1"/>
      <c r="N138" s="1"/>
      <c r="O138" s="1"/>
      <c r="P138" s="1"/>
      <c r="Q138" s="1"/>
      <c r="R138" s="1"/>
      <c r="S138" s="1"/>
    </row>
    <row r="139" spans="1:19" x14ac:dyDescent="0.25">
      <c r="A139" s="5"/>
      <c r="B139" s="5"/>
      <c r="D139" s="5"/>
      <c r="M139" s="1"/>
      <c r="N139" s="1"/>
      <c r="O139" s="1"/>
      <c r="P139" s="1"/>
      <c r="Q139" s="1"/>
      <c r="R139" s="1"/>
      <c r="S139" s="1"/>
    </row>
    <row r="140" spans="1:19" x14ac:dyDescent="0.25">
      <c r="A140" s="5"/>
      <c r="B140" s="5"/>
      <c r="D140" s="5"/>
      <c r="M140" s="1"/>
      <c r="N140" s="1"/>
      <c r="O140" s="1"/>
      <c r="P140" s="1"/>
      <c r="Q140" s="1"/>
      <c r="R140" s="1"/>
      <c r="S140" s="1"/>
    </row>
    <row r="141" spans="1:19" x14ac:dyDescent="0.25">
      <c r="A141" s="5"/>
      <c r="B141" s="5"/>
      <c r="D141" s="5"/>
      <c r="M141" s="1"/>
      <c r="N141" s="1"/>
      <c r="O141" s="1"/>
      <c r="P141" s="1"/>
      <c r="Q141" s="1"/>
      <c r="R141" s="1"/>
      <c r="S141" s="1"/>
    </row>
    <row r="142" spans="1:19" x14ac:dyDescent="0.25">
      <c r="A142" s="5"/>
      <c r="B142" s="5"/>
      <c r="D142" s="5"/>
      <c r="M142" s="1"/>
      <c r="N142" s="1"/>
      <c r="O142" s="1"/>
      <c r="P142" s="1"/>
      <c r="Q142" s="1"/>
      <c r="R142" s="1"/>
      <c r="S142" s="1"/>
    </row>
    <row r="143" spans="1:19" x14ac:dyDescent="0.25">
      <c r="A143" s="5"/>
      <c r="B143" s="5"/>
      <c r="D143" s="5"/>
      <c r="M143" s="1"/>
      <c r="N143" s="1"/>
      <c r="O143" s="1"/>
      <c r="P143" s="1"/>
      <c r="Q143" s="1"/>
      <c r="R143" s="1"/>
      <c r="S143" s="1"/>
    </row>
    <row r="144" spans="1:19" x14ac:dyDescent="0.25">
      <c r="A144" s="5"/>
      <c r="B144" s="5"/>
      <c r="D144" s="5"/>
      <c r="M144" s="1"/>
      <c r="N144" s="1"/>
      <c r="O144" s="1"/>
      <c r="P144" s="1"/>
      <c r="Q144" s="1"/>
      <c r="R144" s="1"/>
      <c r="S144" s="1"/>
    </row>
    <row r="145" spans="1:19" x14ac:dyDescent="0.25">
      <c r="A145" s="5"/>
      <c r="B145" s="5"/>
      <c r="D145" s="5"/>
      <c r="M145" s="1"/>
      <c r="N145" s="1"/>
      <c r="O145" s="1"/>
      <c r="P145" s="1"/>
      <c r="Q145" s="1"/>
      <c r="R145" s="1"/>
      <c r="S145" s="1"/>
    </row>
    <row r="146" spans="1:19" x14ac:dyDescent="0.25">
      <c r="A146" s="5"/>
      <c r="B146" s="5"/>
      <c r="D146" s="5"/>
      <c r="M146" s="1"/>
      <c r="N146" s="1"/>
      <c r="O146" s="1"/>
      <c r="P146" s="1"/>
      <c r="Q146" s="1"/>
      <c r="R146" s="1"/>
      <c r="S146" s="1"/>
    </row>
    <row r="147" spans="1:19" x14ac:dyDescent="0.25">
      <c r="A147" s="5"/>
      <c r="B147" s="5"/>
      <c r="D147" s="5"/>
      <c r="M147" s="1"/>
      <c r="N147" s="1"/>
      <c r="O147" s="1"/>
      <c r="P147" s="1"/>
      <c r="Q147" s="1"/>
      <c r="R147" s="1"/>
      <c r="S147" s="1"/>
    </row>
    <row r="148" spans="1:19" x14ac:dyDescent="0.25">
      <c r="A148" s="5"/>
      <c r="B148" s="5"/>
      <c r="D148" s="5"/>
      <c r="M148" s="1"/>
      <c r="N148" s="1"/>
      <c r="O148" s="1"/>
      <c r="P148" s="1"/>
      <c r="Q148" s="1"/>
      <c r="R148" s="1"/>
      <c r="S148" s="1"/>
    </row>
    <row r="149" spans="1:19" x14ac:dyDescent="0.25">
      <c r="A149" s="5"/>
      <c r="B149" s="5"/>
      <c r="D149" s="5"/>
      <c r="M149" s="1"/>
      <c r="N149" s="1"/>
      <c r="O149" s="1"/>
      <c r="P149" s="1"/>
      <c r="Q149" s="1"/>
      <c r="R149" s="1"/>
      <c r="S149" s="1"/>
    </row>
    <row r="150" spans="1:19" x14ac:dyDescent="0.25">
      <c r="A150" s="5"/>
      <c r="B150" s="5"/>
      <c r="D150" s="5"/>
      <c r="M150" s="1"/>
      <c r="N150" s="1"/>
      <c r="O150" s="1"/>
      <c r="P150" s="1"/>
      <c r="Q150" s="1"/>
      <c r="R150" s="1"/>
      <c r="S150" s="1"/>
    </row>
    <row r="151" spans="1:19" x14ac:dyDescent="0.25">
      <c r="A151" s="5"/>
      <c r="B151" s="5"/>
      <c r="D151" s="5"/>
      <c r="M151" s="1"/>
      <c r="N151" s="1"/>
      <c r="O151" s="1"/>
      <c r="P151" s="1"/>
      <c r="Q151" s="1"/>
      <c r="R151" s="1"/>
      <c r="S151" s="1"/>
    </row>
    <row r="152" spans="1:19" x14ac:dyDescent="0.25">
      <c r="A152" s="5"/>
      <c r="B152" s="5"/>
      <c r="D152" s="5"/>
      <c r="M152" s="1"/>
      <c r="N152" s="1"/>
      <c r="O152" s="1"/>
      <c r="P152" s="1"/>
      <c r="Q152" s="1"/>
      <c r="R152" s="1"/>
      <c r="S152" s="1"/>
    </row>
    <row r="153" spans="1:19" x14ac:dyDescent="0.25">
      <c r="A153" s="5"/>
      <c r="B153" s="5"/>
      <c r="D153" s="5"/>
      <c r="M153" s="1"/>
      <c r="N153" s="1"/>
      <c r="O153" s="1"/>
      <c r="P153" s="1"/>
      <c r="Q153" s="1"/>
      <c r="R153" s="1"/>
      <c r="S153" s="1"/>
    </row>
    <row r="154" spans="1:19" x14ac:dyDescent="0.25">
      <c r="A154" s="5"/>
      <c r="B154" s="5"/>
      <c r="D154" s="5"/>
      <c r="M154" s="1"/>
      <c r="N154" s="1"/>
      <c r="O154" s="1"/>
      <c r="P154" s="1"/>
      <c r="Q154" s="1"/>
      <c r="R154" s="1"/>
      <c r="S154" s="1"/>
    </row>
    <row r="155" spans="1:19" x14ac:dyDescent="0.25">
      <c r="A155" s="5"/>
      <c r="B155" s="5"/>
      <c r="D155" s="5"/>
      <c r="M155" s="1"/>
      <c r="N155" s="1"/>
      <c r="O155" s="1"/>
      <c r="P155" s="1"/>
      <c r="Q155" s="1"/>
      <c r="R155" s="1"/>
      <c r="S155" s="1"/>
    </row>
    <row r="156" spans="1:19" x14ac:dyDescent="0.25">
      <c r="A156" s="5"/>
      <c r="B156" s="5"/>
      <c r="D156" s="5"/>
      <c r="M156" s="1"/>
      <c r="N156" s="1"/>
      <c r="O156" s="1"/>
      <c r="P156" s="1"/>
      <c r="Q156" s="1"/>
      <c r="R156" s="1"/>
      <c r="S156" s="1"/>
    </row>
    <row r="157" spans="1:19" x14ac:dyDescent="0.25">
      <c r="A157" s="5"/>
      <c r="B157" s="5"/>
      <c r="D157" s="5"/>
      <c r="M157" s="1"/>
      <c r="N157" s="1"/>
      <c r="O157" s="1"/>
      <c r="P157" s="1"/>
      <c r="Q157" s="1"/>
      <c r="R157" s="1"/>
      <c r="S157" s="1"/>
    </row>
    <row r="158" spans="1:19" x14ac:dyDescent="0.25">
      <c r="A158" s="5"/>
      <c r="B158" s="5"/>
      <c r="D158" s="5"/>
      <c r="M158" s="1"/>
      <c r="N158" s="1"/>
      <c r="O158" s="1"/>
      <c r="P158" s="1"/>
      <c r="Q158" s="1"/>
      <c r="R158" s="1"/>
      <c r="S158" s="1"/>
    </row>
    <row r="159" spans="1:19" x14ac:dyDescent="0.25">
      <c r="A159" s="5"/>
      <c r="B159" s="5"/>
      <c r="D159" s="5"/>
      <c r="M159" s="1"/>
      <c r="N159" s="1"/>
      <c r="O159" s="1"/>
      <c r="P159" s="1"/>
      <c r="Q159" s="1"/>
      <c r="R159" s="1"/>
      <c r="S159" s="1"/>
    </row>
    <row r="160" spans="1:19" x14ac:dyDescent="0.25">
      <c r="A160" s="5"/>
      <c r="B160" s="5"/>
      <c r="D160" s="5"/>
      <c r="M160" s="1"/>
      <c r="N160" s="1"/>
      <c r="O160" s="1"/>
      <c r="P160" s="1"/>
      <c r="Q160" s="1"/>
      <c r="R160" s="1"/>
      <c r="S160" s="1"/>
    </row>
    <row r="161" spans="1:19" x14ac:dyDescent="0.25">
      <c r="A161" s="5"/>
      <c r="B161" s="5"/>
      <c r="D161" s="5"/>
      <c r="N161" s="1"/>
      <c r="O161" s="1"/>
      <c r="P161" s="1"/>
      <c r="Q161" s="1"/>
      <c r="R161" s="1"/>
      <c r="S161" s="1"/>
    </row>
    <row r="162" spans="1:19" x14ac:dyDescent="0.25">
      <c r="A162" s="5"/>
      <c r="B162" s="5"/>
      <c r="D162" s="5"/>
      <c r="N162" s="1"/>
      <c r="O162" s="1"/>
      <c r="P162" s="1"/>
      <c r="Q162" s="1"/>
      <c r="R162" s="1"/>
      <c r="S162" s="1"/>
    </row>
  </sheetData>
  <phoneticPr fontId="20" type="noConversion"/>
  <pageMargins left="0.7" right="0.7" top="0.75" bottom="0.75" header="0.3" footer="0.3"/>
  <pageSetup orientation="portrait" horizontalDpi="90" verticalDpi="9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K8"/>
  <sheetViews>
    <sheetView showGridLines="0" zoomScale="85" zoomScaleNormal="85" workbookViewId="0">
      <selection activeCell="K6" sqref="K6"/>
    </sheetView>
  </sheetViews>
  <sheetFormatPr defaultColWidth="8.6328125" defaultRowHeight="12.5" x14ac:dyDescent="0.25"/>
  <cols>
    <col min="1" max="1" width="105.54296875" style="2" bestFit="1" customWidth="1"/>
    <col min="2" max="2" width="8.6328125" style="2" customWidth="1"/>
    <col min="3" max="3" width="14.36328125" style="2" bestFit="1" customWidth="1"/>
    <col min="4" max="4" width="9.54296875" style="2" bestFit="1" customWidth="1"/>
    <col min="5" max="8" width="9" style="2" bestFit="1" customWidth="1"/>
    <col min="9" max="10" width="9" style="2" customWidth="1"/>
    <col min="11" max="11" width="9" style="2" bestFit="1" customWidth="1"/>
    <col min="12" max="16384" width="8.6328125" style="2"/>
  </cols>
  <sheetData>
    <row r="1" spans="1:11" ht="13" x14ac:dyDescent="0.3">
      <c r="A1" s="7" t="s">
        <v>130</v>
      </c>
      <c r="B1" s="18"/>
    </row>
    <row r="3" spans="1:11" ht="13" x14ac:dyDescent="0.3">
      <c r="A3" s="7" t="s">
        <v>122</v>
      </c>
      <c r="B3" s="20" t="s">
        <v>33</v>
      </c>
      <c r="C3" s="20" t="s">
        <v>44</v>
      </c>
      <c r="D3" s="21" t="s">
        <v>26</v>
      </c>
      <c r="E3" s="21" t="s">
        <v>27</v>
      </c>
      <c r="F3" s="21" t="s">
        <v>28</v>
      </c>
      <c r="G3" s="21" t="s">
        <v>29</v>
      </c>
      <c r="H3" s="21" t="s">
        <v>34</v>
      </c>
      <c r="I3" s="21" t="s">
        <v>268</v>
      </c>
      <c r="J3" s="21" t="s">
        <v>275</v>
      </c>
      <c r="K3" s="21" t="s">
        <v>45</v>
      </c>
    </row>
    <row r="4" spans="1:11" ht="13" x14ac:dyDescent="0.3">
      <c r="A4" s="2" t="s">
        <v>132</v>
      </c>
      <c r="B4" s="1" t="s">
        <v>46</v>
      </c>
      <c r="C4" s="2" t="s">
        <v>60</v>
      </c>
      <c r="D4" s="51">
        <v>0</v>
      </c>
      <c r="E4" s="51">
        <v>0</v>
      </c>
      <c r="F4" s="51">
        <v>0</v>
      </c>
      <c r="G4" s="51">
        <v>0</v>
      </c>
      <c r="H4" s="51">
        <v>0</v>
      </c>
      <c r="I4" s="51">
        <v>0</v>
      </c>
      <c r="J4" s="51">
        <v>0</v>
      </c>
      <c r="K4" s="49">
        <f>SUM(D4:J4)</f>
        <v>0</v>
      </c>
    </row>
    <row r="5" spans="1:11" ht="13" x14ac:dyDescent="0.3">
      <c r="A5" s="2" t="s">
        <v>131</v>
      </c>
      <c r="B5" s="1" t="s">
        <v>46</v>
      </c>
      <c r="C5" s="2" t="s">
        <v>60</v>
      </c>
      <c r="D5" s="51">
        <v>2592.911525</v>
      </c>
      <c r="E5" s="51">
        <v>2230.8171675000003</v>
      </c>
      <c r="F5" s="51">
        <v>1743.2751349999999</v>
      </c>
      <c r="G5" s="51">
        <v>1552.8942999999999</v>
      </c>
      <c r="H5" s="51">
        <v>1480.0943</v>
      </c>
      <c r="I5" s="51">
        <v>515.66000000000008</v>
      </c>
      <c r="J5" s="51">
        <v>515.66000000000008</v>
      </c>
      <c r="K5" s="49">
        <f>SUM(D5:J5)</f>
        <v>10631.312427500001</v>
      </c>
    </row>
    <row r="6" spans="1:11" ht="13" x14ac:dyDescent="0.3">
      <c r="K6" s="49"/>
    </row>
    <row r="7" spans="1:11" ht="13" x14ac:dyDescent="0.3">
      <c r="A7" s="2" t="s">
        <v>133</v>
      </c>
      <c r="B7" s="1" t="s">
        <v>46</v>
      </c>
      <c r="C7" s="2" t="s">
        <v>60</v>
      </c>
      <c r="D7" s="47">
        <v>0</v>
      </c>
      <c r="E7" s="47">
        <v>0</v>
      </c>
      <c r="F7" s="47">
        <v>0</v>
      </c>
      <c r="G7" s="47">
        <v>0</v>
      </c>
      <c r="H7" s="47">
        <v>0</v>
      </c>
      <c r="I7" s="47">
        <v>0</v>
      </c>
      <c r="J7" s="47">
        <v>0</v>
      </c>
      <c r="K7" s="49">
        <f t="shared" ref="K7:K8" si="0">SUM(D7:J7)</f>
        <v>0</v>
      </c>
    </row>
    <row r="8" spans="1:11" ht="13" x14ac:dyDescent="0.3">
      <c r="A8" s="2" t="s">
        <v>134</v>
      </c>
      <c r="B8" s="1" t="s">
        <v>46</v>
      </c>
      <c r="C8" s="2" t="s">
        <v>60</v>
      </c>
      <c r="D8" s="51">
        <v>47.5</v>
      </c>
      <c r="E8" s="51">
        <v>47.5</v>
      </c>
      <c r="F8" s="51">
        <v>10</v>
      </c>
      <c r="G8" s="51">
        <v>10</v>
      </c>
      <c r="H8" s="51">
        <v>10</v>
      </c>
      <c r="I8" s="51">
        <v>10</v>
      </c>
      <c r="J8" s="51">
        <v>10</v>
      </c>
      <c r="K8" s="49">
        <f t="shared" si="0"/>
        <v>145</v>
      </c>
    </row>
  </sheetData>
  <phoneticPr fontId="20" type="noConversion"/>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M31"/>
  <sheetViews>
    <sheetView showGridLines="0" topLeftCell="A9" zoomScale="85" zoomScaleNormal="85" workbookViewId="0">
      <selection activeCell="A18" sqref="A18"/>
    </sheetView>
  </sheetViews>
  <sheetFormatPr defaultColWidth="8.6328125" defaultRowHeight="12.5" x14ac:dyDescent="0.25"/>
  <cols>
    <col min="1" max="1" width="98.36328125" style="2" customWidth="1"/>
    <col min="2" max="2" width="8.6328125" style="2" customWidth="1"/>
    <col min="3" max="3" width="14.36328125" style="6" bestFit="1" customWidth="1"/>
    <col min="4" max="4" width="9.54296875" style="2" bestFit="1" customWidth="1"/>
    <col min="5" max="8" width="9" style="2" bestFit="1" customWidth="1"/>
    <col min="9" max="10" width="9" style="2" customWidth="1"/>
    <col min="11" max="11" width="10.54296875" style="2" bestFit="1" customWidth="1"/>
    <col min="12" max="16384" width="8.6328125" style="2"/>
  </cols>
  <sheetData>
    <row r="1" spans="1:13" ht="13" x14ac:dyDescent="0.3">
      <c r="A1" s="7" t="s">
        <v>135</v>
      </c>
      <c r="B1" s="18"/>
    </row>
    <row r="3" spans="1:13" ht="13" x14ac:dyDescent="0.3">
      <c r="A3" s="97" t="s">
        <v>141</v>
      </c>
      <c r="B3" s="20" t="s">
        <v>33</v>
      </c>
      <c r="C3" s="17" t="s">
        <v>44</v>
      </c>
      <c r="D3" s="21" t="s">
        <v>26</v>
      </c>
      <c r="E3" s="21" t="s">
        <v>27</v>
      </c>
      <c r="F3" s="21" t="s">
        <v>28</v>
      </c>
      <c r="G3" s="21" t="s">
        <v>29</v>
      </c>
      <c r="H3" s="21" t="s">
        <v>34</v>
      </c>
      <c r="I3" s="21" t="s">
        <v>268</v>
      </c>
      <c r="J3" s="21" t="s">
        <v>275</v>
      </c>
      <c r="K3" s="21" t="s">
        <v>45</v>
      </c>
      <c r="M3" s="10"/>
    </row>
    <row r="4" spans="1:13" ht="13" x14ac:dyDescent="0.3">
      <c r="B4" s="10"/>
      <c r="C4" s="9"/>
      <c r="D4" s="128"/>
      <c r="E4" s="52"/>
      <c r="F4" s="52"/>
      <c r="G4" s="52"/>
      <c r="H4" s="52"/>
      <c r="I4" s="52"/>
      <c r="J4" s="52"/>
      <c r="K4" s="52"/>
      <c r="M4" s="50"/>
    </row>
    <row r="5" spans="1:13" ht="13" x14ac:dyDescent="0.3">
      <c r="A5" s="2" t="s">
        <v>182</v>
      </c>
      <c r="B5" s="1" t="s">
        <v>46</v>
      </c>
      <c r="C5" s="6" t="s">
        <v>60</v>
      </c>
      <c r="D5" s="106">
        <v>0</v>
      </c>
      <c r="E5" s="106">
        <v>650.18597659175043</v>
      </c>
      <c r="F5" s="106">
        <v>1156.5686947759555</v>
      </c>
      <c r="G5" s="106">
        <v>688.03336931235106</v>
      </c>
      <c r="H5" s="106">
        <v>0</v>
      </c>
      <c r="I5" s="106">
        <v>0</v>
      </c>
      <c r="J5" s="106">
        <v>0</v>
      </c>
      <c r="K5" s="107">
        <f>SUM(D5:J5)</f>
        <v>2494.7880406800568</v>
      </c>
      <c r="M5" s="50"/>
    </row>
    <row r="6" spans="1:13" ht="13" x14ac:dyDescent="0.3">
      <c r="A6" s="2" t="s">
        <v>183</v>
      </c>
      <c r="B6" s="1" t="s">
        <v>46</v>
      </c>
      <c r="C6" s="6" t="s">
        <v>60</v>
      </c>
      <c r="D6" s="106">
        <v>0</v>
      </c>
      <c r="E6" s="106">
        <v>0</v>
      </c>
      <c r="F6" s="106">
        <v>0</v>
      </c>
      <c r="G6" s="106">
        <v>1123.8035853468432</v>
      </c>
      <c r="H6" s="106">
        <v>0</v>
      </c>
      <c r="I6" s="106">
        <v>0</v>
      </c>
      <c r="J6" s="106">
        <v>0</v>
      </c>
      <c r="K6" s="107">
        <f>SUM(D6:J6)</f>
        <v>1123.8035853468432</v>
      </c>
    </row>
    <row r="7" spans="1:13" ht="13" x14ac:dyDescent="0.3">
      <c r="A7" s="10" t="s">
        <v>149</v>
      </c>
      <c r="B7" s="16" t="s">
        <v>46</v>
      </c>
      <c r="C7" s="9" t="s">
        <v>60</v>
      </c>
      <c r="D7" s="103">
        <f>SUM(D5:D6)</f>
        <v>0</v>
      </c>
      <c r="E7" s="103">
        <f t="shared" ref="E7:H7" si="0">SUM(E5:E6)</f>
        <v>650.18597659175043</v>
      </c>
      <c r="F7" s="103">
        <f t="shared" si="0"/>
        <v>1156.5686947759555</v>
      </c>
      <c r="G7" s="103">
        <f t="shared" si="0"/>
        <v>1811.8369546591944</v>
      </c>
      <c r="H7" s="103">
        <f t="shared" si="0"/>
        <v>0</v>
      </c>
      <c r="I7" s="103">
        <f t="shared" ref="I7:J7" si="1">SUM(I5:I6)</f>
        <v>0</v>
      </c>
      <c r="J7" s="103">
        <f t="shared" si="1"/>
        <v>0</v>
      </c>
      <c r="K7" s="107">
        <f>SUM(D7:J7)</f>
        <v>3618.5916260269005</v>
      </c>
    </row>
    <row r="8" spans="1:13" x14ac:dyDescent="0.25">
      <c r="D8" s="101"/>
    </row>
    <row r="9" spans="1:13" ht="13" x14ac:dyDescent="0.3">
      <c r="A9" s="97" t="s">
        <v>142</v>
      </c>
      <c r="B9" s="20" t="s">
        <v>33</v>
      </c>
      <c r="C9" s="17" t="s">
        <v>44</v>
      </c>
      <c r="D9" s="129" t="s">
        <v>26</v>
      </c>
      <c r="E9" s="21" t="s">
        <v>27</v>
      </c>
      <c r="F9" s="21" t="s">
        <v>28</v>
      </c>
      <c r="G9" s="21" t="s">
        <v>29</v>
      </c>
      <c r="H9" s="21" t="s">
        <v>34</v>
      </c>
      <c r="I9" s="21" t="s">
        <v>268</v>
      </c>
      <c r="J9" s="21" t="s">
        <v>275</v>
      </c>
      <c r="K9" s="21" t="s">
        <v>45</v>
      </c>
    </row>
    <row r="10" spans="1:13" ht="13" x14ac:dyDescent="0.3">
      <c r="A10" s="105"/>
      <c r="B10" s="10"/>
      <c r="C10" s="9"/>
      <c r="D10" s="128"/>
      <c r="E10" s="52"/>
      <c r="F10" s="52"/>
      <c r="G10" s="128"/>
      <c r="H10" s="52"/>
      <c r="I10" s="52"/>
      <c r="J10" s="52"/>
      <c r="K10" s="52"/>
    </row>
    <row r="11" spans="1:13" ht="13" x14ac:dyDescent="0.3">
      <c r="A11" s="2" t="s">
        <v>136</v>
      </c>
      <c r="B11" s="1" t="s">
        <v>46</v>
      </c>
      <c r="C11" s="6" t="s">
        <v>85</v>
      </c>
      <c r="D11" s="93">
        <v>0</v>
      </c>
      <c r="E11" s="93">
        <v>0</v>
      </c>
      <c r="F11" s="93">
        <v>0</v>
      </c>
      <c r="G11" s="93">
        <v>0</v>
      </c>
      <c r="H11" s="94">
        <v>0</v>
      </c>
      <c r="I11" s="94">
        <v>0</v>
      </c>
      <c r="J11" s="94">
        <v>0</v>
      </c>
      <c r="K11" s="102">
        <f>SUM(D11:J11)</f>
        <v>0</v>
      </c>
    </row>
    <row r="12" spans="1:13" ht="13" x14ac:dyDescent="0.3">
      <c r="A12" s="2" t="s">
        <v>137</v>
      </c>
      <c r="B12" s="1" t="s">
        <v>46</v>
      </c>
      <c r="C12" s="6" t="s">
        <v>85</v>
      </c>
      <c r="D12" s="93">
        <v>1312.5953170748528</v>
      </c>
      <c r="E12" s="93">
        <v>3690.56754</v>
      </c>
      <c r="F12" s="93">
        <v>2853.1448958804613</v>
      </c>
      <c r="G12" s="93">
        <v>3385.6579899999997</v>
      </c>
      <c r="H12" s="94">
        <f>'Cost Sharing'!H21</f>
        <v>1847.5758543063198</v>
      </c>
      <c r="I12" s="94">
        <f>'Cost Sharing'!I21</f>
        <v>664.79970229363653</v>
      </c>
      <c r="J12" s="94">
        <f>'Cost Sharing'!J21</f>
        <v>678.91775272573932</v>
      </c>
      <c r="K12" s="102">
        <f>SUM(D12:J12)</f>
        <v>14433.25905228101</v>
      </c>
    </row>
    <row r="13" spans="1:13" ht="13" x14ac:dyDescent="0.3">
      <c r="A13" s="10" t="s">
        <v>150</v>
      </c>
      <c r="B13" s="16" t="s">
        <v>46</v>
      </c>
      <c r="C13" s="9" t="s">
        <v>85</v>
      </c>
      <c r="D13" s="103">
        <f>SUM(D11:D12)</f>
        <v>1312.5953170748528</v>
      </c>
      <c r="E13" s="103">
        <f t="shared" ref="E13:I13" si="2">SUM(E11:E12)</f>
        <v>3690.56754</v>
      </c>
      <c r="F13" s="103">
        <f t="shared" si="2"/>
        <v>2853.1448958804613</v>
      </c>
      <c r="G13" s="103">
        <f t="shared" si="2"/>
        <v>3385.6579899999997</v>
      </c>
      <c r="H13" s="102">
        <f t="shared" si="2"/>
        <v>1847.5758543063198</v>
      </c>
      <c r="I13" s="102">
        <f t="shared" si="2"/>
        <v>664.79970229363653</v>
      </c>
      <c r="J13" s="102">
        <f t="shared" ref="J13" si="3">SUM(J11:J12)</f>
        <v>678.91775272573932</v>
      </c>
      <c r="K13" s="102">
        <f t="shared" ref="K13:K19" si="4">SUM(D13:J13)</f>
        <v>14433.25905228101</v>
      </c>
    </row>
    <row r="14" spans="1:13" ht="13" x14ac:dyDescent="0.3">
      <c r="D14" s="101"/>
      <c r="E14" s="101"/>
      <c r="F14" s="101"/>
      <c r="G14" s="101"/>
      <c r="H14" s="98"/>
      <c r="I14" s="98"/>
      <c r="J14" s="98"/>
      <c r="K14" s="102"/>
    </row>
    <row r="15" spans="1:13" ht="13" x14ac:dyDescent="0.3">
      <c r="A15" s="2" t="s">
        <v>138</v>
      </c>
      <c r="B15" s="1" t="s">
        <v>46</v>
      </c>
      <c r="C15" s="6" t="s">
        <v>85</v>
      </c>
      <c r="D15" s="93">
        <v>0</v>
      </c>
      <c r="E15" s="93">
        <v>0</v>
      </c>
      <c r="F15" s="93">
        <v>0</v>
      </c>
      <c r="G15" s="93">
        <v>0</v>
      </c>
      <c r="H15" s="94">
        <v>0</v>
      </c>
      <c r="I15" s="94">
        <v>0</v>
      </c>
      <c r="J15" s="94">
        <v>0</v>
      </c>
      <c r="K15" s="102">
        <f t="shared" si="4"/>
        <v>0</v>
      </c>
    </row>
    <row r="16" spans="1:13" ht="13" x14ac:dyDescent="0.3">
      <c r="A16" s="2" t="s">
        <v>139</v>
      </c>
      <c r="B16" s="1" t="s">
        <v>46</v>
      </c>
      <c r="C16" s="6" t="s">
        <v>85</v>
      </c>
      <c r="D16" s="93">
        <v>123.6954329251467</v>
      </c>
      <c r="E16" s="93">
        <v>30.893149999999995</v>
      </c>
      <c r="F16" s="93">
        <v>178.04561000000001</v>
      </c>
      <c r="G16" s="93">
        <v>1438.5687999999998</v>
      </c>
      <c r="H16" s="94">
        <f>'Cost Sharing'!H22</f>
        <v>12.482825278810409</v>
      </c>
      <c r="I16" s="94">
        <f>'Cost Sharing'!I22</f>
        <v>12.892210027801971</v>
      </c>
      <c r="J16" s="94">
        <f>'Cost Sharing'!J22</f>
        <v>13.165996057978886</v>
      </c>
      <c r="K16" s="102">
        <f t="shared" si="4"/>
        <v>1809.7440242897378</v>
      </c>
    </row>
    <row r="17" spans="1:11" ht="13" x14ac:dyDescent="0.3">
      <c r="A17" s="10" t="s">
        <v>151</v>
      </c>
      <c r="B17" s="16" t="s">
        <v>46</v>
      </c>
      <c r="C17" s="9" t="s">
        <v>85</v>
      </c>
      <c r="D17" s="103">
        <f>SUM(D15:D16)</f>
        <v>123.6954329251467</v>
      </c>
      <c r="E17" s="103">
        <f t="shared" ref="E17:H17" si="5">SUM(E15:E16)</f>
        <v>30.893149999999995</v>
      </c>
      <c r="F17" s="103">
        <f t="shared" si="5"/>
        <v>178.04561000000001</v>
      </c>
      <c r="G17" s="103">
        <f t="shared" si="5"/>
        <v>1438.5687999999998</v>
      </c>
      <c r="H17" s="102">
        <f t="shared" si="5"/>
        <v>12.482825278810409</v>
      </c>
      <c r="I17" s="102">
        <f t="shared" ref="I17" si="6">SUM(I15:I16)</f>
        <v>12.892210027801971</v>
      </c>
      <c r="J17" s="102">
        <f t="shared" ref="J17" si="7">SUM(J15:J16)</f>
        <v>13.165996057978886</v>
      </c>
      <c r="K17" s="102">
        <f t="shared" si="4"/>
        <v>1809.7440242897378</v>
      </c>
    </row>
    <row r="18" spans="1:11" ht="13" x14ac:dyDescent="0.3">
      <c r="D18" s="101"/>
      <c r="E18" s="101"/>
      <c r="F18" s="101"/>
      <c r="G18" s="101"/>
      <c r="K18" s="102"/>
    </row>
    <row r="19" spans="1:11" ht="13" x14ac:dyDescent="0.3">
      <c r="A19" s="10" t="s">
        <v>145</v>
      </c>
      <c r="B19" s="16" t="s">
        <v>46</v>
      </c>
      <c r="C19" s="9" t="s">
        <v>85</v>
      </c>
      <c r="D19" s="103">
        <f>D13+D17</f>
        <v>1436.2907499999994</v>
      </c>
      <c r="E19" s="103">
        <f t="shared" ref="E19:H19" si="8">E13+E17</f>
        <v>3721.4606899999999</v>
      </c>
      <c r="F19" s="103">
        <f t="shared" si="8"/>
        <v>3031.1905058804614</v>
      </c>
      <c r="G19" s="103">
        <f t="shared" si="8"/>
        <v>4824.2267899999997</v>
      </c>
      <c r="H19" s="102">
        <f t="shared" si="8"/>
        <v>1860.0586795851302</v>
      </c>
      <c r="I19" s="102">
        <f t="shared" ref="I19" si="9">I13+I17</f>
        <v>677.69191232143851</v>
      </c>
      <c r="J19" s="102">
        <f t="shared" ref="J19" si="10">J13+J17</f>
        <v>692.08374878371819</v>
      </c>
      <c r="K19" s="102">
        <f t="shared" si="4"/>
        <v>16243.003076570747</v>
      </c>
    </row>
    <row r="20" spans="1:11" x14ac:dyDescent="0.25">
      <c r="D20" s="101"/>
    </row>
    <row r="21" spans="1:11" x14ac:dyDescent="0.25">
      <c r="D21" s="101"/>
    </row>
    <row r="22" spans="1:11" ht="13" x14ac:dyDescent="0.3">
      <c r="A22" s="97" t="s">
        <v>148</v>
      </c>
      <c r="B22" s="20" t="s">
        <v>33</v>
      </c>
      <c r="C22" s="17" t="s">
        <v>44</v>
      </c>
      <c r="D22" s="129" t="s">
        <v>26</v>
      </c>
      <c r="E22" s="21" t="s">
        <v>27</v>
      </c>
      <c r="F22" s="21" t="s">
        <v>28</v>
      </c>
      <c r="G22" s="21" t="s">
        <v>29</v>
      </c>
      <c r="H22" s="21" t="s">
        <v>34</v>
      </c>
      <c r="I22" s="21" t="s">
        <v>268</v>
      </c>
      <c r="J22" s="21" t="s">
        <v>275</v>
      </c>
      <c r="K22" s="21" t="s">
        <v>45</v>
      </c>
    </row>
    <row r="23" spans="1:11" x14ac:dyDescent="0.25">
      <c r="D23" s="101"/>
    </row>
    <row r="24" spans="1:11" ht="13" x14ac:dyDescent="0.3">
      <c r="A24" s="2" t="s">
        <v>152</v>
      </c>
      <c r="B24" s="1" t="s">
        <v>46</v>
      </c>
      <c r="C24" s="6" t="s">
        <v>85</v>
      </c>
      <c r="D24" s="106">
        <v>0</v>
      </c>
      <c r="E24" s="106">
        <v>0</v>
      </c>
      <c r="F24" s="106">
        <v>0</v>
      </c>
      <c r="G24" s="96">
        <v>0</v>
      </c>
      <c r="H24" s="96">
        <v>0</v>
      </c>
      <c r="I24" s="96">
        <v>0</v>
      </c>
      <c r="J24" s="96">
        <v>0</v>
      </c>
      <c r="K24" s="100">
        <f>SUM(D24:J24)</f>
        <v>0</v>
      </c>
    </row>
    <row r="25" spans="1:11" ht="13" x14ac:dyDescent="0.3">
      <c r="A25" s="2" t="s">
        <v>153</v>
      </c>
      <c r="B25" s="1" t="s">
        <v>46</v>
      </c>
      <c r="C25" s="6" t="s">
        <v>85</v>
      </c>
      <c r="D25" s="106">
        <v>0</v>
      </c>
      <c r="E25" s="106">
        <v>0</v>
      </c>
      <c r="F25" s="106">
        <v>0</v>
      </c>
      <c r="G25" s="96">
        <v>0</v>
      </c>
      <c r="H25" s="96">
        <v>0</v>
      </c>
      <c r="I25" s="96">
        <v>0</v>
      </c>
      <c r="J25" s="96">
        <v>0</v>
      </c>
      <c r="K25" s="100">
        <f t="shared" ref="K25:K27" si="11">SUM(D25:J25)</f>
        <v>0</v>
      </c>
    </row>
    <row r="26" spans="1:11" ht="13" x14ac:dyDescent="0.3">
      <c r="D26" s="101"/>
      <c r="E26" s="101"/>
      <c r="F26" s="101"/>
      <c r="K26" s="100"/>
    </row>
    <row r="27" spans="1:11" ht="13" x14ac:dyDescent="0.3">
      <c r="A27" s="10" t="s">
        <v>154</v>
      </c>
      <c r="B27" s="16" t="s">
        <v>46</v>
      </c>
      <c r="C27" s="9" t="s">
        <v>85</v>
      </c>
      <c r="D27" s="130">
        <f>D24+D25</f>
        <v>0</v>
      </c>
      <c r="E27" s="130">
        <f t="shared" ref="E27:H27" si="12">E24+E25</f>
        <v>0</v>
      </c>
      <c r="F27" s="130">
        <f t="shared" si="12"/>
        <v>0</v>
      </c>
      <c r="G27" s="108">
        <f t="shared" si="12"/>
        <v>0</v>
      </c>
      <c r="H27" s="108">
        <f t="shared" si="12"/>
        <v>0</v>
      </c>
      <c r="I27" s="108">
        <f t="shared" ref="I27:J27" si="13">I24+I25</f>
        <v>0</v>
      </c>
      <c r="J27" s="108">
        <f t="shared" si="13"/>
        <v>0</v>
      </c>
      <c r="K27" s="100">
        <f t="shared" si="11"/>
        <v>0</v>
      </c>
    </row>
    <row r="28" spans="1:11" x14ac:dyDescent="0.25">
      <c r="D28" s="101"/>
    </row>
    <row r="29" spans="1:11" ht="13" x14ac:dyDescent="0.3">
      <c r="A29" s="97" t="s">
        <v>174</v>
      </c>
      <c r="B29" s="20" t="s">
        <v>33</v>
      </c>
      <c r="C29" s="17" t="s">
        <v>44</v>
      </c>
      <c r="D29" s="129" t="s">
        <v>26</v>
      </c>
      <c r="E29" s="21" t="s">
        <v>27</v>
      </c>
      <c r="F29" s="21" t="s">
        <v>28</v>
      </c>
      <c r="G29" s="21" t="s">
        <v>29</v>
      </c>
      <c r="H29" s="21" t="s">
        <v>34</v>
      </c>
      <c r="I29" s="21" t="s">
        <v>268</v>
      </c>
      <c r="J29" s="21" t="s">
        <v>275</v>
      </c>
    </row>
    <row r="30" spans="1:11" x14ac:dyDescent="0.25">
      <c r="D30" s="101"/>
    </row>
    <row r="31" spans="1:11" ht="13" x14ac:dyDescent="0.3">
      <c r="A31" s="2" t="s">
        <v>175</v>
      </c>
      <c r="B31" s="1" t="s">
        <v>25</v>
      </c>
      <c r="C31" s="6" t="s">
        <v>184</v>
      </c>
      <c r="D31" s="131">
        <v>0.19</v>
      </c>
      <c r="E31" s="131">
        <v>0.19</v>
      </c>
      <c r="F31" s="131">
        <v>0.22</v>
      </c>
      <c r="G31" s="131">
        <v>0.25</v>
      </c>
      <c r="H31" s="111">
        <v>0.25</v>
      </c>
      <c r="I31" s="111">
        <v>0.25</v>
      </c>
      <c r="J31" s="111">
        <v>0.25</v>
      </c>
    </row>
  </sheetData>
  <pageMargins left="0.7" right="0.7" top="0.75" bottom="0.75" header="0.3" footer="0.3"/>
  <pageSetup orientation="portrait" horizontalDpi="90" verticalDpi="9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3:Y77"/>
  <sheetViews>
    <sheetView showGridLines="0" topLeftCell="A34" zoomScale="85" zoomScaleNormal="85" workbookViewId="0"/>
  </sheetViews>
  <sheetFormatPr defaultColWidth="8.6328125" defaultRowHeight="12.5" x14ac:dyDescent="0.25"/>
  <cols>
    <col min="1" max="1" width="87.54296875" style="2" bestFit="1" customWidth="1"/>
    <col min="2" max="2" width="8.6328125" style="2"/>
    <col min="3" max="3" width="14.08984375" style="2" customWidth="1"/>
    <col min="4" max="4" width="12.36328125" style="2" customWidth="1"/>
    <col min="5" max="23" width="11.453125" style="2" customWidth="1"/>
    <col min="24" max="24" width="10.90625" style="2" customWidth="1"/>
    <col min="25" max="25" width="11.08984375" style="2" customWidth="1"/>
    <col min="26" max="16384" width="8.6328125" style="2"/>
  </cols>
  <sheetData>
    <row r="3" spans="1:9" ht="13" x14ac:dyDescent="0.3">
      <c r="A3" s="10" t="s">
        <v>43</v>
      </c>
    </row>
    <row r="4" spans="1:9" s="1" customFormat="1" ht="13" x14ac:dyDescent="0.3">
      <c r="A4" s="10"/>
      <c r="B4" s="20" t="s">
        <v>33</v>
      </c>
      <c r="C4" s="20" t="s">
        <v>44</v>
      </c>
      <c r="D4" s="21" t="s">
        <v>20</v>
      </c>
      <c r="E4" s="21" t="s">
        <v>21</v>
      </c>
      <c r="F4" s="21" t="s">
        <v>22</v>
      </c>
      <c r="G4" s="21" t="s">
        <v>23</v>
      </c>
      <c r="H4" s="21" t="s">
        <v>24</v>
      </c>
      <c r="I4" s="21" t="s">
        <v>45</v>
      </c>
    </row>
    <row r="5" spans="1:9" x14ac:dyDescent="0.25">
      <c r="A5" s="2" t="s">
        <v>209</v>
      </c>
      <c r="B5" s="1" t="s">
        <v>46</v>
      </c>
      <c r="C5" s="2" t="s">
        <v>85</v>
      </c>
      <c r="D5" s="25">
        <v>782.63641999999948</v>
      </c>
      <c r="E5" s="25">
        <v>672.08304999999996</v>
      </c>
      <c r="F5" s="25">
        <v>351.78513000000061</v>
      </c>
      <c r="G5" s="25">
        <v>790.51715000000013</v>
      </c>
      <c r="H5" s="41">
        <v>712.67340000000002</v>
      </c>
      <c r="I5" s="25">
        <f>SUM(D5:H5)</f>
        <v>3309.6951500000005</v>
      </c>
    </row>
    <row r="6" spans="1:9" x14ac:dyDescent="0.25">
      <c r="A6" s="2" t="s">
        <v>210</v>
      </c>
      <c r="B6" s="1" t="s">
        <v>46</v>
      </c>
      <c r="C6" s="2" t="s">
        <v>85</v>
      </c>
      <c r="D6" s="25">
        <v>200.24249</v>
      </c>
      <c r="E6" s="25">
        <v>27.20364</v>
      </c>
      <c r="F6" s="25">
        <v>18.069179999999999</v>
      </c>
      <c r="G6" s="25">
        <v>67.90222</v>
      </c>
      <c r="H6" s="41">
        <v>-0.51621999999999701</v>
      </c>
      <c r="I6" s="25">
        <f>SUM(D6:H6)</f>
        <v>312.90131000000002</v>
      </c>
    </row>
    <row r="9" spans="1:9" ht="13" x14ac:dyDescent="0.3">
      <c r="A9" s="10" t="s">
        <v>215</v>
      </c>
    </row>
    <row r="10" spans="1:9" ht="13" x14ac:dyDescent="0.3">
      <c r="B10" s="20" t="s">
        <v>33</v>
      </c>
      <c r="C10" s="20" t="s">
        <v>44</v>
      </c>
      <c r="D10" s="21" t="s">
        <v>20</v>
      </c>
      <c r="E10" s="21" t="s">
        <v>21</v>
      </c>
      <c r="F10" s="21" t="s">
        <v>22</v>
      </c>
      <c r="G10" s="21" t="s">
        <v>23</v>
      </c>
      <c r="H10" s="21" t="s">
        <v>24</v>
      </c>
      <c r="I10" s="21" t="s">
        <v>45</v>
      </c>
    </row>
    <row r="11" spans="1:9" x14ac:dyDescent="0.25">
      <c r="A11" s="2" t="s">
        <v>191</v>
      </c>
      <c r="B11" s="1" t="s">
        <v>46</v>
      </c>
      <c r="C11" s="2" t="s">
        <v>85</v>
      </c>
      <c r="D11" s="25">
        <v>3203.5980985317724</v>
      </c>
      <c r="E11" s="25">
        <v>2084.8479247797177</v>
      </c>
      <c r="F11" s="25">
        <v>1533.4295596499944</v>
      </c>
      <c r="G11" s="25">
        <v>2393.9180433502825</v>
      </c>
      <c r="H11" s="25">
        <v>2666.1787606091402</v>
      </c>
      <c r="I11" s="47">
        <f>SUM(D11:H11)</f>
        <v>11881.972386920907</v>
      </c>
    </row>
    <row r="12" spans="1:9" ht="13" x14ac:dyDescent="0.3">
      <c r="A12" s="120" t="s">
        <v>217</v>
      </c>
      <c r="D12" s="83"/>
      <c r="E12" s="83"/>
      <c r="F12" s="83"/>
      <c r="G12" s="83"/>
      <c r="H12" s="83"/>
      <c r="I12" s="47"/>
    </row>
    <row r="17" spans="1:18" ht="13" x14ac:dyDescent="0.3">
      <c r="A17" s="7" t="s">
        <v>86</v>
      </c>
      <c r="B17" s="7"/>
    </row>
    <row r="19" spans="1:18" ht="13" x14ac:dyDescent="0.3">
      <c r="A19" s="7" t="s">
        <v>52</v>
      </c>
      <c r="B19" s="18"/>
    </row>
    <row r="20" spans="1:18" ht="13" x14ac:dyDescent="0.3">
      <c r="B20" s="20" t="s">
        <v>33</v>
      </c>
      <c r="C20" s="20" t="s">
        <v>44</v>
      </c>
      <c r="D20" s="26"/>
    </row>
    <row r="21" spans="1:18" ht="13" x14ac:dyDescent="0.3">
      <c r="A21" s="10" t="s">
        <v>87</v>
      </c>
      <c r="B21" s="1" t="s">
        <v>46</v>
      </c>
      <c r="C21" s="2" t="s">
        <v>47</v>
      </c>
      <c r="D21" s="41">
        <v>16552.87475049901</v>
      </c>
    </row>
    <row r="23" spans="1:18" ht="13" x14ac:dyDescent="0.3">
      <c r="B23" s="26"/>
      <c r="C23" s="23" t="s">
        <v>49</v>
      </c>
      <c r="D23" s="28">
        <v>39387</v>
      </c>
      <c r="E23" s="28">
        <v>39539</v>
      </c>
      <c r="F23" s="28">
        <v>39722</v>
      </c>
      <c r="G23" s="28">
        <v>40087</v>
      </c>
      <c r="H23" s="28">
        <v>40269</v>
      </c>
      <c r="I23" s="28">
        <v>40452</v>
      </c>
      <c r="J23" s="28">
        <v>40817</v>
      </c>
      <c r="K23" s="28">
        <v>41183</v>
      </c>
      <c r="L23" s="28">
        <v>41548</v>
      </c>
      <c r="M23" s="28">
        <v>41913</v>
      </c>
      <c r="N23" s="28">
        <v>42278</v>
      </c>
      <c r="O23" s="28">
        <v>42644</v>
      </c>
      <c r="P23" s="28">
        <v>43009</v>
      </c>
      <c r="Q23" s="28">
        <v>43374</v>
      </c>
      <c r="R23" s="28">
        <v>43739</v>
      </c>
    </row>
    <row r="24" spans="1:18" ht="13" x14ac:dyDescent="0.3">
      <c r="B24" s="26"/>
      <c r="C24" s="23" t="s">
        <v>50</v>
      </c>
      <c r="D24" s="28">
        <v>39538</v>
      </c>
      <c r="E24" s="28">
        <v>39721</v>
      </c>
      <c r="F24" s="28">
        <v>40086</v>
      </c>
      <c r="G24" s="28">
        <v>40268</v>
      </c>
      <c r="H24" s="28">
        <v>40451</v>
      </c>
      <c r="I24" s="28">
        <v>40816</v>
      </c>
      <c r="J24" s="28">
        <v>41182</v>
      </c>
      <c r="K24" s="28">
        <v>41547</v>
      </c>
      <c r="L24" s="28">
        <v>41912</v>
      </c>
      <c r="M24" s="28">
        <v>42277</v>
      </c>
      <c r="N24" s="28">
        <v>42643</v>
      </c>
      <c r="O24" s="28">
        <v>43008</v>
      </c>
      <c r="P24" s="28">
        <v>43373</v>
      </c>
      <c r="Q24" s="28">
        <v>43738</v>
      </c>
      <c r="R24" s="28">
        <v>44104</v>
      </c>
    </row>
    <row r="25" spans="1:18" ht="13" x14ac:dyDescent="0.3">
      <c r="B25" s="20" t="s">
        <v>33</v>
      </c>
      <c r="C25" s="20" t="s">
        <v>44</v>
      </c>
      <c r="D25" s="26"/>
      <c r="E25" s="26"/>
      <c r="F25" s="26"/>
      <c r="G25" s="26"/>
      <c r="H25" s="26"/>
      <c r="I25" s="26"/>
      <c r="J25" s="26"/>
      <c r="K25" s="26"/>
      <c r="L25" s="26"/>
      <c r="M25" s="26"/>
      <c r="N25" s="26"/>
      <c r="O25" s="26"/>
      <c r="P25" s="26"/>
      <c r="Q25" s="26"/>
      <c r="R25" s="26"/>
    </row>
    <row r="26" spans="1:18" ht="13" x14ac:dyDescent="0.3">
      <c r="A26" s="10" t="s">
        <v>88</v>
      </c>
      <c r="B26" s="10"/>
      <c r="C26" s="10"/>
    </row>
    <row r="27" spans="1:18" x14ac:dyDescent="0.25">
      <c r="A27" s="2" t="s">
        <v>54</v>
      </c>
      <c r="B27" s="1" t="s">
        <v>46</v>
      </c>
      <c r="C27" s="2" t="s">
        <v>47</v>
      </c>
      <c r="D27" s="25">
        <v>2116.7832446290081</v>
      </c>
      <c r="E27" s="25">
        <v>1262.6801421709006</v>
      </c>
      <c r="F27" s="25">
        <v>2346.1860374137109</v>
      </c>
      <c r="G27" s="25">
        <v>1466.300982890592</v>
      </c>
      <c r="H27" s="25"/>
      <c r="I27" s="25"/>
      <c r="J27" s="25"/>
      <c r="K27" s="25"/>
      <c r="L27" s="25"/>
      <c r="M27" s="25"/>
      <c r="N27" s="25"/>
      <c r="O27" s="25"/>
      <c r="P27" s="25"/>
      <c r="Q27" s="25"/>
      <c r="R27" s="25"/>
    </row>
    <row r="28" spans="1:18" x14ac:dyDescent="0.25">
      <c r="A28" s="2" t="s">
        <v>89</v>
      </c>
      <c r="B28" s="1" t="s">
        <v>46</v>
      </c>
      <c r="C28" s="2" t="s">
        <v>47</v>
      </c>
      <c r="D28" s="25"/>
      <c r="E28" s="25"/>
      <c r="F28" s="25">
        <v>1308.4658697862565</v>
      </c>
      <c r="G28" s="25">
        <v>1568.8724418280337</v>
      </c>
      <c r="H28" s="25"/>
      <c r="I28" s="25"/>
      <c r="J28" s="25"/>
      <c r="K28" s="25"/>
      <c r="L28" s="25"/>
      <c r="M28" s="25"/>
      <c r="N28" s="25"/>
      <c r="O28" s="25"/>
      <c r="P28" s="25"/>
      <c r="Q28" s="25"/>
      <c r="R28" s="25"/>
    </row>
    <row r="29" spans="1:18" x14ac:dyDescent="0.25">
      <c r="A29" s="2" t="s">
        <v>90</v>
      </c>
      <c r="B29" s="1" t="s">
        <v>46</v>
      </c>
      <c r="C29" s="2" t="s">
        <v>47</v>
      </c>
      <c r="D29" s="25"/>
      <c r="E29" s="25"/>
      <c r="F29" s="25"/>
      <c r="G29" s="25"/>
      <c r="H29" s="25">
        <v>1047.8191202872531</v>
      </c>
      <c r="I29" s="25">
        <v>1013.3891382405744</v>
      </c>
      <c r="J29" s="25">
        <v>1365.722621184919</v>
      </c>
      <c r="K29" s="25">
        <v>281.17818671454216</v>
      </c>
      <c r="L29" s="25">
        <v>1589.5175044883301</v>
      </c>
      <c r="M29" s="25">
        <v>418.89811490125669</v>
      </c>
      <c r="N29" s="25"/>
      <c r="O29" s="25"/>
      <c r="P29" s="25"/>
      <c r="Q29" s="25"/>
      <c r="R29" s="25"/>
    </row>
    <row r="30" spans="1:18" x14ac:dyDescent="0.25">
      <c r="A30" s="2" t="s">
        <v>57</v>
      </c>
      <c r="B30" s="1" t="s">
        <v>46</v>
      </c>
      <c r="C30" s="2" t="s">
        <v>47</v>
      </c>
      <c r="D30" s="25">
        <v>687.15121839654023</v>
      </c>
      <c r="E30" s="25">
        <v>827.64373752494998</v>
      </c>
      <c r="F30" s="25">
        <v>1656.5634231536922</v>
      </c>
      <c r="G30" s="25">
        <v>828.28171157684608</v>
      </c>
      <c r="H30" s="25">
        <v>1034.5546719061877</v>
      </c>
      <c r="I30" s="25">
        <v>2069.1093438123753</v>
      </c>
      <c r="J30" s="25">
        <v>2069.1093438123753</v>
      </c>
      <c r="K30" s="25">
        <v>2069.1093438123753</v>
      </c>
      <c r="L30" s="25">
        <v>2069.1093438123753</v>
      </c>
      <c r="M30" s="25">
        <v>2069.1093438123753</v>
      </c>
      <c r="N30" s="25"/>
      <c r="O30" s="25"/>
      <c r="P30" s="25"/>
      <c r="Q30" s="25"/>
      <c r="R30" s="25"/>
    </row>
    <row r="31" spans="1:18" x14ac:dyDescent="0.25">
      <c r="A31" s="2" t="s">
        <v>58</v>
      </c>
      <c r="B31" s="1" t="s">
        <v>46</v>
      </c>
      <c r="C31" s="2" t="s">
        <v>47</v>
      </c>
      <c r="D31" s="25"/>
      <c r="E31" s="25"/>
      <c r="F31" s="25">
        <v>71.046407396004938</v>
      </c>
      <c r="G31" s="25">
        <v>65.423293489312812</v>
      </c>
      <c r="H31" s="25"/>
      <c r="I31" s="25"/>
      <c r="J31" s="25"/>
      <c r="K31" s="25"/>
      <c r="L31" s="25"/>
      <c r="M31" s="25"/>
      <c r="N31" s="25"/>
      <c r="O31" s="25"/>
      <c r="P31" s="25"/>
      <c r="Q31" s="25"/>
      <c r="R31" s="25"/>
    </row>
    <row r="32" spans="1:18" x14ac:dyDescent="0.25">
      <c r="A32" s="2" t="s">
        <v>59</v>
      </c>
      <c r="B32" s="1" t="s">
        <v>46</v>
      </c>
      <c r="C32" s="2" t="s">
        <v>47</v>
      </c>
      <c r="D32" s="25"/>
      <c r="E32" s="25"/>
      <c r="F32" s="25"/>
      <c r="G32" s="25">
        <v>12.377105725354388</v>
      </c>
      <c r="H32" s="25"/>
      <c r="I32" s="25"/>
      <c r="J32" s="25"/>
      <c r="K32" s="25"/>
      <c r="L32" s="25"/>
      <c r="M32" s="25"/>
      <c r="N32" s="25"/>
      <c r="O32" s="25"/>
      <c r="P32" s="25"/>
      <c r="Q32" s="25"/>
      <c r="R32" s="25"/>
    </row>
    <row r="33" spans="1:18" x14ac:dyDescent="0.25">
      <c r="B33" s="1"/>
      <c r="D33" s="25"/>
      <c r="E33" s="25"/>
      <c r="F33" s="25"/>
      <c r="G33" s="25"/>
      <c r="H33" s="25"/>
      <c r="I33" s="25"/>
      <c r="J33" s="25"/>
      <c r="K33" s="25"/>
      <c r="L33" s="25"/>
      <c r="M33" s="25"/>
      <c r="N33" s="25"/>
      <c r="O33" s="25"/>
      <c r="P33" s="25"/>
      <c r="Q33" s="25"/>
      <c r="R33" s="25"/>
    </row>
    <row r="34" spans="1:18" ht="13" x14ac:dyDescent="0.3">
      <c r="A34" s="10" t="s">
        <v>91</v>
      </c>
      <c r="D34" s="43"/>
      <c r="E34" s="43"/>
      <c r="F34" s="43"/>
      <c r="G34" s="43"/>
      <c r="H34" s="43"/>
      <c r="I34" s="43"/>
      <c r="J34" s="43"/>
      <c r="K34" s="43"/>
      <c r="L34" s="43"/>
      <c r="M34" s="43"/>
      <c r="N34" s="43"/>
      <c r="O34" s="43"/>
      <c r="P34" s="43"/>
      <c r="Q34" s="43"/>
      <c r="R34" s="43"/>
    </row>
    <row r="35" spans="1:18" x14ac:dyDescent="0.25">
      <c r="A35" s="2" t="s">
        <v>51</v>
      </c>
      <c r="B35" s="1" t="s">
        <v>46</v>
      </c>
      <c r="C35" s="2" t="s">
        <v>47</v>
      </c>
      <c r="D35" s="25"/>
      <c r="E35" s="25"/>
      <c r="F35" s="25"/>
      <c r="G35" s="25"/>
      <c r="H35" s="25"/>
      <c r="I35" s="25"/>
      <c r="J35" s="25"/>
      <c r="K35" s="25"/>
      <c r="L35" s="25"/>
      <c r="M35" s="25"/>
      <c r="N35" s="25">
        <v>1408.5</v>
      </c>
      <c r="O35" s="25">
        <v>1304.1000000000001</v>
      </c>
      <c r="P35" s="25">
        <v>1035</v>
      </c>
      <c r="Q35" s="25">
        <v>1369.8</v>
      </c>
      <c r="R35" s="25">
        <v>1717.1999999999998</v>
      </c>
    </row>
    <row r="36" spans="1:18" x14ac:dyDescent="0.25">
      <c r="A36" s="2" t="s">
        <v>92</v>
      </c>
      <c r="B36" s="1" t="s">
        <v>46</v>
      </c>
      <c r="C36" s="2" t="s">
        <v>47</v>
      </c>
      <c r="D36" s="25"/>
      <c r="E36" s="25"/>
      <c r="F36" s="25"/>
      <c r="G36" s="25"/>
      <c r="H36" s="25"/>
      <c r="I36" s="25"/>
      <c r="J36" s="25"/>
      <c r="K36" s="25"/>
      <c r="L36" s="25"/>
      <c r="M36" s="25"/>
      <c r="N36" s="25">
        <v>3999.2616251784443</v>
      </c>
      <c r="O36" s="25">
        <v>1762.9726765238149</v>
      </c>
      <c r="P36" s="25">
        <v>1363.870779847397</v>
      </c>
      <c r="Q36" s="25">
        <v>1312.7862152154398</v>
      </c>
      <c r="R36" s="25">
        <v>1272.6674596050275</v>
      </c>
    </row>
    <row r="38" spans="1:18" ht="13" x14ac:dyDescent="0.3">
      <c r="A38" s="7" t="s">
        <v>71</v>
      </c>
      <c r="B38" s="18"/>
    </row>
    <row r="39" spans="1:18" ht="13" x14ac:dyDescent="0.3">
      <c r="A39" s="10"/>
      <c r="B39" s="20" t="s">
        <v>33</v>
      </c>
      <c r="C39" s="20" t="s">
        <v>44</v>
      </c>
      <c r="D39" s="26"/>
    </row>
    <row r="40" spans="1:18" ht="13" x14ac:dyDescent="0.3">
      <c r="A40" s="10" t="s">
        <v>93</v>
      </c>
      <c r="B40" s="1" t="s">
        <v>46</v>
      </c>
      <c r="C40" s="2" t="s">
        <v>47</v>
      </c>
      <c r="D40" s="43">
        <v>0</v>
      </c>
    </row>
    <row r="41" spans="1:18" ht="13" x14ac:dyDescent="0.3">
      <c r="A41" s="10"/>
    </row>
    <row r="42" spans="1:18" ht="13" x14ac:dyDescent="0.3">
      <c r="B42" s="26"/>
      <c r="C42" s="23" t="s">
        <v>49</v>
      </c>
      <c r="D42" s="28">
        <v>39387</v>
      </c>
      <c r="E42" s="28">
        <v>39539</v>
      </c>
      <c r="F42" s="28">
        <v>39722</v>
      </c>
      <c r="G42" s="28">
        <v>40087</v>
      </c>
      <c r="H42" s="28">
        <v>40269</v>
      </c>
      <c r="I42" s="28">
        <v>40452</v>
      </c>
      <c r="J42" s="28">
        <v>40817</v>
      </c>
      <c r="K42" s="28">
        <v>41183</v>
      </c>
      <c r="L42" s="28">
        <v>41548</v>
      </c>
      <c r="M42" s="28">
        <v>41913</v>
      </c>
      <c r="N42" s="28">
        <v>42278</v>
      </c>
      <c r="O42" s="28">
        <v>42644</v>
      </c>
      <c r="P42" s="28">
        <v>43009</v>
      </c>
      <c r="Q42" s="28">
        <v>43374</v>
      </c>
      <c r="R42" s="28">
        <v>43739</v>
      </c>
    </row>
    <row r="43" spans="1:18" ht="13" x14ac:dyDescent="0.3">
      <c r="B43" s="26"/>
      <c r="C43" s="23" t="s">
        <v>50</v>
      </c>
      <c r="D43" s="28">
        <v>39538</v>
      </c>
      <c r="E43" s="28">
        <v>39721</v>
      </c>
      <c r="F43" s="28">
        <v>40086</v>
      </c>
      <c r="G43" s="28">
        <v>40268</v>
      </c>
      <c r="H43" s="28">
        <v>40451</v>
      </c>
      <c r="I43" s="28">
        <v>40816</v>
      </c>
      <c r="J43" s="28">
        <v>41182</v>
      </c>
      <c r="K43" s="28">
        <v>41547</v>
      </c>
      <c r="L43" s="28">
        <v>41912</v>
      </c>
      <c r="M43" s="28">
        <v>42277</v>
      </c>
      <c r="N43" s="28">
        <v>42643</v>
      </c>
      <c r="O43" s="28">
        <v>43008</v>
      </c>
      <c r="P43" s="28">
        <v>43373</v>
      </c>
      <c r="Q43" s="28">
        <v>43738</v>
      </c>
      <c r="R43" s="28">
        <v>44104</v>
      </c>
    </row>
    <row r="44" spans="1:18" ht="13" x14ac:dyDescent="0.3">
      <c r="B44" s="20" t="s">
        <v>33</v>
      </c>
      <c r="C44" s="20" t="s">
        <v>44</v>
      </c>
      <c r="D44" s="44"/>
      <c r="E44" s="44"/>
      <c r="F44" s="44"/>
      <c r="G44" s="44"/>
      <c r="H44" s="44"/>
      <c r="I44" s="44"/>
      <c r="J44" s="44"/>
      <c r="K44" s="44"/>
      <c r="L44" s="44"/>
      <c r="M44" s="44"/>
      <c r="N44" s="44"/>
      <c r="O44" s="44"/>
      <c r="P44" s="44"/>
      <c r="Q44" s="44"/>
      <c r="R44" s="44"/>
    </row>
    <row r="45" spans="1:18" ht="13" x14ac:dyDescent="0.3">
      <c r="A45" s="10" t="s">
        <v>88</v>
      </c>
      <c r="B45" s="10"/>
      <c r="C45" s="10"/>
      <c r="D45" s="43"/>
      <c r="E45" s="43"/>
      <c r="F45" s="43"/>
      <c r="G45" s="43"/>
      <c r="H45" s="43"/>
      <c r="I45" s="43"/>
      <c r="J45" s="43"/>
      <c r="K45" s="43"/>
      <c r="L45" s="43"/>
      <c r="M45" s="43"/>
      <c r="N45" s="43"/>
      <c r="O45" s="43"/>
      <c r="P45" s="43"/>
      <c r="Q45" s="43"/>
      <c r="R45" s="43"/>
    </row>
    <row r="46" spans="1:18" x14ac:dyDescent="0.25">
      <c r="A46" s="2" t="s">
        <v>90</v>
      </c>
      <c r="B46" s="1" t="s">
        <v>46</v>
      </c>
      <c r="C46" s="2" t="s">
        <v>47</v>
      </c>
      <c r="D46" s="25"/>
      <c r="E46" s="25"/>
      <c r="F46" s="25"/>
      <c r="G46" s="25"/>
      <c r="H46" s="25">
        <v>0</v>
      </c>
      <c r="I46" s="25">
        <v>1454.0929084380609</v>
      </c>
      <c r="J46" s="25">
        <v>1454.0929084380609</v>
      </c>
      <c r="K46" s="25">
        <v>0</v>
      </c>
      <c r="L46" s="25">
        <v>0</v>
      </c>
      <c r="M46" s="25">
        <v>0</v>
      </c>
      <c r="N46" s="25"/>
      <c r="O46" s="25"/>
      <c r="P46" s="25"/>
      <c r="Q46" s="25"/>
      <c r="R46" s="25"/>
    </row>
    <row r="47" spans="1:18" x14ac:dyDescent="0.25">
      <c r="A47" s="2" t="s">
        <v>94</v>
      </c>
      <c r="B47" s="1" t="s">
        <v>46</v>
      </c>
      <c r="C47" s="2" t="s">
        <v>47</v>
      </c>
      <c r="D47" s="25"/>
      <c r="E47" s="25"/>
      <c r="F47" s="25"/>
      <c r="G47" s="25"/>
      <c r="H47" s="25">
        <v>0</v>
      </c>
      <c r="I47" s="25">
        <v>1454.0929084380609</v>
      </c>
      <c r="J47" s="25">
        <v>1454.0929084380609</v>
      </c>
      <c r="K47" s="25">
        <v>0</v>
      </c>
      <c r="L47" s="25">
        <v>0</v>
      </c>
      <c r="M47" s="25">
        <v>0</v>
      </c>
      <c r="N47" s="25"/>
      <c r="O47" s="25"/>
      <c r="P47" s="25"/>
      <c r="Q47" s="25"/>
      <c r="R47" s="25"/>
    </row>
    <row r="48" spans="1:18" x14ac:dyDescent="0.25">
      <c r="D48" s="43"/>
      <c r="E48" s="43"/>
      <c r="F48" s="43"/>
      <c r="G48" s="43"/>
      <c r="H48" s="43"/>
      <c r="I48" s="43"/>
      <c r="J48" s="43"/>
      <c r="K48" s="43"/>
      <c r="L48" s="43"/>
      <c r="M48" s="43"/>
      <c r="N48" s="43"/>
      <c r="O48" s="43"/>
      <c r="P48" s="43"/>
      <c r="Q48" s="43"/>
      <c r="R48" s="43"/>
    </row>
    <row r="49" spans="1:18" ht="13" x14ac:dyDescent="0.3">
      <c r="A49" s="10" t="s">
        <v>91</v>
      </c>
      <c r="D49" s="43"/>
      <c r="E49" s="43"/>
      <c r="F49" s="43"/>
      <c r="G49" s="43"/>
      <c r="H49" s="43"/>
      <c r="I49" s="43"/>
      <c r="J49" s="43"/>
      <c r="K49" s="43"/>
      <c r="L49" s="43"/>
      <c r="M49" s="43"/>
      <c r="N49" s="43"/>
      <c r="O49" s="43"/>
      <c r="P49" s="43"/>
      <c r="Q49" s="43"/>
      <c r="R49" s="43"/>
    </row>
    <row r="50" spans="1:18" x14ac:dyDescent="0.25">
      <c r="A50" s="2" t="s">
        <v>95</v>
      </c>
      <c r="B50" s="1" t="s">
        <v>46</v>
      </c>
      <c r="C50" s="2" t="s">
        <v>47</v>
      </c>
      <c r="D50" s="45"/>
      <c r="E50" s="45"/>
      <c r="F50" s="45"/>
      <c r="G50" s="45"/>
      <c r="H50" s="45"/>
      <c r="I50" s="45"/>
      <c r="J50" s="45"/>
      <c r="K50" s="45"/>
      <c r="L50" s="45"/>
      <c r="M50" s="45"/>
      <c r="N50" s="45">
        <v>0</v>
      </c>
      <c r="O50" s="45">
        <v>0</v>
      </c>
      <c r="P50" s="45">
        <v>0</v>
      </c>
      <c r="Q50" s="45">
        <v>0</v>
      </c>
      <c r="R50" s="45">
        <v>0</v>
      </c>
    </row>
    <row r="51" spans="1:18" x14ac:dyDescent="0.25">
      <c r="A51" s="2" t="s">
        <v>92</v>
      </c>
      <c r="B51" s="1" t="s">
        <v>46</v>
      </c>
      <c r="C51" s="2" t="s">
        <v>47</v>
      </c>
      <c r="D51" s="45"/>
      <c r="E51" s="45"/>
      <c r="F51" s="45"/>
      <c r="G51" s="45"/>
      <c r="H51" s="45"/>
      <c r="I51" s="45"/>
      <c r="J51" s="45"/>
      <c r="K51" s="45"/>
      <c r="L51" s="45"/>
      <c r="M51" s="45"/>
      <c r="N51" s="25">
        <v>116.32743267504486</v>
      </c>
      <c r="O51" s="25">
        <v>116.32743267504486</v>
      </c>
      <c r="P51" s="25">
        <v>116.32743267504486</v>
      </c>
      <c r="Q51" s="25">
        <v>116.32743267504486</v>
      </c>
      <c r="R51" s="25">
        <v>116.32743267504486</v>
      </c>
    </row>
    <row r="53" spans="1:18" ht="13" x14ac:dyDescent="0.3">
      <c r="A53" s="7" t="s">
        <v>96</v>
      </c>
      <c r="B53" s="18"/>
    </row>
    <row r="54" spans="1:18" ht="13" x14ac:dyDescent="0.3">
      <c r="B54" s="20" t="s">
        <v>33</v>
      </c>
      <c r="C54" s="20" t="s">
        <v>44</v>
      </c>
      <c r="D54" s="24">
        <v>39538</v>
      </c>
      <c r="E54" s="24">
        <v>39721</v>
      </c>
      <c r="F54" s="24">
        <v>40086</v>
      </c>
      <c r="G54" s="24">
        <v>40268</v>
      </c>
      <c r="H54" s="24">
        <v>40451</v>
      </c>
      <c r="I54" s="24">
        <v>40816</v>
      </c>
      <c r="J54" s="24">
        <v>41182</v>
      </c>
      <c r="K54" s="24">
        <v>41547</v>
      </c>
      <c r="L54" s="24">
        <v>41912</v>
      </c>
      <c r="M54" s="24">
        <v>42277</v>
      </c>
      <c r="N54" s="24">
        <v>42643</v>
      </c>
      <c r="O54" s="24">
        <v>43008</v>
      </c>
      <c r="P54" s="24">
        <v>43373</v>
      </c>
      <c r="Q54" s="24">
        <v>43738</v>
      </c>
      <c r="R54" s="24">
        <v>44104</v>
      </c>
    </row>
    <row r="55" spans="1:18" x14ac:dyDescent="0.25">
      <c r="A55" s="2" t="s">
        <v>97</v>
      </c>
      <c r="B55" s="1" t="s">
        <v>46</v>
      </c>
      <c r="C55" s="2" t="s">
        <v>47</v>
      </c>
      <c r="Q55" s="25">
        <v>1700</v>
      </c>
      <c r="R55" s="25"/>
    </row>
    <row r="56" spans="1:18" x14ac:dyDescent="0.25">
      <c r="A56" s="2" t="s">
        <v>98</v>
      </c>
      <c r="B56" s="1" t="s">
        <v>46</v>
      </c>
      <c r="C56" s="2" t="s">
        <v>47</v>
      </c>
      <c r="Q56" s="25">
        <v>850</v>
      </c>
      <c r="R56" s="25">
        <v>850</v>
      </c>
    </row>
    <row r="58" spans="1:18" ht="13" x14ac:dyDescent="0.3">
      <c r="A58" s="10" t="s">
        <v>99</v>
      </c>
    </row>
    <row r="59" spans="1:18" ht="13" x14ac:dyDescent="0.3">
      <c r="A59" s="10" t="s">
        <v>100</v>
      </c>
      <c r="B59" s="20" t="s">
        <v>33</v>
      </c>
      <c r="C59" s="20" t="s">
        <v>44</v>
      </c>
      <c r="D59" s="21" t="s">
        <v>101</v>
      </c>
    </row>
    <row r="60" spans="1:18" x14ac:dyDescent="0.25">
      <c r="A60" s="2" t="s">
        <v>102</v>
      </c>
      <c r="B60" s="1" t="s">
        <v>25</v>
      </c>
      <c r="D60" s="46">
        <v>1</v>
      </c>
    </row>
    <row r="61" spans="1:18" x14ac:dyDescent="0.25">
      <c r="A61" s="2" t="s">
        <v>82</v>
      </c>
      <c r="B61" s="1" t="s">
        <v>25</v>
      </c>
      <c r="D61" s="46">
        <f>1-D60</f>
        <v>0</v>
      </c>
    </row>
    <row r="62" spans="1:18" x14ac:dyDescent="0.25">
      <c r="B62" s="1"/>
      <c r="D62" s="25"/>
    </row>
    <row r="63" spans="1:18" s="1" customFormat="1" ht="18" customHeight="1" x14ac:dyDescent="0.3">
      <c r="A63" s="113" t="s">
        <v>195</v>
      </c>
      <c r="B63" s="18"/>
    </row>
    <row r="64" spans="1:18" s="1" customFormat="1" ht="13" x14ac:dyDescent="0.3">
      <c r="A64" s="16"/>
      <c r="B64" s="26"/>
      <c r="C64" s="23" t="s">
        <v>63</v>
      </c>
      <c r="D64" s="24">
        <v>39538</v>
      </c>
      <c r="E64" s="24">
        <v>39721</v>
      </c>
      <c r="F64" s="24">
        <v>40086</v>
      </c>
      <c r="G64" s="24">
        <v>40268</v>
      </c>
      <c r="H64" s="24">
        <v>40451</v>
      </c>
      <c r="I64" s="24">
        <v>40816</v>
      </c>
      <c r="J64" s="24">
        <v>41182</v>
      </c>
      <c r="K64" s="24">
        <v>41547</v>
      </c>
      <c r="L64" s="24">
        <v>41912</v>
      </c>
      <c r="M64" s="24">
        <v>42277</v>
      </c>
      <c r="N64" s="24">
        <v>42643</v>
      </c>
      <c r="O64" s="24">
        <v>43008</v>
      </c>
      <c r="P64" s="24">
        <v>43373</v>
      </c>
      <c r="Q64" s="24">
        <v>43738</v>
      </c>
      <c r="R64" s="24">
        <v>44104</v>
      </c>
    </row>
    <row r="65" spans="1:25" s="1" customFormat="1" ht="13" x14ac:dyDescent="0.3">
      <c r="A65" s="16"/>
      <c r="B65" s="20" t="s">
        <v>33</v>
      </c>
      <c r="C65" s="20" t="s">
        <v>44</v>
      </c>
      <c r="D65" s="24"/>
      <c r="E65" s="24"/>
      <c r="F65" s="24"/>
      <c r="G65" s="24"/>
      <c r="H65" s="24"/>
      <c r="I65" s="24"/>
      <c r="J65" s="24"/>
      <c r="K65" s="24"/>
      <c r="L65" s="24"/>
      <c r="M65" s="24"/>
      <c r="N65" s="24"/>
      <c r="O65" s="24"/>
      <c r="P65" s="24"/>
      <c r="Q65" s="24"/>
      <c r="R65" s="24"/>
    </row>
    <row r="66" spans="1:25" s="1" customFormat="1" x14ac:dyDescent="0.25">
      <c r="A66" s="1" t="s">
        <v>72</v>
      </c>
      <c r="B66" s="56" t="s">
        <v>46</v>
      </c>
      <c r="C66" s="1" t="s">
        <v>47</v>
      </c>
      <c r="D66" s="29"/>
      <c r="E66" s="29"/>
      <c r="F66" s="29"/>
      <c r="G66" s="29"/>
      <c r="H66" s="29"/>
      <c r="I66" s="29"/>
      <c r="J66" s="29"/>
      <c r="K66" s="29"/>
      <c r="L66" s="29"/>
      <c r="M66" s="29"/>
      <c r="N66" s="29"/>
      <c r="O66" s="29"/>
      <c r="P66" s="29"/>
      <c r="Q66" s="29">
        <v>1700</v>
      </c>
      <c r="R66" s="29">
        <f>Q69</f>
        <v>850</v>
      </c>
    </row>
    <row r="67" spans="1:25" s="1" customFormat="1" x14ac:dyDescent="0.25">
      <c r="B67" s="56"/>
      <c r="D67" s="29"/>
      <c r="E67" s="29"/>
      <c r="F67" s="29"/>
      <c r="G67" s="29"/>
      <c r="H67" s="29"/>
      <c r="I67" s="29"/>
      <c r="J67" s="29"/>
      <c r="K67" s="29"/>
      <c r="L67" s="29"/>
      <c r="M67" s="29"/>
      <c r="N67" s="29"/>
      <c r="O67" s="29"/>
      <c r="P67" s="29"/>
      <c r="Q67" s="29"/>
      <c r="R67" s="29"/>
    </row>
    <row r="68" spans="1:25" s="1" customFormat="1" x14ac:dyDescent="0.25">
      <c r="A68" s="1" t="s">
        <v>73</v>
      </c>
      <c r="B68" s="56" t="s">
        <v>46</v>
      </c>
      <c r="C68" s="1" t="s">
        <v>47</v>
      </c>
      <c r="D68" s="29"/>
      <c r="E68" s="29"/>
      <c r="F68" s="29"/>
      <c r="G68" s="29"/>
      <c r="H68" s="29"/>
      <c r="I68" s="29"/>
      <c r="J68" s="29"/>
      <c r="K68" s="29"/>
      <c r="L68" s="29"/>
      <c r="M68" s="29"/>
      <c r="N68" s="29"/>
      <c r="O68" s="29"/>
      <c r="P68" s="29"/>
      <c r="Q68" s="29">
        <v>850</v>
      </c>
      <c r="R68" s="29">
        <v>850</v>
      </c>
    </row>
    <row r="69" spans="1:25" s="1" customFormat="1" x14ac:dyDescent="0.25">
      <c r="A69" s="1" t="s">
        <v>74</v>
      </c>
      <c r="B69" s="56" t="s">
        <v>46</v>
      </c>
      <c r="C69" s="1" t="s">
        <v>47</v>
      </c>
      <c r="D69" s="29"/>
      <c r="E69" s="29"/>
      <c r="F69" s="29"/>
      <c r="G69" s="29"/>
      <c r="H69" s="29"/>
      <c r="I69" s="29"/>
      <c r="J69" s="29"/>
      <c r="K69" s="29"/>
      <c r="L69" s="29"/>
      <c r="M69" s="29"/>
      <c r="N69" s="29"/>
      <c r="O69" s="29"/>
      <c r="P69" s="29"/>
      <c r="Q69" s="29">
        <f>Q66-Q68</f>
        <v>850</v>
      </c>
      <c r="R69" s="29">
        <f>R66-R68</f>
        <v>0</v>
      </c>
    </row>
    <row r="70" spans="1:25" s="1" customFormat="1" x14ac:dyDescent="0.25">
      <c r="A70" s="1" t="s">
        <v>75</v>
      </c>
      <c r="B70" s="56" t="s">
        <v>46</v>
      </c>
      <c r="C70" s="1" t="s">
        <v>47</v>
      </c>
      <c r="D70" s="29"/>
      <c r="E70" s="29"/>
      <c r="F70" s="29"/>
      <c r="G70" s="29"/>
      <c r="H70" s="29"/>
      <c r="I70" s="29"/>
      <c r="J70" s="29"/>
      <c r="K70" s="29"/>
      <c r="L70" s="29"/>
      <c r="M70" s="29"/>
      <c r="N70" s="29"/>
      <c r="O70" s="29"/>
      <c r="P70" s="29"/>
      <c r="Q70" s="29">
        <f>(Q66+Q69)/2</f>
        <v>1275</v>
      </c>
      <c r="R70" s="29">
        <f>(R66+R69)/2</f>
        <v>425</v>
      </c>
    </row>
    <row r="73" spans="1:25" ht="13" x14ac:dyDescent="0.3">
      <c r="A73" s="7" t="s">
        <v>38</v>
      </c>
      <c r="B73" s="18"/>
    </row>
    <row r="74" spans="1:25" ht="13" x14ac:dyDescent="0.3">
      <c r="B74" s="26"/>
      <c r="C74" s="23" t="s">
        <v>49</v>
      </c>
      <c r="D74" s="28">
        <v>39387</v>
      </c>
      <c r="E74" s="28">
        <v>39539</v>
      </c>
      <c r="F74" s="28">
        <v>39722</v>
      </c>
      <c r="G74" s="28">
        <v>40087</v>
      </c>
      <c r="H74" s="28">
        <v>40269</v>
      </c>
      <c r="I74" s="28">
        <v>40452</v>
      </c>
      <c r="J74" s="28">
        <v>40817</v>
      </c>
      <c r="K74" s="28">
        <v>41183</v>
      </c>
      <c r="L74" s="28">
        <v>41548</v>
      </c>
      <c r="M74" s="28">
        <v>41913</v>
      </c>
      <c r="N74" s="28">
        <v>42278</v>
      </c>
      <c r="O74" s="28">
        <v>42644</v>
      </c>
      <c r="P74" s="28">
        <v>43009</v>
      </c>
      <c r="Q74" s="28">
        <v>43374</v>
      </c>
      <c r="R74" s="28">
        <v>43739</v>
      </c>
      <c r="S74" s="28">
        <v>44105</v>
      </c>
      <c r="T74" s="28">
        <v>44470</v>
      </c>
      <c r="U74" s="28">
        <v>44835</v>
      </c>
      <c r="V74" s="28">
        <v>45200</v>
      </c>
      <c r="W74" s="28">
        <v>45566</v>
      </c>
      <c r="X74" s="28">
        <v>45931</v>
      </c>
      <c r="Y74" s="28">
        <v>46296</v>
      </c>
    </row>
    <row r="75" spans="1:25" ht="13" x14ac:dyDescent="0.3">
      <c r="B75" s="20" t="s">
        <v>33</v>
      </c>
      <c r="C75" s="23" t="s">
        <v>50</v>
      </c>
      <c r="D75" s="28">
        <v>39538</v>
      </c>
      <c r="E75" s="28">
        <v>39721</v>
      </c>
      <c r="F75" s="28">
        <v>40086</v>
      </c>
      <c r="G75" s="28">
        <v>40268</v>
      </c>
      <c r="H75" s="28">
        <v>40451</v>
      </c>
      <c r="I75" s="28">
        <v>40816</v>
      </c>
      <c r="J75" s="28">
        <v>41182</v>
      </c>
      <c r="K75" s="28">
        <v>41547</v>
      </c>
      <c r="L75" s="28">
        <v>41912</v>
      </c>
      <c r="M75" s="28">
        <v>42277</v>
      </c>
      <c r="N75" s="28">
        <v>42643</v>
      </c>
      <c r="O75" s="28">
        <v>43008</v>
      </c>
      <c r="P75" s="28">
        <v>43373</v>
      </c>
      <c r="Q75" s="28">
        <v>43738</v>
      </c>
      <c r="R75" s="28">
        <v>44104</v>
      </c>
      <c r="S75" s="28">
        <v>44469</v>
      </c>
      <c r="T75" s="28">
        <v>44834</v>
      </c>
      <c r="U75" s="28">
        <v>45199</v>
      </c>
      <c r="V75" s="28">
        <v>45565</v>
      </c>
      <c r="W75" s="28">
        <v>45930</v>
      </c>
      <c r="X75" s="28">
        <v>46295</v>
      </c>
      <c r="Y75" s="28">
        <v>46660</v>
      </c>
    </row>
    <row r="76" spans="1:25" x14ac:dyDescent="0.25">
      <c r="A76" s="2" t="s">
        <v>40</v>
      </c>
      <c r="B76" s="2" t="s">
        <v>41</v>
      </c>
      <c r="D76" s="2">
        <v>10</v>
      </c>
      <c r="E76" s="2">
        <v>10</v>
      </c>
      <c r="F76" s="2">
        <v>10</v>
      </c>
      <c r="G76" s="2">
        <v>10</v>
      </c>
      <c r="H76" s="2">
        <v>8</v>
      </c>
      <c r="I76" s="2">
        <v>8</v>
      </c>
      <c r="J76" s="2">
        <v>8</v>
      </c>
      <c r="K76" s="2">
        <v>8</v>
      </c>
      <c r="L76" s="2">
        <v>8</v>
      </c>
      <c r="M76" s="2">
        <v>8</v>
      </c>
      <c r="N76" s="2">
        <v>5</v>
      </c>
      <c r="O76" s="2">
        <v>5</v>
      </c>
      <c r="P76" s="2">
        <v>5</v>
      </c>
      <c r="Q76" s="2">
        <v>5</v>
      </c>
      <c r="R76" s="2">
        <v>5</v>
      </c>
      <c r="S76" s="2">
        <v>5</v>
      </c>
      <c r="T76" s="2">
        <v>5</v>
      </c>
      <c r="U76" s="2">
        <v>5</v>
      </c>
      <c r="V76" s="2">
        <v>5</v>
      </c>
      <c r="W76" s="2">
        <v>5</v>
      </c>
      <c r="X76" s="2">
        <v>5</v>
      </c>
      <c r="Y76" s="2">
        <v>5</v>
      </c>
    </row>
    <row r="77" spans="1:25" x14ac:dyDescent="0.25">
      <c r="A77" s="2" t="s">
        <v>42</v>
      </c>
      <c r="B77" s="2" t="s">
        <v>41</v>
      </c>
      <c r="D77" s="2">
        <v>25</v>
      </c>
      <c r="E77" s="2">
        <v>25</v>
      </c>
      <c r="F77" s="2">
        <v>25</v>
      </c>
      <c r="G77" s="2">
        <v>25</v>
      </c>
      <c r="H77" s="2">
        <v>25</v>
      </c>
      <c r="I77" s="2">
        <v>25</v>
      </c>
      <c r="J77" s="2">
        <v>25</v>
      </c>
      <c r="K77" s="2">
        <v>25</v>
      </c>
      <c r="L77" s="2">
        <v>25</v>
      </c>
      <c r="M77" s="2">
        <v>25</v>
      </c>
      <c r="N77" s="2">
        <v>25</v>
      </c>
      <c r="O77" s="2">
        <v>25</v>
      </c>
      <c r="P77" s="2">
        <v>25</v>
      </c>
      <c r="Q77" s="2">
        <v>25</v>
      </c>
      <c r="R77" s="2">
        <v>25</v>
      </c>
      <c r="S77" s="2">
        <v>25</v>
      </c>
      <c r="T77" s="2">
        <v>25</v>
      </c>
      <c r="U77" s="2">
        <v>25</v>
      </c>
      <c r="V77" s="2">
        <v>25</v>
      </c>
      <c r="W77" s="2">
        <v>25</v>
      </c>
      <c r="X77" s="2">
        <v>25</v>
      </c>
      <c r="Y77" s="2">
        <v>25</v>
      </c>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A1"/>
  <sheetViews>
    <sheetView showGridLines="0" workbookViewId="0"/>
  </sheetViews>
  <sheetFormatPr defaultRowHeight="14.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M51"/>
  <sheetViews>
    <sheetView showGridLines="0" topLeftCell="A24" zoomScale="85" zoomScaleNormal="85" workbookViewId="0">
      <selection activeCell="G41" sqref="G41"/>
    </sheetView>
  </sheetViews>
  <sheetFormatPr defaultColWidth="8.6328125" defaultRowHeight="12.5" x14ac:dyDescent="0.25"/>
  <cols>
    <col min="1" max="1" width="105.54296875" style="2" bestFit="1" customWidth="1"/>
    <col min="2" max="2" width="8.6328125" style="2" customWidth="1"/>
    <col min="3" max="3" width="14.36328125" style="2" bestFit="1" customWidth="1"/>
    <col min="4" max="4" width="9.54296875" style="2" bestFit="1" customWidth="1"/>
    <col min="5" max="8" width="9" style="2" bestFit="1" customWidth="1"/>
    <col min="9" max="10" width="9" style="2" customWidth="1"/>
    <col min="11" max="11" width="9" style="2" bestFit="1" customWidth="1"/>
    <col min="12" max="16384" width="8.6328125" style="2"/>
  </cols>
  <sheetData>
    <row r="1" spans="1:13" ht="13" x14ac:dyDescent="0.3">
      <c r="A1" s="7" t="s">
        <v>140</v>
      </c>
      <c r="B1" s="18"/>
    </row>
    <row r="3" spans="1:13" ht="13" x14ac:dyDescent="0.3">
      <c r="A3" s="7" t="s">
        <v>32</v>
      </c>
      <c r="B3" s="18"/>
      <c r="C3" s="26"/>
      <c r="D3" s="21" t="s">
        <v>26</v>
      </c>
      <c r="E3" s="21" t="s">
        <v>27</v>
      </c>
      <c r="F3" s="21" t="s">
        <v>28</v>
      </c>
      <c r="G3" s="21" t="s">
        <v>29</v>
      </c>
      <c r="H3" s="21" t="s">
        <v>34</v>
      </c>
      <c r="I3" s="21" t="s">
        <v>268</v>
      </c>
      <c r="J3" s="21" t="s">
        <v>275</v>
      </c>
      <c r="K3" s="26"/>
    </row>
    <row r="4" spans="1:13" x14ac:dyDescent="0.25">
      <c r="A4" s="2" t="s">
        <v>103</v>
      </c>
      <c r="D4" s="42">
        <f>Inflation!N4</f>
        <v>1.0260223048327139</v>
      </c>
      <c r="E4" s="42">
        <f>Inflation!O4</f>
        <v>1.1059479553903346</v>
      </c>
      <c r="F4" s="42">
        <f>Inflation!P4</f>
        <v>1.192379182156134</v>
      </c>
      <c r="G4" s="42">
        <f>Inflation!Q4</f>
        <v>1.228624535315985</v>
      </c>
      <c r="H4" s="42">
        <f>Inflation!R4</f>
        <v>1.248282527881041</v>
      </c>
      <c r="I4" s="42">
        <f>Inflation!S4</f>
        <v>1.2892210027801971</v>
      </c>
      <c r="J4" s="42">
        <f>Inflation!T4</f>
        <v>1.3165996057978886</v>
      </c>
    </row>
    <row r="5" spans="1:13" x14ac:dyDescent="0.25">
      <c r="D5" s="42"/>
      <c r="E5" s="42"/>
      <c r="F5" s="42"/>
      <c r="G5" s="42"/>
      <c r="H5" s="136"/>
      <c r="I5" s="136"/>
      <c r="J5" s="136"/>
    </row>
    <row r="6" spans="1:13" ht="13" x14ac:dyDescent="0.3">
      <c r="A6" s="7" t="s">
        <v>122</v>
      </c>
    </row>
    <row r="7" spans="1:13" ht="13" x14ac:dyDescent="0.3">
      <c r="A7" s="10"/>
      <c r="B7" s="20" t="s">
        <v>33</v>
      </c>
      <c r="C7" s="20" t="s">
        <v>44</v>
      </c>
      <c r="D7" s="21" t="s">
        <v>26</v>
      </c>
      <c r="E7" s="21" t="s">
        <v>27</v>
      </c>
      <c r="F7" s="21" t="s">
        <v>28</v>
      </c>
      <c r="G7" s="21" t="s">
        <v>29</v>
      </c>
      <c r="H7" s="21" t="s">
        <v>34</v>
      </c>
      <c r="I7" s="21" t="s">
        <v>268</v>
      </c>
      <c r="J7" s="21" t="s">
        <v>275</v>
      </c>
      <c r="K7" s="21" t="s">
        <v>45</v>
      </c>
    </row>
    <row r="8" spans="1:13" ht="13" x14ac:dyDescent="0.3">
      <c r="A8" s="2" t="s">
        <v>132</v>
      </c>
      <c r="B8" s="1" t="s">
        <v>46</v>
      </c>
      <c r="C8" s="2" t="s">
        <v>60</v>
      </c>
      <c r="D8" s="51">
        <f>'FD Allowances'!D4</f>
        <v>0</v>
      </c>
      <c r="E8" s="51">
        <f>'FD Allowances'!E4</f>
        <v>0</v>
      </c>
      <c r="F8" s="51">
        <f>'FD Allowances'!F4</f>
        <v>0</v>
      </c>
      <c r="G8" s="51">
        <f>'FD Allowances'!G4</f>
        <v>0</v>
      </c>
      <c r="H8" s="51">
        <f>'FD Allowances'!H4</f>
        <v>0</v>
      </c>
      <c r="I8" s="51">
        <f>'FD Allowances'!I4</f>
        <v>0</v>
      </c>
      <c r="J8" s="51">
        <f>'FD Allowances'!J4</f>
        <v>0</v>
      </c>
      <c r="K8" s="49">
        <f>SUM(D8:J8)</f>
        <v>0</v>
      </c>
    </row>
    <row r="9" spans="1:13" ht="13" x14ac:dyDescent="0.3">
      <c r="A9" s="2" t="s">
        <v>131</v>
      </c>
      <c r="B9" s="1" t="s">
        <v>46</v>
      </c>
      <c r="C9" s="2" t="s">
        <v>60</v>
      </c>
      <c r="D9" s="51">
        <f>'FD Allowances'!D5</f>
        <v>2592.911525</v>
      </c>
      <c r="E9" s="51">
        <f>'FD Allowances'!E5</f>
        <v>2230.8171675000003</v>
      </c>
      <c r="F9" s="51">
        <f>'FD Allowances'!F5</f>
        <v>1743.2751349999999</v>
      </c>
      <c r="G9" s="51">
        <f>'FD Allowances'!G5</f>
        <v>1552.8942999999999</v>
      </c>
      <c r="H9" s="51">
        <f>'FD Allowances'!H5</f>
        <v>1480.0943</v>
      </c>
      <c r="I9" s="51">
        <f>'FD Allowances'!I5</f>
        <v>515.66000000000008</v>
      </c>
      <c r="J9" s="51">
        <f>'FD Allowances'!J5</f>
        <v>515.66000000000008</v>
      </c>
      <c r="K9" s="49">
        <f t="shared" ref="K9:K12" si="0">SUM(D9:J9)</f>
        <v>10631.312427500001</v>
      </c>
    </row>
    <row r="10" spans="1:13" ht="13" x14ac:dyDescent="0.3">
      <c r="D10" s="51"/>
      <c r="E10" s="51"/>
      <c r="F10" s="51"/>
      <c r="G10" s="51"/>
      <c r="H10" s="51"/>
      <c r="I10" s="51"/>
      <c r="J10" s="51"/>
      <c r="K10" s="49"/>
    </row>
    <row r="11" spans="1:13" ht="13" x14ac:dyDescent="0.3">
      <c r="A11" s="2" t="s">
        <v>133</v>
      </c>
      <c r="B11" s="1" t="s">
        <v>46</v>
      </c>
      <c r="C11" s="2" t="s">
        <v>60</v>
      </c>
      <c r="D11" s="51">
        <f>'FD Allowances'!D7</f>
        <v>0</v>
      </c>
      <c r="E11" s="51">
        <f>'FD Allowances'!E7</f>
        <v>0</v>
      </c>
      <c r="F11" s="51">
        <f>'FD Allowances'!F7</f>
        <v>0</v>
      </c>
      <c r="G11" s="51">
        <f>'FD Allowances'!G7</f>
        <v>0</v>
      </c>
      <c r="H11" s="51">
        <f>'FD Allowances'!H7</f>
        <v>0</v>
      </c>
      <c r="I11" s="51">
        <f>'FD Allowances'!I7</f>
        <v>0</v>
      </c>
      <c r="J11" s="51">
        <f>'FD Allowances'!J7</f>
        <v>0</v>
      </c>
      <c r="K11" s="49">
        <f t="shared" si="0"/>
        <v>0</v>
      </c>
    </row>
    <row r="12" spans="1:13" ht="13" x14ac:dyDescent="0.3">
      <c r="A12" s="2" t="s">
        <v>134</v>
      </c>
      <c r="B12" s="1" t="s">
        <v>46</v>
      </c>
      <c r="C12" s="2" t="s">
        <v>60</v>
      </c>
      <c r="D12" s="51">
        <f>'FD Allowances'!D8</f>
        <v>47.5</v>
      </c>
      <c r="E12" s="51">
        <f>'FD Allowances'!E8</f>
        <v>47.5</v>
      </c>
      <c r="F12" s="51">
        <f>'FD Allowances'!F8</f>
        <v>10</v>
      </c>
      <c r="G12" s="51">
        <f>'FD Allowances'!G8</f>
        <v>10</v>
      </c>
      <c r="H12" s="51">
        <f>'FD Allowances'!H8</f>
        <v>10</v>
      </c>
      <c r="I12" s="51">
        <f>'FD Allowances'!I8</f>
        <v>10</v>
      </c>
      <c r="J12" s="51">
        <f>'FD Allowances'!J8</f>
        <v>10</v>
      </c>
      <c r="K12" s="49">
        <f t="shared" si="0"/>
        <v>145</v>
      </c>
    </row>
    <row r="13" spans="1:13" ht="13" x14ac:dyDescent="0.3">
      <c r="M13" s="10"/>
    </row>
    <row r="14" spans="1:13" ht="13" x14ac:dyDescent="0.3">
      <c r="A14" s="99" t="s">
        <v>121</v>
      </c>
      <c r="M14" s="50"/>
    </row>
    <row r="15" spans="1:13" ht="13" x14ac:dyDescent="0.3">
      <c r="B15" s="20" t="s">
        <v>33</v>
      </c>
      <c r="C15" s="20" t="s">
        <v>44</v>
      </c>
      <c r="D15" s="21" t="s">
        <v>26</v>
      </c>
      <c r="E15" s="21" t="s">
        <v>27</v>
      </c>
      <c r="F15" s="21" t="s">
        <v>28</v>
      </c>
      <c r="G15" s="21" t="s">
        <v>29</v>
      </c>
      <c r="H15" s="21" t="s">
        <v>34</v>
      </c>
      <c r="I15" s="21" t="s">
        <v>268</v>
      </c>
      <c r="J15" s="21" t="s">
        <v>275</v>
      </c>
      <c r="K15" s="21" t="s">
        <v>45</v>
      </c>
    </row>
    <row r="16" spans="1:13" ht="13" x14ac:dyDescent="0.3">
      <c r="A16" s="2" t="s">
        <v>182</v>
      </c>
      <c r="B16" s="1" t="s">
        <v>46</v>
      </c>
      <c r="C16" s="2" t="s">
        <v>60</v>
      </c>
      <c r="D16" s="106">
        <f>'Post FD Inputs'!D5</f>
        <v>0</v>
      </c>
      <c r="E16" s="106">
        <f>'Post FD Inputs'!E5</f>
        <v>650.18597659175043</v>
      </c>
      <c r="F16" s="106">
        <f>'Post FD Inputs'!F5</f>
        <v>1156.5686947759555</v>
      </c>
      <c r="G16" s="106">
        <f>'Post FD Inputs'!G5</f>
        <v>688.03336931235106</v>
      </c>
      <c r="H16" s="106">
        <f>'Post FD Inputs'!H5</f>
        <v>0</v>
      </c>
      <c r="I16" s="106">
        <f>'Post FD Inputs'!I5</f>
        <v>0</v>
      </c>
      <c r="J16" s="106">
        <f>'Post FD Inputs'!J5</f>
        <v>0</v>
      </c>
      <c r="K16" s="107">
        <f>SUM(D16:J16)</f>
        <v>2494.7880406800568</v>
      </c>
    </row>
    <row r="17" spans="1:11" ht="13" x14ac:dyDescent="0.3">
      <c r="A17" s="2" t="s">
        <v>183</v>
      </c>
      <c r="B17" s="1" t="s">
        <v>46</v>
      </c>
      <c r="C17" s="2" t="s">
        <v>60</v>
      </c>
      <c r="D17" s="106">
        <f>'Post FD Inputs'!D6</f>
        <v>0</v>
      </c>
      <c r="E17" s="106">
        <f>'Post FD Inputs'!E6</f>
        <v>0</v>
      </c>
      <c r="F17" s="106">
        <f>'Post FD Inputs'!F6</f>
        <v>0</v>
      </c>
      <c r="G17" s="106">
        <f>'Post FD Inputs'!G6</f>
        <v>1123.8035853468432</v>
      </c>
      <c r="H17" s="106">
        <f>'Post FD Inputs'!H6</f>
        <v>0</v>
      </c>
      <c r="I17" s="106">
        <f>'Post FD Inputs'!I6</f>
        <v>0</v>
      </c>
      <c r="J17" s="106">
        <f>'Post FD Inputs'!J6</f>
        <v>0</v>
      </c>
      <c r="K17" s="107">
        <f>SUM(D17:J17)</f>
        <v>1123.8035853468432</v>
      </c>
    </row>
    <row r="18" spans="1:11" ht="13" x14ac:dyDescent="0.3">
      <c r="K18" s="10"/>
    </row>
    <row r="19" spans="1:11" ht="13" x14ac:dyDescent="0.3">
      <c r="A19" s="7" t="s">
        <v>123</v>
      </c>
    </row>
    <row r="20" spans="1:11" s="10" customFormat="1" ht="13" x14ac:dyDescent="0.3">
      <c r="A20" s="2"/>
      <c r="B20" s="20" t="s">
        <v>33</v>
      </c>
      <c r="C20" s="20" t="s">
        <v>44</v>
      </c>
      <c r="D20" s="21" t="s">
        <v>26</v>
      </c>
      <c r="E20" s="21" t="s">
        <v>27</v>
      </c>
      <c r="F20" s="21" t="s">
        <v>28</v>
      </c>
      <c r="G20" s="21" t="s">
        <v>29</v>
      </c>
      <c r="H20" s="21" t="s">
        <v>34</v>
      </c>
      <c r="I20" s="21" t="s">
        <v>268</v>
      </c>
      <c r="J20" s="21" t="s">
        <v>275</v>
      </c>
      <c r="K20" s="21" t="s">
        <v>45</v>
      </c>
    </row>
    <row r="21" spans="1:11" ht="13" x14ac:dyDescent="0.3">
      <c r="A21" s="2" t="s">
        <v>143</v>
      </c>
      <c r="B21" s="2" t="s">
        <v>46</v>
      </c>
      <c r="C21" s="2" t="s">
        <v>85</v>
      </c>
      <c r="D21" s="47">
        <f>(D8+D9+D16)*D4</f>
        <v>2660.3850591078071</v>
      </c>
      <c r="E21" s="47">
        <f t="shared" ref="E21:I21" si="1">(E8+E9+E16)*E4</f>
        <v>3186.2395366813976</v>
      </c>
      <c r="F21" s="47">
        <f t="shared" si="1"/>
        <v>3457.7134141287652</v>
      </c>
      <c r="G21" s="47">
        <f t="shared" si="1"/>
        <v>2753.2587163856206</v>
      </c>
      <c r="H21" s="47">
        <f t="shared" si="1"/>
        <v>1847.5758543063198</v>
      </c>
      <c r="I21" s="47">
        <f t="shared" si="1"/>
        <v>664.79970229363653</v>
      </c>
      <c r="J21" s="47">
        <f t="shared" ref="J21" si="2">(J8+J9+J16)*J4</f>
        <v>678.91775272573932</v>
      </c>
      <c r="K21" s="48">
        <f>SUM(D21:J21)</f>
        <v>15248.890035629287</v>
      </c>
    </row>
    <row r="22" spans="1:11" ht="13" x14ac:dyDescent="0.3">
      <c r="A22" s="2" t="s">
        <v>144</v>
      </c>
      <c r="B22" s="2" t="s">
        <v>46</v>
      </c>
      <c r="C22" s="2" t="s">
        <v>85</v>
      </c>
      <c r="D22" s="47">
        <f>(D11+D12+D17)*D4</f>
        <v>48.736059479553916</v>
      </c>
      <c r="E22" s="47">
        <f t="shared" ref="E22:I22" si="3">(E11+E12+E17)*E4</f>
        <v>52.532527881040892</v>
      </c>
      <c r="F22" s="47">
        <f t="shared" si="3"/>
        <v>11.923791821561341</v>
      </c>
      <c r="G22" s="47">
        <f t="shared" si="3"/>
        <v>1393.0189031863631</v>
      </c>
      <c r="H22" s="47">
        <f t="shared" si="3"/>
        <v>12.482825278810409</v>
      </c>
      <c r="I22" s="47">
        <f t="shared" si="3"/>
        <v>12.892210027801971</v>
      </c>
      <c r="J22" s="47">
        <f t="shared" ref="J22" si="4">(J11+J12+J17)*J4</f>
        <v>13.165996057978886</v>
      </c>
      <c r="K22" s="48">
        <f t="shared" ref="K22:K24" si="5">SUM(D22:J22)</f>
        <v>1544.7523137331104</v>
      </c>
    </row>
    <row r="23" spans="1:11" ht="13" x14ac:dyDescent="0.3">
      <c r="K23" s="48"/>
    </row>
    <row r="24" spans="1:11" ht="13" x14ac:dyDescent="0.3">
      <c r="A24" s="10" t="s">
        <v>236</v>
      </c>
      <c r="B24" s="10" t="s">
        <v>46</v>
      </c>
      <c r="C24" s="10" t="s">
        <v>85</v>
      </c>
      <c r="D24" s="95">
        <f>D21+D22</f>
        <v>2709.1211185873613</v>
      </c>
      <c r="E24" s="95">
        <f t="shared" ref="E24:I24" si="6">E21+E22</f>
        <v>3238.7720645624386</v>
      </c>
      <c r="F24" s="95">
        <f t="shared" si="6"/>
        <v>3469.6372059503265</v>
      </c>
      <c r="G24" s="95">
        <f t="shared" si="6"/>
        <v>4146.2776195719835</v>
      </c>
      <c r="H24" s="95">
        <f t="shared" si="6"/>
        <v>1860.0586795851302</v>
      </c>
      <c r="I24" s="95">
        <f t="shared" si="6"/>
        <v>677.69191232143851</v>
      </c>
      <c r="J24" s="95">
        <f t="shared" ref="J24" si="7">J21+J22</f>
        <v>692.08374878371819</v>
      </c>
      <c r="K24" s="48">
        <f t="shared" si="5"/>
        <v>16793.642349362399</v>
      </c>
    </row>
    <row r="27" spans="1:11" ht="13" x14ac:dyDescent="0.3">
      <c r="A27" s="99" t="s">
        <v>124</v>
      </c>
    </row>
    <row r="28" spans="1:11" ht="13" x14ac:dyDescent="0.3">
      <c r="B28" s="20" t="s">
        <v>33</v>
      </c>
      <c r="C28" s="20" t="s">
        <v>44</v>
      </c>
      <c r="D28" s="21" t="s">
        <v>26</v>
      </c>
      <c r="E28" s="21" t="s">
        <v>27</v>
      </c>
      <c r="F28" s="21" t="s">
        <v>28</v>
      </c>
      <c r="G28" s="21" t="s">
        <v>29</v>
      </c>
      <c r="H28" s="21" t="s">
        <v>34</v>
      </c>
      <c r="I28" s="21" t="s">
        <v>268</v>
      </c>
      <c r="J28" s="21" t="s">
        <v>275</v>
      </c>
      <c r="K28" s="21" t="s">
        <v>45</v>
      </c>
    </row>
    <row r="29" spans="1:11" ht="13" x14ac:dyDescent="0.3">
      <c r="A29" s="2" t="s">
        <v>211</v>
      </c>
      <c r="B29" s="1" t="s">
        <v>46</v>
      </c>
      <c r="C29" s="2" t="s">
        <v>85</v>
      </c>
      <c r="D29" s="93">
        <f>'Post FD Inputs'!D11</f>
        <v>0</v>
      </c>
      <c r="E29" s="93">
        <f>'Post FD Inputs'!E11</f>
        <v>0</v>
      </c>
      <c r="F29" s="93">
        <f>'Post FD Inputs'!F11</f>
        <v>0</v>
      </c>
      <c r="G29" s="93">
        <f>'Post FD Inputs'!G11</f>
        <v>0</v>
      </c>
      <c r="H29" s="93">
        <f>'Post FD Inputs'!H11</f>
        <v>0</v>
      </c>
      <c r="I29" s="93">
        <f>'Post FD Inputs'!I11</f>
        <v>0</v>
      </c>
      <c r="J29" s="93">
        <v>0</v>
      </c>
      <c r="K29" s="103">
        <f>SUM(D29:J29)</f>
        <v>0</v>
      </c>
    </row>
    <row r="30" spans="1:11" ht="13" x14ac:dyDescent="0.3">
      <c r="A30" s="2" t="s">
        <v>212</v>
      </c>
      <c r="B30" s="1" t="s">
        <v>46</v>
      </c>
      <c r="C30" s="2" t="s">
        <v>85</v>
      </c>
      <c r="D30" s="93">
        <f>'Post FD Inputs'!D12</f>
        <v>1312.5953170748528</v>
      </c>
      <c r="E30" s="93">
        <f>'Post FD Inputs'!E12</f>
        <v>3690.56754</v>
      </c>
      <c r="F30" s="93">
        <f>'Post FD Inputs'!F12</f>
        <v>2853.1448958804613</v>
      </c>
      <c r="G30" s="93">
        <f>'Post FD Inputs'!G12</f>
        <v>3385.6579899999997</v>
      </c>
      <c r="H30" s="93">
        <f>'Post FD Inputs'!H12</f>
        <v>1847.5758543063198</v>
      </c>
      <c r="I30" s="93">
        <f>'Post FD Inputs'!I12</f>
        <v>664.79970229363653</v>
      </c>
      <c r="J30" s="93">
        <f>'Post FD Inputs'!J12</f>
        <v>678.91775272573932</v>
      </c>
      <c r="K30" s="103">
        <f t="shared" ref="K30:K35" si="8">SUM(D30:J30)</f>
        <v>14433.25905228101</v>
      </c>
    </row>
    <row r="31" spans="1:11" ht="13" x14ac:dyDescent="0.3">
      <c r="A31" s="10" t="s">
        <v>146</v>
      </c>
      <c r="B31" s="10" t="s">
        <v>46</v>
      </c>
      <c r="C31" s="10" t="s">
        <v>85</v>
      </c>
      <c r="D31" s="103">
        <f>SUM(D29:D30)</f>
        <v>1312.5953170748528</v>
      </c>
      <c r="E31" s="103">
        <f t="shared" ref="E31:H31" si="9">SUM(E29:E30)</f>
        <v>3690.56754</v>
      </c>
      <c r="F31" s="103">
        <f t="shared" si="9"/>
        <v>2853.1448958804613</v>
      </c>
      <c r="G31" s="103">
        <f t="shared" si="9"/>
        <v>3385.6579899999997</v>
      </c>
      <c r="H31" s="103">
        <f t="shared" si="9"/>
        <v>1847.5758543063198</v>
      </c>
      <c r="I31" s="103">
        <f t="shared" ref="I31:J31" si="10">SUM(I29:I30)</f>
        <v>664.79970229363653</v>
      </c>
      <c r="J31" s="103">
        <f t="shared" si="10"/>
        <v>678.91775272573932</v>
      </c>
      <c r="K31" s="103">
        <f t="shared" si="8"/>
        <v>14433.25905228101</v>
      </c>
    </row>
    <row r="32" spans="1:11" ht="13" x14ac:dyDescent="0.3">
      <c r="D32" s="101"/>
      <c r="E32" s="101"/>
      <c r="F32" s="101"/>
      <c r="G32" s="101"/>
      <c r="H32" s="101"/>
      <c r="I32" s="101"/>
      <c r="J32" s="101"/>
      <c r="K32" s="103"/>
    </row>
    <row r="33" spans="1:11" ht="13" x14ac:dyDescent="0.3">
      <c r="A33" s="2" t="s">
        <v>213</v>
      </c>
      <c r="B33" s="1" t="s">
        <v>46</v>
      </c>
      <c r="C33" s="2" t="s">
        <v>85</v>
      </c>
      <c r="D33" s="93">
        <f>'Post FD Inputs'!D15</f>
        <v>0</v>
      </c>
      <c r="E33" s="93">
        <f>'Post FD Inputs'!E15</f>
        <v>0</v>
      </c>
      <c r="F33" s="93">
        <f>'Post FD Inputs'!F15</f>
        <v>0</v>
      </c>
      <c r="G33" s="93">
        <f>'Post FD Inputs'!G15</f>
        <v>0</v>
      </c>
      <c r="H33" s="93">
        <f>'Post FD Inputs'!H15</f>
        <v>0</v>
      </c>
      <c r="I33" s="93">
        <f>'Post FD Inputs'!I15</f>
        <v>0</v>
      </c>
      <c r="J33" s="93">
        <f>'Post FD Inputs'!J15</f>
        <v>0</v>
      </c>
      <c r="K33" s="103">
        <f t="shared" si="8"/>
        <v>0</v>
      </c>
    </row>
    <row r="34" spans="1:11" ht="13" x14ac:dyDescent="0.3">
      <c r="A34" s="2" t="s">
        <v>214</v>
      </c>
      <c r="B34" s="1" t="s">
        <v>46</v>
      </c>
      <c r="C34" s="2" t="s">
        <v>85</v>
      </c>
      <c r="D34" s="93">
        <f>'Post FD Inputs'!D16</f>
        <v>123.6954329251467</v>
      </c>
      <c r="E34" s="93">
        <f>'Post FD Inputs'!E16</f>
        <v>30.893149999999995</v>
      </c>
      <c r="F34" s="93">
        <f>'Post FD Inputs'!F16</f>
        <v>178.04561000000001</v>
      </c>
      <c r="G34" s="93">
        <f>'Post FD Inputs'!G16</f>
        <v>1438.5687999999998</v>
      </c>
      <c r="H34" s="93">
        <f>'Post FD Inputs'!H16</f>
        <v>12.482825278810409</v>
      </c>
      <c r="I34" s="93">
        <f>'Post FD Inputs'!I16</f>
        <v>12.892210027801971</v>
      </c>
      <c r="J34" s="93">
        <f>'Post FD Inputs'!J16</f>
        <v>13.165996057978886</v>
      </c>
      <c r="K34" s="103">
        <f t="shared" si="8"/>
        <v>1809.7440242897378</v>
      </c>
    </row>
    <row r="35" spans="1:11" ht="13" x14ac:dyDescent="0.3">
      <c r="A35" s="10" t="s">
        <v>147</v>
      </c>
      <c r="B35" s="10" t="s">
        <v>46</v>
      </c>
      <c r="C35" s="10" t="s">
        <v>85</v>
      </c>
      <c r="D35" s="48">
        <f>SUM(D33:D34)</f>
        <v>123.6954329251467</v>
      </c>
      <c r="E35" s="48">
        <f t="shared" ref="E35:H35" si="11">SUM(E33:E34)</f>
        <v>30.893149999999995</v>
      </c>
      <c r="F35" s="48">
        <f t="shared" si="11"/>
        <v>178.04561000000001</v>
      </c>
      <c r="G35" s="48">
        <f t="shared" si="11"/>
        <v>1438.5687999999998</v>
      </c>
      <c r="H35" s="48">
        <f t="shared" si="11"/>
        <v>12.482825278810409</v>
      </c>
      <c r="I35" s="48">
        <f t="shared" ref="I35:J35" si="12">SUM(I33:I34)</f>
        <v>12.892210027801971</v>
      </c>
      <c r="J35" s="48">
        <f t="shared" si="12"/>
        <v>13.165996057978886</v>
      </c>
      <c r="K35" s="103">
        <f t="shared" si="8"/>
        <v>1809.7440242897378</v>
      </c>
    </row>
    <row r="36" spans="1:11" ht="13" x14ac:dyDescent="0.3">
      <c r="D36" s="95"/>
      <c r="E36" s="95"/>
      <c r="F36" s="95"/>
      <c r="G36" s="95"/>
      <c r="H36" s="95"/>
      <c r="I36" s="95"/>
      <c r="J36" s="95"/>
      <c r="K36" s="95"/>
    </row>
    <row r="37" spans="1:11" ht="13" x14ac:dyDescent="0.3">
      <c r="A37" s="7" t="s">
        <v>156</v>
      </c>
    </row>
    <row r="38" spans="1:11" ht="13" x14ac:dyDescent="0.3">
      <c r="B38" s="53"/>
      <c r="C38" s="26"/>
      <c r="D38" s="21" t="s">
        <v>26</v>
      </c>
      <c r="E38" s="21" t="s">
        <v>27</v>
      </c>
      <c r="F38" s="21" t="s">
        <v>28</v>
      </c>
      <c r="G38" s="21" t="s">
        <v>29</v>
      </c>
      <c r="H38" s="21" t="s">
        <v>34</v>
      </c>
      <c r="I38" s="21" t="s">
        <v>268</v>
      </c>
      <c r="J38" s="21" t="s">
        <v>275</v>
      </c>
      <c r="K38" s="21" t="s">
        <v>45</v>
      </c>
    </row>
    <row r="39" spans="1:11" ht="13" x14ac:dyDescent="0.3">
      <c r="A39" s="2" t="s">
        <v>155</v>
      </c>
      <c r="B39" s="1" t="s">
        <v>46</v>
      </c>
      <c r="C39" s="2" t="s">
        <v>85</v>
      </c>
      <c r="D39" s="25">
        <f>((D31-D21)*0.75)+'Post FD Inputs'!D24</f>
        <v>-1010.8423065247157</v>
      </c>
      <c r="E39" s="25">
        <f>((E31-E21)*0.75)+'Post FD Inputs'!E24</f>
        <v>378.24600248895183</v>
      </c>
      <c r="F39" s="25">
        <f>((F31-F21)*0.75)+'Post FD Inputs'!F24</f>
        <v>-453.42638868622794</v>
      </c>
      <c r="G39" s="25">
        <f>((G31-G21)*0.75)+'Post FD Inputs'!G24</f>
        <v>474.29945521078434</v>
      </c>
      <c r="H39" s="25">
        <f>((H31-H21)*0.75)+'Post FD Inputs'!H24</f>
        <v>0</v>
      </c>
      <c r="I39" s="25">
        <f>((I31-I21)*0.75)+'Post FD Inputs'!I24</f>
        <v>0</v>
      </c>
      <c r="J39" s="25">
        <f>((J31-J21)*0.75)+'Post FD Inputs'!J24</f>
        <v>0</v>
      </c>
      <c r="K39" s="49">
        <f>SUM(D39:J39)</f>
        <v>-611.72323751120757</v>
      </c>
    </row>
    <row r="40" spans="1:11" ht="13" x14ac:dyDescent="0.3">
      <c r="A40" s="2" t="s">
        <v>238</v>
      </c>
      <c r="B40" s="1" t="s">
        <v>46</v>
      </c>
      <c r="C40" s="2" t="s">
        <v>85</v>
      </c>
      <c r="D40" s="25">
        <f>((D35-D22)*0.75)+'Post FD Inputs'!D25</f>
        <v>56.219530084194588</v>
      </c>
      <c r="E40" s="25">
        <f>((E35-E22)*0.75)+'Post FD Inputs'!E25</f>
        <v>-16.229533410780672</v>
      </c>
      <c r="F40" s="25">
        <f>((F35-F22)*0.75)+'Post FD Inputs'!F25</f>
        <v>124.591363633829</v>
      </c>
      <c r="G40" s="25">
        <f>((G35-G22)*0.75)+'Post FD Inputs'!G25</f>
        <v>34.162422610227509</v>
      </c>
      <c r="H40" s="25">
        <f>((H35-H22)*0.75)+'Post FD Inputs'!H25</f>
        <v>0</v>
      </c>
      <c r="I40" s="25">
        <f>((I35-I22)*0.75)+'Post FD Inputs'!I25</f>
        <v>0</v>
      </c>
      <c r="J40" s="25">
        <f>((J35-J22)*0.75)+'Post FD Inputs'!J25</f>
        <v>0</v>
      </c>
      <c r="K40" s="49">
        <f t="shared" ref="K40:K41" si="13">SUM(D40:J40)</f>
        <v>198.74378291747041</v>
      </c>
    </row>
    <row r="41" spans="1:11" ht="13" x14ac:dyDescent="0.3">
      <c r="A41" s="10" t="s">
        <v>239</v>
      </c>
      <c r="B41" s="16" t="s">
        <v>46</v>
      </c>
      <c r="C41" s="10" t="s">
        <v>85</v>
      </c>
      <c r="D41" s="48">
        <f>D39+D40</f>
        <v>-954.62277644052108</v>
      </c>
      <c r="E41" s="48">
        <f t="shared" ref="E41:I41" si="14">E39+E40</f>
        <v>362.01646907817116</v>
      </c>
      <c r="F41" s="48">
        <f t="shared" si="14"/>
        <v>-328.83502505239892</v>
      </c>
      <c r="G41" s="48">
        <f t="shared" si="14"/>
        <v>508.46187782101185</v>
      </c>
      <c r="H41" s="48">
        <f t="shared" si="14"/>
        <v>0</v>
      </c>
      <c r="I41" s="48">
        <f t="shared" si="14"/>
        <v>0</v>
      </c>
      <c r="J41" s="48">
        <f t="shared" ref="J41" si="15">J39+J40</f>
        <v>0</v>
      </c>
      <c r="K41" s="49">
        <f t="shared" si="13"/>
        <v>-412.97945459373705</v>
      </c>
    </row>
    <row r="43" spans="1:11" ht="13" x14ac:dyDescent="0.3">
      <c r="A43" s="7" t="s">
        <v>157</v>
      </c>
    </row>
    <row r="44" spans="1:11" ht="13" x14ac:dyDescent="0.3">
      <c r="B44" s="53"/>
      <c r="C44" s="26"/>
      <c r="D44" s="21" t="s">
        <v>26</v>
      </c>
      <c r="E44" s="21" t="s">
        <v>27</v>
      </c>
      <c r="F44" s="21" t="s">
        <v>28</v>
      </c>
      <c r="G44" s="21" t="s">
        <v>29</v>
      </c>
      <c r="H44" s="21" t="s">
        <v>34</v>
      </c>
      <c r="I44" s="21" t="s">
        <v>268</v>
      </c>
      <c r="J44" s="21" t="s">
        <v>275</v>
      </c>
      <c r="K44" s="21" t="s">
        <v>45</v>
      </c>
    </row>
    <row r="45" spans="1:11" ht="13" x14ac:dyDescent="0.3">
      <c r="A45" s="2" t="s">
        <v>158</v>
      </c>
      <c r="B45" s="1" t="s">
        <v>46</v>
      </c>
      <c r="C45" s="2" t="s">
        <v>85</v>
      </c>
      <c r="D45" s="25">
        <f t="shared" ref="D45:I45" si="16">D21+D39</f>
        <v>1649.5427525830914</v>
      </c>
      <c r="E45" s="25">
        <f t="shared" si="16"/>
        <v>3564.4855391703495</v>
      </c>
      <c r="F45" s="25">
        <f t="shared" si="16"/>
        <v>3004.287025442537</v>
      </c>
      <c r="G45" s="25">
        <f>G21+G39</f>
        <v>3227.5581715964049</v>
      </c>
      <c r="H45" s="25">
        <f t="shared" si="16"/>
        <v>1847.5758543063198</v>
      </c>
      <c r="I45" s="25">
        <f t="shared" si="16"/>
        <v>664.79970229363653</v>
      </c>
      <c r="J45" s="25">
        <f t="shared" ref="J45" si="17">J21+J39</f>
        <v>678.91775272573932</v>
      </c>
      <c r="K45" s="49">
        <f>SUM(D45:J45)</f>
        <v>14637.16679811808</v>
      </c>
    </row>
    <row r="46" spans="1:11" ht="13" x14ac:dyDescent="0.3">
      <c r="A46" s="2" t="s">
        <v>163</v>
      </c>
      <c r="B46" s="1" t="s">
        <v>46</v>
      </c>
      <c r="C46" s="2" t="s">
        <v>85</v>
      </c>
      <c r="D46" s="25">
        <f>D22+D40</f>
        <v>104.9555895637485</v>
      </c>
      <c r="E46" s="25">
        <f t="shared" ref="E46:I46" si="18">E22+E40</f>
        <v>36.302994470260217</v>
      </c>
      <c r="F46" s="25">
        <f t="shared" si="18"/>
        <v>136.51515545539036</v>
      </c>
      <c r="G46" s="25">
        <f t="shared" si="18"/>
        <v>1427.1813257965905</v>
      </c>
      <c r="H46" s="25">
        <f t="shared" si="18"/>
        <v>12.482825278810409</v>
      </c>
      <c r="I46" s="25">
        <f t="shared" si="18"/>
        <v>12.892210027801971</v>
      </c>
      <c r="J46" s="25">
        <f t="shared" ref="J46" si="19">J22+J40</f>
        <v>13.165996057978886</v>
      </c>
      <c r="K46" s="49">
        <f t="shared" ref="K46:K47" si="20">SUM(D46:J46)</f>
        <v>1743.4960966505807</v>
      </c>
    </row>
    <row r="47" spans="1:11" ht="13" x14ac:dyDescent="0.3">
      <c r="A47" s="10" t="s">
        <v>237</v>
      </c>
      <c r="B47" s="16" t="s">
        <v>46</v>
      </c>
      <c r="C47" s="10" t="s">
        <v>85</v>
      </c>
      <c r="D47" s="48">
        <f>D45+D46</f>
        <v>1754.4983421468401</v>
      </c>
      <c r="E47" s="48">
        <f t="shared" ref="E47:I47" si="21">E45+E46</f>
        <v>3600.7885336406098</v>
      </c>
      <c r="F47" s="48">
        <f t="shared" si="21"/>
        <v>3140.8021808979274</v>
      </c>
      <c r="G47" s="48">
        <f t="shared" si="21"/>
        <v>4654.739497392995</v>
      </c>
      <c r="H47" s="48">
        <f t="shared" si="21"/>
        <v>1860.0586795851302</v>
      </c>
      <c r="I47" s="48">
        <f t="shared" si="21"/>
        <v>677.69191232143851</v>
      </c>
      <c r="J47" s="48">
        <f t="shared" ref="J47" si="22">J45+J46</f>
        <v>692.08374878371819</v>
      </c>
      <c r="K47" s="49">
        <f t="shared" si="20"/>
        <v>16380.66289476866</v>
      </c>
    </row>
    <row r="49" spans="5:5" x14ac:dyDescent="0.25">
      <c r="E49" s="47"/>
    </row>
    <row r="50" spans="5:5" x14ac:dyDescent="0.25">
      <c r="E50" s="47"/>
    </row>
    <row r="51" spans="5:5" x14ac:dyDescent="0.25">
      <c r="E51" s="47"/>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Guidance</vt:lpstr>
      <vt:lpstr>Index</vt:lpstr>
      <vt:lpstr>Main Inputs&gt;&gt;</vt:lpstr>
      <vt:lpstr>Inflation</vt:lpstr>
      <vt:lpstr>FD Allowances</vt:lpstr>
      <vt:lpstr>Post FD Inputs</vt:lpstr>
      <vt:lpstr>RAB Inputs</vt:lpstr>
      <vt:lpstr>Calcs &gt;&gt;</vt:lpstr>
      <vt:lpstr>Cost Sharing</vt:lpstr>
      <vt:lpstr>RAB - NB</vt:lpstr>
      <vt:lpstr>RAB - Build</vt:lpstr>
      <vt:lpstr>Results</vt:lpstr>
      <vt:lpstr>RAB Summary (2020-27)</vt:lpstr>
      <vt:lpstr>RAB Summary (from 2010)</vt:lpstr>
      <vt:lpstr>Return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2025-04-10T14:01:56Z</dcterms:modified>
</cp:coreProperties>
</file>