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11475" windowHeight="5445"/>
  </bookViews>
  <sheets>
    <sheet name="Capital Expenditure" sheetId="2" r:id="rId1"/>
    <sheet name="WACC &amp; NPV Calculations" sheetId="3" r:id="rId2"/>
    <sheet name="Development Plan &gt;&gt;&gt;&gt;&gt;" sheetId="4" r:id="rId3"/>
    <sheet name="Development Plan_1" sheetId="5" r:id="rId4"/>
    <sheet name="Development Plan_2" sheetId="6" r:id="rId5"/>
    <sheet name="Development Plan_3" sheetId="7" r:id="rId6"/>
  </sheets>
  <definedNames>
    <definedName name="_xlnm.Print_Area" localSheetId="0">'Capital Expenditure'!$A$1:$H$42</definedName>
    <definedName name="_xlnm.Print_Area" localSheetId="2">'Development Plan &gt;&gt;&gt;&gt;&gt;'!$A$1:$I$49</definedName>
    <definedName name="_xlnm.Print_Area" localSheetId="3">'Development Plan_1'!$A$1:$AP$14</definedName>
    <definedName name="_xlnm.Print_Area" localSheetId="4">'Development Plan_2'!$A$1:$D$21</definedName>
    <definedName name="_xlnm.Print_Titles" localSheetId="3">'Development Plan_1'!$A:$B</definedName>
    <definedName name="tror" localSheetId="0">'Capital Expenditure'!#REF!</definedName>
    <definedName name="tror" localSheetId="1">'WACC &amp; NPV Calculations'!#REF!</definedName>
  </definedNames>
  <calcPr calcId="145621" calcMode="autoNoTable" iterate="1" iterateCount="1000" calcOnSave="0"/>
</workbook>
</file>

<file path=xl/calcChain.xml><?xml version="1.0" encoding="utf-8"?>
<calcChain xmlns="http://schemas.openxmlformats.org/spreadsheetml/2006/main">
  <c r="D20" i="6" l="1"/>
  <c r="D19" i="6"/>
  <c r="D16" i="6"/>
  <c r="D15" i="6"/>
  <c r="D14" i="6"/>
  <c r="D11" i="6"/>
  <c r="D10" i="6"/>
  <c r="D9" i="6"/>
  <c r="D8" i="6"/>
  <c r="D7" i="6"/>
  <c r="D6" i="6"/>
  <c r="D5" i="6"/>
  <c r="AP8" i="5" l="1"/>
  <c r="AO8" i="5"/>
  <c r="AN8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D57" i="3" l="1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F30" i="2"/>
  <c r="E30" i="2"/>
  <c r="G27" i="2"/>
  <c r="G26" i="2"/>
  <c r="G25" i="2"/>
  <c r="G24" i="2"/>
  <c r="G23" i="2"/>
  <c r="G22" i="2"/>
  <c r="G21" i="2"/>
  <c r="I18" i="3"/>
  <c r="H1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E33" i="2"/>
  <c r="C30" i="2"/>
  <c r="D13" i="6" s="1"/>
  <c r="C14" i="2"/>
  <c r="I19" i="3" l="1"/>
  <c r="H19" i="3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G30" i="2"/>
  <c r="F32" i="2"/>
  <c r="F31" i="2"/>
  <c r="E31" i="2"/>
  <c r="E32" i="2"/>
  <c r="I20" i="3" l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G32" i="2"/>
  <c r="G31" i="2"/>
  <c r="E34" i="2"/>
  <c r="E35" i="2" s="1"/>
  <c r="F33" i="2" s="1"/>
  <c r="F34" i="2" s="1"/>
  <c r="I38" i="3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I53" i="3" s="1"/>
  <c r="I54" i="3" s="1"/>
  <c r="I55" i="3" s="1"/>
  <c r="I56" i="3" s="1"/>
  <c r="I57" i="3" s="1"/>
  <c r="H39" i="3"/>
  <c r="H40" i="3" l="1"/>
  <c r="H41" i="3" l="1"/>
  <c r="F35" i="2"/>
  <c r="G33" i="2" s="1"/>
  <c r="G34" i="2" s="1"/>
  <c r="H42" i="3" l="1"/>
  <c r="C34" i="2"/>
  <c r="D17" i="6" s="1"/>
  <c r="C35" i="2" l="1"/>
  <c r="H43" i="3"/>
  <c r="G35" i="2"/>
  <c r="C38" i="2" l="1"/>
  <c r="D18" i="6"/>
  <c r="H44" i="3"/>
  <c r="E18" i="3" l="1"/>
  <c r="G18" i="3" s="1"/>
  <c r="D21" i="6"/>
  <c r="H45" i="3"/>
  <c r="J18" i="3" l="1"/>
  <c r="K18" i="3"/>
  <c r="H46" i="3"/>
  <c r="H47" i="3" s="1"/>
  <c r="H48" i="3" s="1"/>
  <c r="H49" i="3" s="1"/>
  <c r="H50" i="3" s="1"/>
  <c r="H51" i="3" s="1"/>
  <c r="H52" i="3" s="1"/>
  <c r="H53" i="3" s="1"/>
  <c r="H54" i="3" s="1"/>
  <c r="H55" i="3" s="1"/>
  <c r="H56" i="3" s="1"/>
  <c r="H57" i="3" s="1"/>
  <c r="F18" i="3" l="1"/>
  <c r="E19" i="3" s="1"/>
  <c r="G19" i="3" s="1"/>
  <c r="K19" i="3" s="1"/>
  <c r="L18" i="3"/>
  <c r="C11" i="5" s="1"/>
  <c r="J19" i="3" l="1"/>
  <c r="L19" i="3" s="1"/>
  <c r="D11" i="5" s="1"/>
  <c r="F19" i="3" l="1"/>
  <c r="E20" i="3" s="1"/>
  <c r="G20" i="3" s="1"/>
  <c r="K20" i="3" s="1"/>
  <c r="J20" i="3"/>
  <c r="F20" i="3" s="1"/>
  <c r="E21" i="3" s="1"/>
  <c r="G21" i="3" s="1"/>
  <c r="J21" i="3" s="1"/>
  <c r="F21" i="3" s="1"/>
  <c r="E22" i="3" s="1"/>
  <c r="G22" i="3" l="1"/>
  <c r="J22" i="3" s="1"/>
  <c r="F22" i="3" s="1"/>
  <c r="E23" i="3" s="1"/>
  <c r="K21" i="3"/>
  <c r="L21" i="3" s="1"/>
  <c r="F11" i="5" s="1"/>
  <c r="L20" i="3"/>
  <c r="E11" i="5" s="1"/>
  <c r="G23" i="3" l="1"/>
  <c r="K23" i="3" s="1"/>
  <c r="K22" i="3"/>
  <c r="L22" i="3" s="1"/>
  <c r="G11" i="5" s="1"/>
  <c r="G24" i="3"/>
  <c r="J23" i="3" l="1"/>
  <c r="K24" i="3"/>
  <c r="J24" i="3"/>
  <c r="G25" i="3"/>
  <c r="L23" i="3"/>
  <c r="H11" i="5" s="1"/>
  <c r="F23" i="3"/>
  <c r="E24" i="3" s="1"/>
  <c r="L24" i="3" l="1"/>
  <c r="I11" i="5" s="1"/>
  <c r="K25" i="3"/>
  <c r="J25" i="3"/>
  <c r="F24" i="3"/>
  <c r="E25" i="3" s="1"/>
  <c r="F25" i="3" l="1"/>
  <c r="E26" i="3" s="1"/>
  <c r="G26" i="3" s="1"/>
  <c r="K26" i="3" s="1"/>
  <c r="L25" i="3"/>
  <c r="J11" i="5" s="1"/>
  <c r="J26" i="3" l="1"/>
  <c r="L26" i="3" s="1"/>
  <c r="K11" i="5" s="1"/>
  <c r="G27" i="3"/>
  <c r="K27" i="3" s="1"/>
  <c r="F26" i="3" l="1"/>
  <c r="E27" i="3" s="1"/>
  <c r="G28" i="3"/>
  <c r="G29" i="3" s="1"/>
  <c r="J27" i="3"/>
  <c r="F27" i="3" l="1"/>
  <c r="E28" i="3" s="1"/>
  <c r="L27" i="3"/>
  <c r="L11" i="5" s="1"/>
  <c r="J28" i="3"/>
  <c r="K28" i="3"/>
  <c r="K29" i="3"/>
  <c r="J29" i="3"/>
  <c r="G30" i="3"/>
  <c r="L28" i="3" l="1"/>
  <c r="M11" i="5" s="1"/>
  <c r="F28" i="3"/>
  <c r="E29" i="3" s="1"/>
  <c r="F29" i="3" s="1"/>
  <c r="E30" i="3" s="1"/>
  <c r="L29" i="3"/>
  <c r="N11" i="5" s="1"/>
  <c r="G31" i="3"/>
  <c r="K30" i="3"/>
  <c r="J30" i="3"/>
  <c r="F30" i="3" l="1"/>
  <c r="E31" i="3" s="1"/>
  <c r="J31" i="3"/>
  <c r="K31" i="3"/>
  <c r="G32" i="3"/>
  <c r="L30" i="3"/>
  <c r="O11" i="5" s="1"/>
  <c r="J32" i="3" l="1"/>
  <c r="K32" i="3"/>
  <c r="G33" i="3"/>
  <c r="L31" i="3"/>
  <c r="P11" i="5" s="1"/>
  <c r="F31" i="3"/>
  <c r="E32" i="3" s="1"/>
  <c r="F32" i="3" l="1"/>
  <c r="E33" i="3" s="1"/>
  <c r="J33" i="3"/>
  <c r="K33" i="3"/>
  <c r="G34" i="3"/>
  <c r="L32" i="3"/>
  <c r="Q11" i="5" s="1"/>
  <c r="G35" i="3" l="1"/>
  <c r="J34" i="3"/>
  <c r="K34" i="3"/>
  <c r="F33" i="3"/>
  <c r="E34" i="3" s="1"/>
  <c r="L33" i="3"/>
  <c r="R11" i="5" s="1"/>
  <c r="F34" i="3" l="1"/>
  <c r="E35" i="3" s="1"/>
  <c r="L34" i="3"/>
  <c r="S11" i="5" s="1"/>
  <c r="G36" i="3"/>
  <c r="K35" i="3"/>
  <c r="J35" i="3"/>
  <c r="L35" i="3" l="1"/>
  <c r="T11" i="5" s="1"/>
  <c r="F35" i="3"/>
  <c r="E36" i="3" s="1"/>
  <c r="G37" i="3"/>
  <c r="J36" i="3"/>
  <c r="K36" i="3"/>
  <c r="L36" i="3" l="1"/>
  <c r="U11" i="5" s="1"/>
  <c r="F36" i="3"/>
  <c r="E37" i="3" s="1"/>
  <c r="J37" i="3"/>
  <c r="G38" i="3"/>
  <c r="K37" i="3"/>
  <c r="L37" i="3" l="1"/>
  <c r="V11" i="5" s="1"/>
  <c r="K38" i="3"/>
  <c r="G39" i="3"/>
  <c r="J38" i="3"/>
  <c r="F37" i="3"/>
  <c r="E38" i="3" s="1"/>
  <c r="L38" i="3" l="1"/>
  <c r="W11" i="5" s="1"/>
  <c r="J39" i="3"/>
  <c r="G40" i="3"/>
  <c r="K39" i="3"/>
  <c r="F38" i="3"/>
  <c r="E39" i="3" s="1"/>
  <c r="L39" i="3" l="1"/>
  <c r="X11" i="5" s="1"/>
  <c r="J40" i="3"/>
  <c r="K40" i="3"/>
  <c r="G41" i="3"/>
  <c r="F39" i="3"/>
  <c r="E40" i="3" s="1"/>
  <c r="L40" i="3" l="1"/>
  <c r="Y11" i="5" s="1"/>
  <c r="F40" i="3"/>
  <c r="E41" i="3" s="1"/>
  <c r="K41" i="3"/>
  <c r="J41" i="3"/>
  <c r="G42" i="3"/>
  <c r="F41" i="3" l="1"/>
  <c r="E42" i="3" s="1"/>
  <c r="L41" i="3"/>
  <c r="Z11" i="5" s="1"/>
  <c r="J42" i="3"/>
  <c r="K42" i="3"/>
  <c r="G43" i="3"/>
  <c r="J43" i="3" l="1"/>
  <c r="K43" i="3"/>
  <c r="G44" i="3"/>
  <c r="L42" i="3"/>
  <c r="AA11" i="5" s="1"/>
  <c r="F42" i="3"/>
  <c r="E43" i="3" s="1"/>
  <c r="F43" i="3" l="1"/>
  <c r="E44" i="3" s="1"/>
  <c r="J44" i="3"/>
  <c r="K44" i="3"/>
  <c r="G45" i="3"/>
  <c r="L43" i="3"/>
  <c r="AB11" i="5" s="1"/>
  <c r="J45" i="3" l="1"/>
  <c r="K45" i="3"/>
  <c r="G46" i="3"/>
  <c r="F44" i="3"/>
  <c r="E45" i="3" s="1"/>
  <c r="L44" i="3"/>
  <c r="AC11" i="5" s="1"/>
  <c r="F45" i="3" l="1"/>
  <c r="E46" i="3" s="1"/>
  <c r="J46" i="3"/>
  <c r="G47" i="3"/>
  <c r="K46" i="3"/>
  <c r="L45" i="3"/>
  <c r="AD11" i="5" s="1"/>
  <c r="F46" i="3" l="1"/>
  <c r="E47" i="3" s="1"/>
  <c r="L46" i="3"/>
  <c r="AE11" i="5" s="1"/>
  <c r="G48" i="3"/>
  <c r="K47" i="3"/>
  <c r="J47" i="3"/>
  <c r="L47" i="3" l="1"/>
  <c r="AF11" i="5" s="1"/>
  <c r="K48" i="3"/>
  <c r="J48" i="3"/>
  <c r="F47" i="3"/>
  <c r="E48" i="3" s="1"/>
  <c r="L48" i="3" l="1"/>
  <c r="AG11" i="5" s="1"/>
  <c r="F48" i="3"/>
  <c r="E49" i="3" s="1"/>
  <c r="G49" i="3" s="1"/>
  <c r="K49" i="3" l="1"/>
  <c r="G50" i="3"/>
  <c r="J49" i="3"/>
  <c r="F49" i="3" l="1"/>
  <c r="E50" i="3" s="1"/>
  <c r="L49" i="3"/>
  <c r="AH11" i="5" s="1"/>
  <c r="J50" i="3"/>
  <c r="K50" i="3"/>
  <c r="G51" i="3"/>
  <c r="G52" i="3" l="1"/>
  <c r="G53" i="3" s="1"/>
  <c r="J51" i="3"/>
  <c r="K51" i="3"/>
  <c r="L50" i="3"/>
  <c r="AI11" i="5" s="1"/>
  <c r="F50" i="3"/>
  <c r="E51" i="3" s="1"/>
  <c r="F51" i="3" l="1"/>
  <c r="E52" i="3" s="1"/>
  <c r="L51" i="3"/>
  <c r="AJ11" i="5" s="1"/>
  <c r="J52" i="3"/>
  <c r="K52" i="3"/>
  <c r="G54" i="3"/>
  <c r="J53" i="3"/>
  <c r="K53" i="3"/>
  <c r="F52" i="3" l="1"/>
  <c r="E53" i="3" s="1"/>
  <c r="L52" i="3"/>
  <c r="AK11" i="5" s="1"/>
  <c r="J54" i="3"/>
  <c r="G55" i="3"/>
  <c r="K54" i="3"/>
  <c r="L53" i="3"/>
  <c r="AL11" i="5" s="1"/>
  <c r="F53" i="3"/>
  <c r="E54" i="3" s="1"/>
  <c r="F54" i="3" l="1"/>
  <c r="E55" i="3" s="1"/>
  <c r="L54" i="3"/>
  <c r="AM11" i="5" s="1"/>
  <c r="G56" i="3"/>
  <c r="K55" i="3"/>
  <c r="J55" i="3"/>
  <c r="L55" i="3" l="1"/>
  <c r="AN11" i="5" s="1"/>
  <c r="G57" i="3"/>
  <c r="J56" i="3"/>
  <c r="K56" i="3"/>
  <c r="F55" i="3"/>
  <c r="E56" i="3" s="1"/>
  <c r="J57" i="3" l="1"/>
  <c r="K57" i="3"/>
  <c r="K59" i="3" s="1"/>
  <c r="F56" i="3"/>
  <c r="E57" i="3" s="1"/>
  <c r="L56" i="3"/>
  <c r="AO11" i="5" s="1"/>
  <c r="J59" i="3"/>
  <c r="F57" i="3" l="1"/>
  <c r="L57" i="3"/>
  <c r="AP11" i="5" s="1"/>
  <c r="L59" i="3" l="1"/>
  <c r="L62" i="3"/>
</calcChain>
</file>

<file path=xl/sharedStrings.xml><?xml version="1.0" encoding="utf-8"?>
<sst xmlns="http://schemas.openxmlformats.org/spreadsheetml/2006/main" count="98" uniqueCount="66">
  <si>
    <t>Capitalised Interest (real)</t>
  </si>
  <si>
    <t xml:space="preserve">LIBOR </t>
  </si>
  <si>
    <t>Calculation of Allowed Revenue £m</t>
  </si>
  <si>
    <t>Premium</t>
  </si>
  <si>
    <t>Repayment</t>
  </si>
  <si>
    <t>Total</t>
  </si>
  <si>
    <t>Year</t>
  </si>
  <si>
    <t>PC period</t>
  </si>
  <si>
    <t>Capital</t>
  </si>
  <si>
    <t>Interest</t>
  </si>
  <si>
    <t>Capital Expenditure Pattern FMA</t>
  </si>
  <si>
    <t>Capital Expenditure</t>
  </si>
  <si>
    <t>Controllable</t>
  </si>
  <si>
    <t>Materials</t>
  </si>
  <si>
    <t>Construction</t>
  </si>
  <si>
    <t>Wayleaves</t>
  </si>
  <si>
    <t>Design / Project Management</t>
  </si>
  <si>
    <t>Site Investigation / C &amp; I / Commissioning</t>
  </si>
  <si>
    <t>Contingency</t>
  </si>
  <si>
    <t>Uncontrollable</t>
  </si>
  <si>
    <t>Opening</t>
  </si>
  <si>
    <t>Asset Value</t>
  </si>
  <si>
    <t>Subvention</t>
  </si>
  <si>
    <t>Opening RAB</t>
  </si>
  <si>
    <t>Capitalised Interest</t>
  </si>
  <si>
    <t>Closing RAB</t>
  </si>
  <si>
    <t>t-3</t>
  </si>
  <si>
    <t>t-2</t>
  </si>
  <si>
    <t>t-1</t>
  </si>
  <si>
    <t>Other Applicant Costs</t>
  </si>
  <si>
    <t>Closing</t>
  </si>
  <si>
    <t>Expenditure</t>
  </si>
  <si>
    <t>£m</t>
  </si>
  <si>
    <t>Pain Gain Mechanism</t>
  </si>
  <si>
    <t>Principal</t>
  </si>
  <si>
    <t>Made</t>
  </si>
  <si>
    <t>Payment Years</t>
  </si>
  <si>
    <t>At this years Interest Rate</t>
  </si>
  <si>
    <t>All numbers in black are calculated</t>
  </si>
  <si>
    <t>Weighted Average Cost of Capital and Nett Present Value  Years 1-40</t>
  </si>
  <si>
    <t>Applicants only permitted to input data into blank cells</t>
  </si>
  <si>
    <t>Net Present Value  as  per Published</t>
  </si>
  <si>
    <t>Criteria 3.15 Applicant Determined Cost</t>
  </si>
  <si>
    <t>Social Discount Rate</t>
  </si>
  <si>
    <t>Mobilisation</t>
  </si>
  <si>
    <t>Capital Expenditure Years t-3, t-2 and t-1</t>
  </si>
  <si>
    <t>All numbers in blue are input by the Utility Regulator</t>
  </si>
  <si>
    <t>Pre Tax Real WACC</t>
  </si>
  <si>
    <t>Risk Adjustment Factor Applied</t>
  </si>
  <si>
    <t>Applicant</t>
  </si>
  <si>
    <t>Submitted</t>
  </si>
  <si>
    <t>Including</t>
  </si>
  <si>
    <t>Adjustment</t>
  </si>
  <si>
    <t>Development Plan &gt;&gt;&gt;&gt;&gt;</t>
  </si>
  <si>
    <t>Volume of gas (therms)</t>
  </si>
  <si>
    <t>Domestic</t>
  </si>
  <si>
    <t>I&amp;C</t>
  </si>
  <si>
    <t>Revenue (£2014)</t>
  </si>
  <si>
    <t>Revenue</t>
  </si>
  <si>
    <t>Gas to the West Development Plan - High Pressure</t>
  </si>
  <si>
    <r>
      <t xml:space="preserve">CAPEX </t>
    </r>
    <r>
      <rPr>
        <b/>
        <sz val="11"/>
        <color rgb="FFC00000"/>
        <rFont val="Calibri"/>
        <family val="2"/>
        <scheme val="minor"/>
      </rPr>
      <t>Years t-3, t-2 and t-1</t>
    </r>
  </si>
  <si>
    <t>(£2014)</t>
  </si>
  <si>
    <t>Pipelne - Overall Timeline for delivery of High Pressure Pipeline System</t>
  </si>
  <si>
    <t>Part 1</t>
  </si>
  <si>
    <t>Part 3</t>
  </si>
  <si>
    <t>Part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</si>
</sst>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£&quot;#,##0.00;[Red]\-&quot;£&quot;#,##0.00"/>
    <numFmt numFmtId="164" formatCode="#,##0.000"/>
    <numFmt numFmtId="165" formatCode="0.000"/>
    <numFmt numFmtId="166" formatCode="0.0%"/>
    <numFmt numFmtId="167" formatCode="&quot;£&quot;#,##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2" fillId="2" borderId="4" xfId="0" applyFont="1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" xfId="0" applyFill="1" applyBorder="1"/>
    <xf numFmtId="0" fontId="0" fillId="2" borderId="13" xfId="0" applyFill="1" applyBorder="1"/>
    <xf numFmtId="0" fontId="0" fillId="2" borderId="15" xfId="0" applyFill="1" applyBorder="1"/>
    <xf numFmtId="0" fontId="0" fillId="2" borderId="9" xfId="0" applyFill="1" applyBorder="1" applyAlignment="1">
      <alignment horizontal="center"/>
    </xf>
    <xf numFmtId="164" fontId="0" fillId="2" borderId="0" xfId="0" applyNumberFormat="1" applyFill="1" applyBorder="1"/>
    <xf numFmtId="164" fontId="0" fillId="0" borderId="0" xfId="0" applyNumberFormat="1"/>
    <xf numFmtId="0" fontId="4" fillId="2" borderId="4" xfId="0" applyFont="1" applyFill="1" applyBorder="1"/>
    <xf numFmtId="0" fontId="4" fillId="2" borderId="0" xfId="0" applyFont="1" applyFill="1" applyBorder="1"/>
    <xf numFmtId="0" fontId="4" fillId="2" borderId="13" xfId="0" applyFont="1" applyFill="1" applyBorder="1"/>
    <xf numFmtId="0" fontId="4" fillId="0" borderId="0" xfId="0" applyFont="1"/>
    <xf numFmtId="0" fontId="5" fillId="2" borderId="4" xfId="0" applyFont="1" applyFill="1" applyBorder="1"/>
    <xf numFmtId="0" fontId="0" fillId="2" borderId="1" xfId="0" applyFill="1" applyBorder="1" applyAlignment="1">
      <alignment horizontal="centerContinuous"/>
    </xf>
    <xf numFmtId="0" fontId="0" fillId="2" borderId="15" xfId="0" applyFill="1" applyBorder="1" applyAlignment="1">
      <alignment horizontal="centerContinuous"/>
    </xf>
    <xf numFmtId="8" fontId="0" fillId="2" borderId="0" xfId="0" applyNumberFormat="1" applyFill="1" applyBorder="1"/>
    <xf numFmtId="8" fontId="0" fillId="2" borderId="13" xfId="0" applyNumberFormat="1" applyFill="1" applyBorder="1"/>
    <xf numFmtId="0" fontId="0" fillId="0" borderId="0" xfId="0" applyFont="1"/>
    <xf numFmtId="0" fontId="0" fillId="2" borderId="10" xfId="0" applyFill="1" applyBorder="1" applyAlignment="1">
      <alignment horizontal="centerContinuous"/>
    </xf>
    <xf numFmtId="0" fontId="0" fillId="2" borderId="8" xfId="0" applyFill="1" applyBorder="1" applyAlignment="1">
      <alignment horizontal="centerContinuous"/>
    </xf>
    <xf numFmtId="0" fontId="0" fillId="2" borderId="4" xfId="0" applyFill="1" applyBorder="1" applyAlignment="1">
      <alignment horizontal="centerContinuous"/>
    </xf>
    <xf numFmtId="0" fontId="0" fillId="2" borderId="13" xfId="0" applyFill="1" applyBorder="1" applyAlignment="1">
      <alignment horizontal="centerContinuous"/>
    </xf>
    <xf numFmtId="9" fontId="0" fillId="2" borderId="0" xfId="0" applyNumberFormat="1" applyFill="1" applyBorder="1"/>
    <xf numFmtId="164" fontId="3" fillId="3" borderId="7" xfId="0" applyNumberFormat="1" applyFont="1" applyFill="1" applyBorder="1"/>
    <xf numFmtId="2" fontId="0" fillId="2" borderId="0" xfId="0" applyNumberFormat="1" applyFill="1" applyBorder="1"/>
    <xf numFmtId="8" fontId="0" fillId="2" borderId="9" xfId="0" applyNumberFormat="1" applyFill="1" applyBorder="1"/>
    <xf numFmtId="8" fontId="0" fillId="0" borderId="0" xfId="0" applyNumberFormat="1"/>
    <xf numFmtId="10" fontId="3" fillId="4" borderId="10" xfId="0" applyNumberFormat="1" applyFont="1" applyFill="1" applyBorder="1"/>
    <xf numFmtId="10" fontId="3" fillId="4" borderId="12" xfId="0" applyNumberFormat="1" applyFont="1" applyFill="1" applyBorder="1"/>
    <xf numFmtId="10" fontId="0" fillId="4" borderId="11" xfId="0" applyNumberFormat="1" applyFont="1" applyFill="1" applyBorder="1"/>
    <xf numFmtId="164" fontId="3" fillId="4" borderId="10" xfId="0" applyNumberFormat="1" applyFont="1" applyFill="1" applyBorder="1"/>
    <xf numFmtId="164" fontId="3" fillId="4" borderId="12" xfId="0" applyNumberFormat="1" applyFont="1" applyFill="1" applyBorder="1"/>
    <xf numFmtId="164" fontId="3" fillId="4" borderId="7" xfId="0" applyNumberFormat="1" applyFont="1" applyFill="1" applyBorder="1"/>
    <xf numFmtId="166" fontId="3" fillId="4" borderId="2" xfId="0" applyNumberFormat="1" applyFont="1" applyFill="1" applyBorder="1"/>
    <xf numFmtId="166" fontId="3" fillId="4" borderId="3" xfId="0" applyNumberFormat="1" applyFont="1" applyFill="1" applyBorder="1"/>
    <xf numFmtId="166" fontId="3" fillId="4" borderId="4" xfId="0" applyNumberFormat="1" applyFont="1" applyFill="1" applyBorder="1"/>
    <xf numFmtId="166" fontId="3" fillId="4" borderId="0" xfId="0" applyNumberFormat="1" applyFont="1" applyFill="1" applyBorder="1"/>
    <xf numFmtId="166" fontId="3" fillId="4" borderId="5" xfId="0" applyNumberFormat="1" applyFont="1" applyFill="1" applyBorder="1"/>
    <xf numFmtId="166" fontId="3" fillId="4" borderId="6" xfId="0" applyNumberFormat="1" applyFont="1" applyFill="1" applyBorder="1"/>
    <xf numFmtId="165" fontId="6" fillId="4" borderId="2" xfId="0" applyNumberFormat="1" applyFont="1" applyFill="1" applyBorder="1"/>
    <xf numFmtId="165" fontId="6" fillId="4" borderId="3" xfId="0" applyNumberFormat="1" applyFont="1" applyFill="1" applyBorder="1"/>
    <xf numFmtId="165" fontId="6" fillId="4" borderId="8" xfId="0" applyNumberFormat="1" applyFont="1" applyFill="1" applyBorder="1"/>
    <xf numFmtId="165" fontId="6" fillId="4" borderId="4" xfId="0" applyNumberFormat="1" applyFont="1" applyFill="1" applyBorder="1"/>
    <xf numFmtId="165" fontId="6" fillId="4" borderId="0" xfId="0" applyNumberFormat="1" applyFont="1" applyFill="1" applyBorder="1"/>
    <xf numFmtId="165" fontId="6" fillId="4" borderId="13" xfId="0" applyNumberFormat="1" applyFont="1" applyFill="1" applyBorder="1"/>
    <xf numFmtId="165" fontId="6" fillId="4" borderId="5" xfId="0" applyNumberFormat="1" applyFont="1" applyFill="1" applyBorder="1"/>
    <xf numFmtId="165" fontId="6" fillId="4" borderId="6" xfId="0" applyNumberFormat="1" applyFont="1" applyFill="1" applyBorder="1"/>
    <xf numFmtId="165" fontId="6" fillId="4" borderId="9" xfId="0" applyNumberFormat="1" applyFont="1" applyFill="1" applyBorder="1"/>
    <xf numFmtId="164" fontId="6" fillId="4" borderId="10" xfId="0" applyNumberFormat="1" applyFont="1" applyFill="1" applyBorder="1"/>
    <xf numFmtId="164" fontId="6" fillId="4" borderId="12" xfId="0" applyNumberFormat="1" applyFont="1" applyFill="1" applyBorder="1"/>
    <xf numFmtId="164" fontId="6" fillId="4" borderId="11" xfId="0" applyNumberFormat="1" applyFont="1" applyFill="1" applyBorder="1"/>
    <xf numFmtId="164" fontId="6" fillId="4" borderId="7" xfId="0" applyNumberFormat="1" applyFont="1" applyFill="1" applyBorder="1"/>
    <xf numFmtId="166" fontId="6" fillId="4" borderId="8" xfId="0" applyNumberFormat="1" applyFont="1" applyFill="1" applyBorder="1"/>
    <xf numFmtId="166" fontId="6" fillId="4" borderId="13" xfId="0" applyNumberFormat="1" applyFont="1" applyFill="1" applyBorder="1"/>
    <xf numFmtId="166" fontId="6" fillId="4" borderId="9" xfId="0" applyNumberFormat="1" applyFont="1" applyFill="1" applyBorder="1"/>
    <xf numFmtId="164" fontId="3" fillId="3" borderId="12" xfId="0" applyNumberFormat="1" applyFont="1" applyFill="1" applyBorder="1" applyProtection="1">
      <protection locked="0"/>
    </xf>
    <xf numFmtId="10" fontId="3" fillId="3" borderId="3" xfId="0" applyNumberFormat="1" applyFont="1" applyFill="1" applyBorder="1" applyAlignment="1" applyProtection="1">
      <alignment horizontal="center"/>
      <protection locked="0"/>
    </xf>
    <xf numFmtId="10" fontId="3" fillId="3" borderId="0" xfId="0" applyNumberFormat="1" applyFont="1" applyFill="1" applyBorder="1" applyAlignment="1" applyProtection="1">
      <alignment horizontal="center"/>
      <protection locked="0"/>
    </xf>
    <xf numFmtId="10" fontId="3" fillId="3" borderId="6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</xf>
    <xf numFmtId="0" fontId="0" fillId="2" borderId="3" xfId="0" applyFill="1" applyBorder="1" applyProtection="1"/>
    <xf numFmtId="3" fontId="0" fillId="2" borderId="3" xfId="0" applyNumberFormat="1" applyFill="1" applyBorder="1" applyProtection="1"/>
    <xf numFmtId="0" fontId="0" fillId="2" borderId="8" xfId="0" applyFill="1" applyBorder="1" applyProtection="1"/>
    <xf numFmtId="0" fontId="0" fillId="0" borderId="0" xfId="0" applyProtection="1"/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Protection="1"/>
    <xf numFmtId="3" fontId="0" fillId="2" borderId="0" xfId="0" applyNumberFormat="1" applyFill="1" applyBorder="1" applyProtection="1"/>
    <xf numFmtId="0" fontId="0" fillId="2" borderId="13" xfId="0" applyFill="1" applyBorder="1" applyProtection="1"/>
    <xf numFmtId="0" fontId="2" fillId="2" borderId="4" xfId="0" applyFont="1" applyFill="1" applyBorder="1" applyProtection="1"/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3" fontId="4" fillId="2" borderId="0" xfId="0" applyNumberFormat="1" applyFont="1" applyFill="1" applyBorder="1" applyProtection="1"/>
    <xf numFmtId="0" fontId="4" fillId="2" borderId="13" xfId="0" applyFont="1" applyFill="1" applyBorder="1" applyProtection="1"/>
    <xf numFmtId="0" fontId="4" fillId="0" borderId="0" xfId="0" applyFont="1" applyProtection="1"/>
    <xf numFmtId="0" fontId="4" fillId="2" borderId="4" xfId="0" applyFont="1" applyFill="1" applyBorder="1" applyProtection="1"/>
    <xf numFmtId="164" fontId="3" fillId="4" borderId="10" xfId="0" applyNumberFormat="1" applyFont="1" applyFill="1" applyBorder="1" applyProtection="1"/>
    <xf numFmtId="164" fontId="6" fillId="4" borderId="7" xfId="0" applyNumberFormat="1" applyFont="1" applyFill="1" applyBorder="1" applyProtection="1"/>
    <xf numFmtId="164" fontId="3" fillId="3" borderId="7" xfId="0" applyNumberFormat="1" applyFont="1" applyFill="1" applyBorder="1" applyProtection="1"/>
    <xf numFmtId="0" fontId="5" fillId="2" borderId="0" xfId="0" applyFont="1" applyFill="1" applyBorder="1" applyAlignment="1" applyProtection="1"/>
    <xf numFmtId="10" fontId="3" fillId="4" borderId="7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/>
    </xf>
    <xf numFmtId="0" fontId="5" fillId="2" borderId="2" xfId="0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Continuous"/>
    </xf>
    <xf numFmtId="3" fontId="5" fillId="2" borderId="3" xfId="0" applyNumberFormat="1" applyFont="1" applyFill="1" applyBorder="1" applyAlignment="1" applyProtection="1">
      <alignment horizontal="centerContinuous"/>
    </xf>
    <xf numFmtId="0" fontId="5" fillId="2" borderId="8" xfId="0" applyFont="1" applyFill="1" applyBorder="1" applyAlignment="1" applyProtection="1">
      <alignment horizontal="centerContinuous"/>
    </xf>
    <xf numFmtId="0" fontId="5" fillId="2" borderId="4" xfId="0" applyFont="1" applyFill="1" applyBorder="1" applyAlignment="1" applyProtection="1">
      <alignment horizontal="center"/>
    </xf>
    <xf numFmtId="0" fontId="5" fillId="2" borderId="13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Continuous"/>
    </xf>
    <xf numFmtId="0" fontId="5" fillId="2" borderId="2" xfId="0" applyFont="1" applyFill="1" applyBorder="1" applyProtection="1"/>
    <xf numFmtId="0" fontId="5" fillId="2" borderId="8" xfId="0" applyFont="1" applyFill="1" applyBorder="1" applyProtection="1"/>
    <xf numFmtId="0" fontId="5" fillId="2" borderId="0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Continuous"/>
    </xf>
    <xf numFmtId="0" fontId="5" fillId="2" borderId="13" xfId="0" applyFont="1" applyFill="1" applyBorder="1" applyAlignment="1" applyProtection="1">
      <alignment horizontal="centerContinuous"/>
    </xf>
    <xf numFmtId="3" fontId="5" fillId="2" borderId="0" xfId="0" applyNumberFormat="1" applyFont="1" applyFill="1" applyBorder="1" applyAlignment="1" applyProtection="1">
      <alignment horizontal="centerContinuous"/>
    </xf>
    <xf numFmtId="0" fontId="5" fillId="2" borderId="0" xfId="0" applyFont="1" applyFill="1" applyBorder="1" applyAlignment="1" applyProtection="1">
      <alignment horizontal="centerContinuous"/>
    </xf>
    <xf numFmtId="0" fontId="5" fillId="2" borderId="5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3" fontId="5" fillId="2" borderId="6" xfId="0" applyNumberFormat="1" applyFont="1" applyFill="1" applyBorder="1" applyAlignment="1" applyProtection="1">
      <alignment horizontal="center"/>
    </xf>
    <xf numFmtId="164" fontId="0" fillId="0" borderId="0" xfId="0" applyNumberFormat="1" applyProtection="1"/>
    <xf numFmtId="0" fontId="0" fillId="2" borderId="2" xfId="0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center"/>
    </xf>
    <xf numFmtId="10" fontId="6" fillId="4" borderId="3" xfId="0" applyNumberFormat="1" applyFont="1" applyFill="1" applyBorder="1" applyAlignment="1" applyProtection="1">
      <alignment horizontal="center"/>
    </xf>
    <xf numFmtId="165" fontId="0" fillId="4" borderId="2" xfId="0" applyNumberFormat="1" applyFill="1" applyBorder="1" applyProtection="1"/>
    <xf numFmtId="165" fontId="0" fillId="4" borderId="8" xfId="0" applyNumberFormat="1" applyFill="1" applyBorder="1" applyProtection="1"/>
    <xf numFmtId="165" fontId="0" fillId="4" borderId="3" xfId="0" applyNumberFormat="1" applyFill="1" applyBorder="1" applyProtection="1"/>
    <xf numFmtId="3" fontId="0" fillId="4" borderId="3" xfId="0" applyNumberFormat="1" applyFill="1" applyBorder="1" applyProtection="1"/>
    <xf numFmtId="8" fontId="0" fillId="2" borderId="13" xfId="0" applyNumberFormat="1" applyFill="1" applyBorder="1" applyProtection="1"/>
    <xf numFmtId="0" fontId="0" fillId="2" borderId="4" xfId="0" applyFill="1" applyBorder="1" applyAlignment="1" applyProtection="1">
      <alignment horizontal="center"/>
    </xf>
    <xf numFmtId="0" fontId="0" fillId="2" borderId="13" xfId="0" applyFill="1" applyBorder="1" applyAlignment="1" applyProtection="1">
      <alignment horizontal="center"/>
    </xf>
    <xf numFmtId="10" fontId="6" fillId="4" borderId="0" xfId="0" applyNumberFormat="1" applyFont="1" applyFill="1" applyBorder="1" applyAlignment="1" applyProtection="1">
      <alignment horizontal="center"/>
    </xf>
    <xf numFmtId="165" fontId="0" fillId="4" borderId="4" xfId="0" applyNumberFormat="1" applyFill="1" applyBorder="1" applyProtection="1"/>
    <xf numFmtId="165" fontId="0" fillId="4" borderId="13" xfId="0" applyNumberFormat="1" applyFill="1" applyBorder="1" applyProtection="1"/>
    <xf numFmtId="165" fontId="0" fillId="4" borderId="0" xfId="0" applyNumberFormat="1" applyFill="1" applyBorder="1" applyProtection="1"/>
    <xf numFmtId="3" fontId="0" fillId="4" borderId="0" xfId="0" applyNumberFormat="1" applyFill="1" applyBorder="1" applyProtection="1"/>
    <xf numFmtId="165" fontId="0" fillId="0" borderId="0" xfId="0" applyNumberFormat="1" applyProtection="1"/>
    <xf numFmtId="0" fontId="0" fillId="2" borderId="5" xfId="0" applyFill="1" applyBorder="1" applyAlignment="1" applyProtection="1">
      <alignment horizontal="center"/>
    </xf>
    <xf numFmtId="0" fontId="0" fillId="2" borderId="9" xfId="0" applyFill="1" applyBorder="1" applyAlignment="1" applyProtection="1">
      <alignment horizontal="center"/>
    </xf>
    <xf numFmtId="10" fontId="6" fillId="4" borderId="6" xfId="0" applyNumberFormat="1" applyFont="1" applyFill="1" applyBorder="1" applyAlignment="1" applyProtection="1">
      <alignment horizontal="center"/>
    </xf>
    <xf numFmtId="165" fontId="0" fillId="4" borderId="5" xfId="0" applyNumberFormat="1" applyFill="1" applyBorder="1" applyProtection="1"/>
    <xf numFmtId="165" fontId="0" fillId="4" borderId="9" xfId="0" applyNumberFormat="1" applyFill="1" applyBorder="1" applyProtection="1"/>
    <xf numFmtId="165" fontId="0" fillId="4" borderId="6" xfId="0" applyNumberFormat="1" applyFill="1" applyBorder="1" applyProtection="1"/>
    <xf numFmtId="3" fontId="0" fillId="4" borderId="6" xfId="0" applyNumberFormat="1" applyFill="1" applyBorder="1" applyProtection="1"/>
    <xf numFmtId="165" fontId="0" fillId="2" borderId="0" xfId="0" applyNumberFormat="1" applyFill="1" applyBorder="1" applyProtection="1"/>
    <xf numFmtId="3" fontId="0" fillId="2" borderId="7" xfId="0" applyNumberFormat="1" applyFill="1" applyBorder="1" applyProtection="1"/>
    <xf numFmtId="165" fontId="0" fillId="4" borderId="1" xfId="0" applyNumberFormat="1" applyFill="1" applyBorder="1" applyProtection="1"/>
    <xf numFmtId="165" fontId="0" fillId="4" borderId="14" xfId="0" applyNumberFormat="1" applyFill="1" applyBorder="1" applyProtection="1"/>
    <xf numFmtId="165" fontId="1" fillId="4" borderId="15" xfId="0" applyNumberFormat="1" applyFont="1" applyFill="1" applyBorder="1" applyProtection="1"/>
    <xf numFmtId="164" fontId="0" fillId="2" borderId="0" xfId="0" applyNumberFormat="1" applyFill="1" applyBorder="1" applyProtection="1"/>
    <xf numFmtId="3" fontId="0" fillId="2" borderId="2" xfId="0" applyNumberFormat="1" applyFill="1" applyBorder="1" applyProtection="1"/>
    <xf numFmtId="164" fontId="5" fillId="4" borderId="15" xfId="0" applyNumberFormat="1" applyFont="1" applyFill="1" applyBorder="1" applyProtection="1"/>
    <xf numFmtId="3" fontId="0" fillId="2" borderId="5" xfId="0" applyNumberFormat="1" applyFill="1" applyBorder="1" applyProtection="1"/>
    <xf numFmtId="0" fontId="0" fillId="2" borderId="6" xfId="0" applyFill="1" applyBorder="1" applyProtection="1"/>
    <xf numFmtId="0" fontId="0" fillId="2" borderId="9" xfId="0" applyFill="1" applyBorder="1" applyProtection="1"/>
    <xf numFmtId="0" fontId="0" fillId="2" borderId="6" xfId="0" applyFill="1" applyBorder="1" applyAlignment="1" applyProtection="1">
      <alignment horizontal="center"/>
    </xf>
    <xf numFmtId="3" fontId="0" fillId="2" borderId="6" xfId="0" applyNumberFormat="1" applyFill="1" applyBorder="1" applyProtection="1"/>
    <xf numFmtId="8" fontId="0" fillId="2" borderId="9" xfId="0" applyNumberFormat="1" applyFill="1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3" fontId="0" fillId="0" borderId="0" xfId="0" applyNumberFormat="1" applyBorder="1" applyProtection="1"/>
    <xf numFmtId="164" fontId="0" fillId="0" borderId="0" xfId="0" applyNumberFormat="1" applyBorder="1" applyProtection="1"/>
    <xf numFmtId="8" fontId="0" fillId="0" borderId="0" xfId="0" applyNumberFormat="1" applyProtection="1"/>
    <xf numFmtId="0" fontId="0" fillId="0" borderId="0" xfId="0" applyFont="1" applyProtection="1"/>
    <xf numFmtId="0" fontId="1" fillId="5" borderId="0" xfId="0" applyFont="1" applyFill="1"/>
    <xf numFmtId="0" fontId="0" fillId="5" borderId="0" xfId="0" applyFill="1"/>
    <xf numFmtId="0" fontId="8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3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Fill="1"/>
    <xf numFmtId="0" fontId="9" fillId="0" borderId="0" xfId="0" applyFont="1"/>
    <xf numFmtId="0" fontId="1" fillId="0" borderId="2" xfId="0" applyFont="1" applyBorder="1"/>
    <xf numFmtId="0" fontId="0" fillId="0" borderId="4" xfId="0" applyBorder="1"/>
    <xf numFmtId="0" fontId="0" fillId="0" borderId="0" xfId="0" applyFill="1" applyBorder="1"/>
    <xf numFmtId="0" fontId="0" fillId="0" borderId="5" xfId="0" applyBorder="1"/>
    <xf numFmtId="0" fontId="0" fillId="0" borderId="2" xfId="0" applyFill="1" applyBorder="1"/>
    <xf numFmtId="0" fontId="0" fillId="0" borderId="5" xfId="0" applyFill="1" applyBorder="1"/>
    <xf numFmtId="0" fontId="0" fillId="0" borderId="9" xfId="0" applyFill="1" applyBorder="1"/>
    <xf numFmtId="0" fontId="0" fillId="0" borderId="4" xfId="0" applyFill="1" applyBorder="1"/>
    <xf numFmtId="0" fontId="0" fillId="0" borderId="13" xfId="0" applyFill="1" applyBorder="1"/>
    <xf numFmtId="0" fontId="0" fillId="0" borderId="0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167" fontId="3" fillId="4" borderId="8" xfId="0" applyNumberFormat="1" applyFont="1" applyFill="1" applyBorder="1"/>
    <xf numFmtId="0" fontId="1" fillId="0" borderId="4" xfId="0" quotePrefix="1" applyFont="1" applyBorder="1"/>
    <xf numFmtId="3" fontId="3" fillId="4" borderId="13" xfId="0" applyNumberFormat="1" applyFont="1" applyFill="1" applyBorder="1"/>
    <xf numFmtId="3" fontId="3" fillId="3" borderId="13" xfId="0" applyNumberFormat="1" applyFont="1" applyFill="1" applyBorder="1" applyProtection="1">
      <protection locked="0"/>
    </xf>
    <xf numFmtId="167" fontId="3" fillId="4" borderId="13" xfId="0" applyNumberFormat="1" applyFont="1" applyFill="1" applyBorder="1"/>
    <xf numFmtId="167" fontId="3" fillId="3" borderId="13" xfId="0" applyNumberFormat="1" applyFont="1" applyFill="1" applyBorder="1" applyProtection="1">
      <protection locked="0"/>
    </xf>
    <xf numFmtId="167" fontId="3" fillId="3" borderId="9" xfId="0" applyNumberFormat="1" applyFont="1" applyFill="1" applyBorder="1" applyProtection="1">
      <protection locked="0"/>
    </xf>
    <xf numFmtId="3" fontId="6" fillId="4" borderId="13" xfId="0" applyNumberFormat="1" applyFont="1" applyFill="1" applyBorder="1"/>
    <xf numFmtId="0" fontId="1" fillId="0" borderId="0" xfId="0" applyFont="1" applyFill="1" applyBorder="1" applyAlignment="1">
      <alignment horizontal="right"/>
    </xf>
    <xf numFmtId="3" fontId="11" fillId="4" borderId="13" xfId="0" applyNumberFormat="1" applyFont="1" applyFill="1" applyBorder="1"/>
    <xf numFmtId="0" fontId="1" fillId="0" borderId="6" xfId="0" applyFont="1" applyFill="1" applyBorder="1" applyAlignment="1">
      <alignment horizontal="right"/>
    </xf>
    <xf numFmtId="3" fontId="11" fillId="4" borderId="9" xfId="0" applyNumberFormat="1" applyFont="1" applyFill="1" applyBorder="1"/>
    <xf numFmtId="0" fontId="1" fillId="0" borderId="3" xfId="0" applyFont="1" applyFill="1" applyBorder="1" applyAlignment="1">
      <alignment horizontal="right"/>
    </xf>
    <xf numFmtId="3" fontId="11" fillId="4" borderId="8" xfId="0" applyNumberFormat="1" applyFont="1" applyFill="1" applyBorder="1"/>
    <xf numFmtId="167" fontId="3" fillId="4" borderId="16" xfId="0" applyNumberFormat="1" applyFont="1" applyFill="1" applyBorder="1"/>
    <xf numFmtId="0" fontId="12" fillId="5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1770529</xdr:colOff>
      <xdr:row>11</xdr:row>
      <xdr:rowOff>179293</xdr:rowOff>
    </xdr:from>
    <xdr:ext cx="1366913" cy="264560"/>
    <xdr:sp macro="" textlink="">
      <xdr:nvSpPr>
        <xdr:cNvPr id="2" name="TextBox 1"/>
        <xdr:cNvSpPr txBox="1"/>
      </xdr:nvSpPr>
      <xdr:spPr>
        <a:xfrm>
          <a:off x="1770529" y="4236943"/>
          <a:ext cx="136691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lang="en-GB" sz="1100"/>
            <a:t>Opening Asset</a:t>
          </a:r>
          <a:r>
            <a:rPr lang="en-GB" sz="1100" baseline="0"/>
            <a:t> Value</a:t>
          </a:r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5</xdr:row>
      <xdr:rowOff>133349</xdr:rowOff>
    </xdr:from>
    <xdr:to>
      <xdr:col>23</xdr:col>
      <xdr:colOff>714375</xdr:colOff>
      <xdr:row>61</xdr:row>
      <xdr:rowOff>114300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9" t="999" r="2444" b="8833"/>
        <a:stretch>
          <a:fillRect/>
        </a:stretch>
      </xdr:blipFill>
      <xdr:spPr bwMode="auto">
        <a:xfrm>
          <a:off x="133350" y="1133474"/>
          <a:ext cx="22631400" cy="10648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zoomScaleNormal="100" zoomScaleSheetLayoutView="85" workbookViewId="0"/>
  </sheetViews>
  <sheetFormatPr defaultRowHeight="15" x14ac:dyDescent="0.25"/>
  <cols>
    <col min="1" max="1" width="19.42578125" customWidth="1"/>
    <col min="2" max="2" width="37.42578125" customWidth="1"/>
    <col min="3" max="4" width="14" customWidth="1"/>
    <col min="5" max="7" width="13.5703125" customWidth="1"/>
    <col min="9" max="9" width="13.85546875" customWidth="1"/>
  </cols>
  <sheetData>
    <row r="1" spans="1:9" x14ac:dyDescent="0.25">
      <c r="A1" s="1"/>
      <c r="B1" s="2"/>
      <c r="C1" s="2"/>
      <c r="D1" s="2"/>
      <c r="E1" s="2"/>
      <c r="F1" s="2"/>
      <c r="G1" s="2"/>
      <c r="H1" s="7"/>
    </row>
    <row r="2" spans="1:9" x14ac:dyDescent="0.25">
      <c r="A2" s="3"/>
      <c r="B2" s="4"/>
      <c r="C2" s="4"/>
      <c r="D2" s="4"/>
      <c r="E2" s="4"/>
      <c r="F2" s="4"/>
      <c r="G2" s="4"/>
      <c r="H2" s="20"/>
    </row>
    <row r="3" spans="1:9" s="28" customFormat="1" ht="18.75" x14ac:dyDescent="0.3">
      <c r="A3" s="12" t="s">
        <v>45</v>
      </c>
      <c r="B3" s="26"/>
      <c r="C3" s="26"/>
      <c r="D3" s="26"/>
      <c r="E3" s="26"/>
      <c r="F3" s="26"/>
      <c r="G3" s="26"/>
      <c r="H3" s="27"/>
    </row>
    <row r="4" spans="1:9" s="28" customFormat="1" ht="15.75" x14ac:dyDescent="0.25">
      <c r="A4" s="25"/>
      <c r="B4" s="26"/>
      <c r="C4" s="26"/>
      <c r="D4" s="26"/>
      <c r="E4" s="26"/>
      <c r="F4" s="26"/>
      <c r="G4" s="26"/>
      <c r="H4" s="27"/>
    </row>
    <row r="5" spans="1:9" s="28" customFormat="1" ht="15.75" x14ac:dyDescent="0.25">
      <c r="A5" s="25"/>
      <c r="B5" s="4"/>
      <c r="C5" s="26"/>
      <c r="D5" s="26"/>
      <c r="E5" s="26"/>
      <c r="F5" s="26"/>
      <c r="G5" s="26"/>
      <c r="H5" s="27"/>
    </row>
    <row r="6" spans="1:9" s="28" customFormat="1" ht="15.75" x14ac:dyDescent="0.25">
      <c r="A6" s="25"/>
      <c r="B6" s="4" t="s">
        <v>46</v>
      </c>
      <c r="C6" s="26"/>
      <c r="D6" s="47">
        <v>0</v>
      </c>
      <c r="E6" s="26"/>
      <c r="F6" s="26"/>
      <c r="G6" s="26"/>
      <c r="H6" s="27"/>
    </row>
    <row r="7" spans="1:9" s="28" customFormat="1" ht="15.75" x14ac:dyDescent="0.25">
      <c r="A7" s="25"/>
      <c r="B7" s="4" t="s">
        <v>38</v>
      </c>
      <c r="C7" s="26"/>
      <c r="D7" s="68">
        <v>0</v>
      </c>
      <c r="E7" s="26"/>
      <c r="F7" s="26"/>
      <c r="G7" s="26"/>
      <c r="H7" s="27"/>
    </row>
    <row r="8" spans="1:9" s="28" customFormat="1" ht="15.75" x14ac:dyDescent="0.25">
      <c r="A8" s="25"/>
      <c r="B8" s="4" t="s">
        <v>40</v>
      </c>
      <c r="C8" s="26"/>
      <c r="D8" s="40"/>
      <c r="E8" s="26"/>
      <c r="F8" s="26"/>
      <c r="G8" s="26"/>
      <c r="H8" s="27"/>
    </row>
    <row r="9" spans="1:9" s="28" customFormat="1" ht="15.75" x14ac:dyDescent="0.25">
      <c r="A9" s="25"/>
      <c r="B9" s="26"/>
      <c r="C9" s="26"/>
      <c r="D9" s="26"/>
      <c r="E9" s="26"/>
      <c r="F9" s="26"/>
      <c r="G9" s="26"/>
      <c r="H9" s="27"/>
    </row>
    <row r="10" spans="1:9" s="28" customFormat="1" ht="15.75" x14ac:dyDescent="0.25">
      <c r="A10" s="25"/>
      <c r="B10" s="26"/>
      <c r="C10" s="26"/>
      <c r="D10" s="26"/>
      <c r="E10" s="26"/>
      <c r="F10" s="26"/>
      <c r="G10" s="26"/>
      <c r="H10" s="27"/>
    </row>
    <row r="11" spans="1:9" s="28" customFormat="1" ht="15.75" x14ac:dyDescent="0.25">
      <c r="A11" s="29"/>
      <c r="B11" s="30" t="s">
        <v>0</v>
      </c>
      <c r="C11" s="31"/>
      <c r="D11" s="26"/>
      <c r="E11" s="26"/>
      <c r="F11" s="26"/>
      <c r="G11" s="26"/>
      <c r="H11" s="27"/>
    </row>
    <row r="12" spans="1:9" s="28" customFormat="1" ht="15.75" x14ac:dyDescent="0.25">
      <c r="A12" s="29"/>
      <c r="B12" s="1" t="s">
        <v>1</v>
      </c>
      <c r="C12" s="44">
        <v>4.7999999999999996E-3</v>
      </c>
      <c r="D12" s="26"/>
      <c r="E12" s="26"/>
      <c r="F12" s="26"/>
      <c r="G12" s="26"/>
      <c r="H12" s="27"/>
    </row>
    <row r="13" spans="1:9" s="28" customFormat="1" ht="15.75" x14ac:dyDescent="0.25">
      <c r="A13" s="29"/>
      <c r="B13" s="3" t="s">
        <v>3</v>
      </c>
      <c r="C13" s="45">
        <v>5.0000000000000001E-3</v>
      </c>
      <c r="D13" s="26"/>
      <c r="E13" s="26"/>
      <c r="F13" s="26"/>
      <c r="G13" s="26"/>
      <c r="H13" s="27"/>
    </row>
    <row r="14" spans="1:9" s="28" customFormat="1" ht="15.75" x14ac:dyDescent="0.25">
      <c r="A14" s="25"/>
      <c r="B14" s="5" t="s">
        <v>5</v>
      </c>
      <c r="C14" s="46">
        <f>SUM(C12:C13)</f>
        <v>9.7999999999999997E-3</v>
      </c>
      <c r="D14" s="26"/>
      <c r="E14" s="26"/>
      <c r="F14" s="26"/>
      <c r="G14" s="26"/>
      <c r="H14" s="27"/>
    </row>
    <row r="15" spans="1:9" ht="15.75" x14ac:dyDescent="0.25">
      <c r="A15" s="3"/>
      <c r="B15" s="4"/>
      <c r="C15" s="26"/>
      <c r="D15" s="4"/>
      <c r="E15" s="4"/>
      <c r="F15" s="26"/>
      <c r="G15" s="32"/>
      <c r="H15" s="27"/>
      <c r="I15" s="24"/>
    </row>
    <row r="16" spans="1:9" ht="15.75" x14ac:dyDescent="0.25">
      <c r="A16" s="3"/>
      <c r="B16" s="4"/>
      <c r="C16" s="26"/>
      <c r="D16" s="4"/>
      <c r="E16" s="4"/>
      <c r="F16" s="26"/>
      <c r="G16" s="32"/>
      <c r="H16" s="33"/>
      <c r="I16" s="24"/>
    </row>
    <row r="17" spans="1:9" ht="15.75" x14ac:dyDescent="0.25">
      <c r="A17" s="3"/>
      <c r="B17" s="4"/>
      <c r="C17" s="26"/>
      <c r="D17" s="4"/>
      <c r="E17" s="4"/>
      <c r="F17" s="26"/>
      <c r="G17" s="32"/>
      <c r="H17" s="33"/>
      <c r="I17" s="24"/>
    </row>
    <row r="18" spans="1:9" x14ac:dyDescent="0.25">
      <c r="A18" s="1"/>
      <c r="B18" s="7"/>
      <c r="C18" s="35" t="s">
        <v>8</v>
      </c>
      <c r="D18" s="4"/>
      <c r="E18" s="15" t="s">
        <v>10</v>
      </c>
      <c r="F18" s="16"/>
      <c r="G18" s="36"/>
      <c r="H18" s="33"/>
      <c r="I18" s="24"/>
    </row>
    <row r="19" spans="1:9" x14ac:dyDescent="0.25">
      <c r="A19" s="37" t="s">
        <v>11</v>
      </c>
      <c r="B19" s="38"/>
      <c r="C19" s="18" t="s">
        <v>31</v>
      </c>
      <c r="D19" s="4"/>
      <c r="E19" s="15"/>
      <c r="F19" s="16"/>
      <c r="G19" s="36"/>
      <c r="H19" s="33"/>
      <c r="I19" s="24"/>
    </row>
    <row r="20" spans="1:9" x14ac:dyDescent="0.25">
      <c r="A20" s="5"/>
      <c r="B20" s="8"/>
      <c r="C20" s="17" t="s">
        <v>32</v>
      </c>
      <c r="D20" s="4"/>
      <c r="E20" s="13" t="s">
        <v>26</v>
      </c>
      <c r="F20" s="14" t="s">
        <v>27</v>
      </c>
      <c r="G20" s="22" t="s">
        <v>28</v>
      </c>
      <c r="H20" s="33"/>
      <c r="I20" s="24"/>
    </row>
    <row r="21" spans="1:9" x14ac:dyDescent="0.25">
      <c r="A21" s="1" t="s">
        <v>12</v>
      </c>
      <c r="B21" s="9" t="s">
        <v>13</v>
      </c>
      <c r="C21" s="47">
        <v>14.398</v>
      </c>
      <c r="D21" s="39"/>
      <c r="E21" s="50">
        <v>0.1</v>
      </c>
      <c r="F21" s="51">
        <v>0.7</v>
      </c>
      <c r="G21" s="69">
        <f>1-SUM(E21:F21)</f>
        <v>0.20000000000000007</v>
      </c>
      <c r="H21" s="33"/>
      <c r="I21" s="24"/>
    </row>
    <row r="22" spans="1:9" x14ac:dyDescent="0.25">
      <c r="A22" s="3"/>
      <c r="B22" s="11" t="s">
        <v>14</v>
      </c>
      <c r="C22" s="48">
        <v>49.476999999999997</v>
      </c>
      <c r="D22" s="39"/>
      <c r="E22" s="52">
        <v>0</v>
      </c>
      <c r="F22" s="53">
        <v>0.15</v>
      </c>
      <c r="G22" s="70">
        <f t="shared" ref="G22:G27" si="0">1-SUM(E22:F22)</f>
        <v>0.85</v>
      </c>
      <c r="H22" s="33"/>
      <c r="I22" s="24"/>
    </row>
    <row r="23" spans="1:9" x14ac:dyDescent="0.25">
      <c r="A23" s="3"/>
      <c r="B23" s="11" t="s">
        <v>15</v>
      </c>
      <c r="C23" s="48">
        <v>16.143999999999998</v>
      </c>
      <c r="D23" s="39"/>
      <c r="E23" s="52">
        <v>0.1</v>
      </c>
      <c r="F23" s="53">
        <v>0.7</v>
      </c>
      <c r="G23" s="70">
        <f t="shared" si="0"/>
        <v>0.20000000000000007</v>
      </c>
      <c r="H23" s="33"/>
      <c r="I23" s="24"/>
    </row>
    <row r="24" spans="1:9" x14ac:dyDescent="0.25">
      <c r="A24" s="3"/>
      <c r="B24" s="11" t="s">
        <v>16</v>
      </c>
      <c r="C24" s="72">
        <v>5</v>
      </c>
      <c r="D24" s="39"/>
      <c r="E24" s="52">
        <v>0.3</v>
      </c>
      <c r="F24" s="53">
        <v>0.3</v>
      </c>
      <c r="G24" s="70">
        <f t="shared" si="0"/>
        <v>0.4</v>
      </c>
      <c r="H24" s="33"/>
      <c r="I24" s="24"/>
    </row>
    <row r="25" spans="1:9" x14ac:dyDescent="0.25">
      <c r="A25" s="3"/>
      <c r="B25" s="11" t="s">
        <v>17</v>
      </c>
      <c r="C25" s="48">
        <v>2.9240000000000004</v>
      </c>
      <c r="D25" s="39"/>
      <c r="E25" s="52">
        <v>0.2</v>
      </c>
      <c r="F25" s="53">
        <v>0.3</v>
      </c>
      <c r="G25" s="70">
        <f t="shared" si="0"/>
        <v>0.5</v>
      </c>
      <c r="H25" s="33"/>
      <c r="I25" s="24"/>
    </row>
    <row r="26" spans="1:9" x14ac:dyDescent="0.25">
      <c r="A26" s="3"/>
      <c r="B26" s="11" t="s">
        <v>18</v>
      </c>
      <c r="C26" s="72">
        <v>4.0999999999999996</v>
      </c>
      <c r="D26" s="39"/>
      <c r="E26" s="52">
        <v>0</v>
      </c>
      <c r="F26" s="53">
        <v>0.15</v>
      </c>
      <c r="G26" s="70">
        <f t="shared" si="0"/>
        <v>0.85</v>
      </c>
      <c r="H26" s="33"/>
      <c r="I26" s="24"/>
    </row>
    <row r="27" spans="1:9" x14ac:dyDescent="0.25">
      <c r="A27" s="19" t="s">
        <v>19</v>
      </c>
      <c r="B27" s="21"/>
      <c r="C27" s="49">
        <v>4.609</v>
      </c>
      <c r="D27" s="39"/>
      <c r="E27" s="54">
        <v>0.2</v>
      </c>
      <c r="F27" s="55">
        <v>0.3</v>
      </c>
      <c r="G27" s="71">
        <f t="shared" si="0"/>
        <v>0.5</v>
      </c>
      <c r="H27" s="33"/>
      <c r="I27" s="24"/>
    </row>
    <row r="28" spans="1:9" x14ac:dyDescent="0.25">
      <c r="A28" s="3"/>
      <c r="B28" s="4"/>
      <c r="C28" s="23"/>
      <c r="D28" s="23"/>
      <c r="E28" s="4"/>
      <c r="F28" s="4"/>
      <c r="G28" s="4"/>
      <c r="H28" s="33"/>
      <c r="I28" s="24"/>
    </row>
    <row r="29" spans="1:9" x14ac:dyDescent="0.25">
      <c r="A29" s="3"/>
      <c r="B29" s="4"/>
      <c r="C29" s="23"/>
      <c r="D29" s="4"/>
      <c r="E29" s="4"/>
      <c r="F29" s="4"/>
      <c r="G29" s="4"/>
      <c r="H29" s="33"/>
      <c r="I29" s="24"/>
    </row>
    <row r="30" spans="1:9" x14ac:dyDescent="0.25">
      <c r="A30" s="1" t="s">
        <v>20</v>
      </c>
      <c r="B30" s="9" t="s">
        <v>11</v>
      </c>
      <c r="C30" s="65">
        <f>SUM(C21:C27)</f>
        <v>96.652000000000001</v>
      </c>
      <c r="D30" s="4"/>
      <c r="E30" s="56">
        <f>ROUND($C$21*E21+$C$22*E22+$C$23*E23+$C$24*E24+$C$25*E25+$C$26*E26+$C$27*E27,3)</f>
        <v>6.0609999999999999</v>
      </c>
      <c r="F30" s="57">
        <f>ROUND($C$21*F21+$C$22*F22+$C$23*F23+$C$24*F24+$C$25*F25+$C$26*F26+$C$27*F27,3)</f>
        <v>33.176000000000002</v>
      </c>
      <c r="G30" s="58">
        <f>C30-SUM(E30:F30)</f>
        <v>57.414999999999999</v>
      </c>
      <c r="H30" s="33"/>
      <c r="I30" s="24"/>
    </row>
    <row r="31" spans="1:9" x14ac:dyDescent="0.25">
      <c r="A31" s="3" t="s">
        <v>21</v>
      </c>
      <c r="B31" s="11" t="s">
        <v>22</v>
      </c>
      <c r="C31" s="48">
        <v>-32.5</v>
      </c>
      <c r="D31" s="4"/>
      <c r="E31" s="59">
        <f>ROUND($C$31*(E30/$C$30),3)</f>
        <v>-2.0379999999999998</v>
      </c>
      <c r="F31" s="60">
        <f>ROUND($C$31*(F30/$C$30),3)</f>
        <v>-11.156000000000001</v>
      </c>
      <c r="G31" s="61">
        <f>C31-SUM(E31:F31)</f>
        <v>-19.305999999999997</v>
      </c>
      <c r="H31" s="33"/>
      <c r="I31" s="24"/>
    </row>
    <row r="32" spans="1:9" x14ac:dyDescent="0.25">
      <c r="A32" s="3"/>
      <c r="B32" s="11" t="s">
        <v>44</v>
      </c>
      <c r="C32" s="72">
        <v>0.61751999999999996</v>
      </c>
      <c r="D32" s="4"/>
      <c r="E32" s="59">
        <f>ROUND($C$32*(E30/$C$30),3)</f>
        <v>3.9E-2</v>
      </c>
      <c r="F32" s="60">
        <f>ROUND($C$32*(F30/$C$30),3)</f>
        <v>0.21199999999999999</v>
      </c>
      <c r="G32" s="61">
        <f>C32-SUM(E32:F32)</f>
        <v>0.36651999999999996</v>
      </c>
      <c r="H32" s="33"/>
      <c r="I32" s="24"/>
    </row>
    <row r="33" spans="1:9" x14ac:dyDescent="0.25">
      <c r="A33" s="3"/>
      <c r="B33" s="11" t="s">
        <v>23</v>
      </c>
      <c r="C33" s="48">
        <v>0</v>
      </c>
      <c r="D33" s="4"/>
      <c r="E33" s="59">
        <f>C33</f>
        <v>0</v>
      </c>
      <c r="F33" s="60">
        <f>E35</f>
        <v>4.081999999999999</v>
      </c>
      <c r="G33" s="61">
        <f>F35</f>
        <v>26.463000000000001</v>
      </c>
      <c r="H33" s="33"/>
      <c r="I33" s="24"/>
    </row>
    <row r="34" spans="1:9" x14ac:dyDescent="0.25">
      <c r="A34" s="3"/>
      <c r="B34" s="11" t="s">
        <v>24</v>
      </c>
      <c r="C34" s="66">
        <f>SUM(E34:G34)</f>
        <v>0.61699999999999999</v>
      </c>
      <c r="D34" s="4"/>
      <c r="E34" s="59">
        <f>ROUND(((SUM(E30:E32)/2)+E33)*$C$14,3)</f>
        <v>0.02</v>
      </c>
      <c r="F34" s="60">
        <f t="shared" ref="F34:G34" si="1">ROUND(((SUM(F30:F32)/2)+F33)*$C$14,3)</f>
        <v>0.14899999999999999</v>
      </c>
      <c r="G34" s="61">
        <f t="shared" si="1"/>
        <v>0.44800000000000001</v>
      </c>
      <c r="H34" s="33"/>
      <c r="I34" s="24"/>
    </row>
    <row r="35" spans="1:9" x14ac:dyDescent="0.25">
      <c r="A35" s="3"/>
      <c r="B35" s="11" t="s">
        <v>25</v>
      </c>
      <c r="C35" s="66">
        <f>SUM(C30:C34)</f>
        <v>65.386520000000004</v>
      </c>
      <c r="D35" s="4"/>
      <c r="E35" s="62">
        <f>SUM(E30:E34)</f>
        <v>4.081999999999999</v>
      </c>
      <c r="F35" s="63">
        <f>SUM(F30:F34)</f>
        <v>26.463000000000001</v>
      </c>
      <c r="G35" s="64">
        <f>SUM(G30:G34)</f>
        <v>65.386520000000004</v>
      </c>
      <c r="H35" s="33"/>
      <c r="I35" s="24"/>
    </row>
    <row r="36" spans="1:9" x14ac:dyDescent="0.25">
      <c r="A36" s="3"/>
      <c r="B36" s="11" t="s">
        <v>29</v>
      </c>
      <c r="C36" s="72">
        <v>3.7267147418560582</v>
      </c>
      <c r="D36" s="4"/>
      <c r="E36" s="4"/>
      <c r="F36" s="4"/>
      <c r="G36" s="4"/>
      <c r="H36" s="33"/>
      <c r="I36" s="24"/>
    </row>
    <row r="37" spans="1:9" x14ac:dyDescent="0.25">
      <c r="A37" s="3"/>
      <c r="B37" s="11" t="s">
        <v>33</v>
      </c>
      <c r="C37" s="48">
        <v>0</v>
      </c>
      <c r="D37" s="4"/>
      <c r="E37" s="4"/>
      <c r="F37" s="4"/>
      <c r="G37" s="4"/>
      <c r="H37" s="33"/>
      <c r="I37" s="24"/>
    </row>
    <row r="38" spans="1:9" x14ac:dyDescent="0.25">
      <c r="A38" s="5"/>
      <c r="B38" s="10" t="s">
        <v>5</v>
      </c>
      <c r="C38" s="67">
        <f>SUM(C35:C37)</f>
        <v>69.113234741856061</v>
      </c>
      <c r="D38" s="4"/>
      <c r="E38" s="41"/>
      <c r="F38" s="4"/>
      <c r="G38" s="4"/>
      <c r="H38" s="33"/>
      <c r="I38" s="24"/>
    </row>
    <row r="39" spans="1:9" x14ac:dyDescent="0.25">
      <c r="A39" s="3"/>
      <c r="B39" s="4"/>
      <c r="C39" s="23"/>
      <c r="D39" s="4"/>
      <c r="E39" s="4"/>
      <c r="F39" s="4"/>
      <c r="G39" s="4"/>
      <c r="H39" s="33"/>
      <c r="I39" s="24"/>
    </row>
    <row r="40" spans="1:9" x14ac:dyDescent="0.25">
      <c r="A40" s="3"/>
      <c r="B40" s="4"/>
      <c r="C40" s="23"/>
      <c r="D40" s="4"/>
      <c r="E40" s="4"/>
      <c r="F40" s="4"/>
      <c r="G40" s="4"/>
      <c r="H40" s="33"/>
      <c r="I40" s="24"/>
    </row>
    <row r="41" spans="1:9" x14ac:dyDescent="0.25">
      <c r="A41" s="3"/>
      <c r="B41" s="4"/>
      <c r="C41" s="23"/>
      <c r="D41" s="4"/>
      <c r="E41" s="4"/>
      <c r="F41" s="4"/>
      <c r="G41" s="4"/>
      <c r="H41" s="33"/>
      <c r="I41" s="24"/>
    </row>
    <row r="42" spans="1:9" x14ac:dyDescent="0.25">
      <c r="A42" s="5"/>
      <c r="B42" s="6"/>
      <c r="C42" s="6"/>
      <c r="D42" s="6"/>
      <c r="E42" s="6"/>
      <c r="F42" s="6"/>
      <c r="G42" s="6"/>
      <c r="H42" s="42"/>
      <c r="I42" s="24"/>
    </row>
    <row r="43" spans="1:9" x14ac:dyDescent="0.25">
      <c r="H43" s="43"/>
      <c r="I43" s="34"/>
    </row>
    <row r="44" spans="1:9" x14ac:dyDescent="0.25">
      <c r="H44" s="43"/>
      <c r="I44" s="34"/>
    </row>
  </sheetData>
  <sheetProtection password="C6BE" sheet="1" objects="1" scenarios="1"/>
  <pageMargins left="0.7" right="0.7" top="0.75" bottom="0.75" header="0.3" footer="0.3"/>
  <pageSetup paperSize="9" scale="7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zoomScale="85" zoomScaleNormal="85" workbookViewId="0"/>
  </sheetViews>
  <sheetFormatPr defaultRowHeight="15" x14ac:dyDescent="0.25"/>
  <cols>
    <col min="1" max="1" width="13.5703125" style="156" customWidth="1"/>
    <col min="2" max="7" width="13.5703125" style="157" customWidth="1"/>
    <col min="8" max="9" width="13.5703125" style="158" customWidth="1"/>
    <col min="10" max="12" width="13.5703125" style="157" customWidth="1"/>
    <col min="13" max="13" width="6.28515625" style="80" customWidth="1"/>
    <col min="14" max="14" width="13.85546875" style="80" customWidth="1"/>
    <col min="15" max="16384" width="9.140625" style="80"/>
  </cols>
  <sheetData>
    <row r="1" spans="1:13" x14ac:dyDescent="0.25">
      <c r="A1" s="76"/>
      <c r="B1" s="76"/>
      <c r="C1" s="76"/>
      <c r="D1" s="76"/>
      <c r="E1" s="77"/>
      <c r="F1" s="77"/>
      <c r="G1" s="77"/>
      <c r="H1" s="78"/>
      <c r="I1" s="78"/>
      <c r="J1" s="77"/>
      <c r="K1" s="77"/>
      <c r="L1" s="77"/>
      <c r="M1" s="79"/>
    </row>
    <row r="2" spans="1:13" x14ac:dyDescent="0.25">
      <c r="A2" s="81"/>
      <c r="B2" s="81"/>
      <c r="C2" s="81"/>
      <c r="D2" s="81"/>
      <c r="E2" s="82"/>
      <c r="F2" s="82"/>
      <c r="G2" s="82"/>
      <c r="H2" s="83"/>
      <c r="I2" s="83"/>
      <c r="J2" s="82"/>
      <c r="K2" s="82"/>
      <c r="L2" s="82"/>
      <c r="M2" s="84"/>
    </row>
    <row r="3" spans="1:13" s="90" customFormat="1" ht="18.75" x14ac:dyDescent="0.3">
      <c r="A3" s="85" t="s">
        <v>39</v>
      </c>
      <c r="B3" s="86"/>
      <c r="C3" s="86"/>
      <c r="D3" s="87"/>
      <c r="E3" s="86"/>
      <c r="F3" s="86"/>
      <c r="G3" s="86"/>
      <c r="H3" s="88"/>
      <c r="I3" s="88"/>
      <c r="J3" s="86"/>
      <c r="K3" s="86"/>
      <c r="L3" s="86"/>
      <c r="M3" s="89"/>
    </row>
    <row r="4" spans="1:13" s="90" customFormat="1" ht="15.75" x14ac:dyDescent="0.25">
      <c r="A4" s="91"/>
      <c r="B4" s="86"/>
      <c r="C4" s="86"/>
      <c r="D4" s="87"/>
      <c r="E4" s="86"/>
      <c r="F4" s="86"/>
      <c r="G4" s="86"/>
      <c r="H4" s="88"/>
      <c r="I4" s="88"/>
      <c r="J4" s="86"/>
      <c r="K4" s="86"/>
      <c r="L4" s="86"/>
      <c r="M4" s="89"/>
    </row>
    <row r="5" spans="1:13" s="90" customFormat="1" ht="15.75" x14ac:dyDescent="0.25">
      <c r="A5" s="91"/>
      <c r="B5" s="82"/>
      <c r="C5" s="82"/>
      <c r="D5" s="86"/>
      <c r="E5" s="86"/>
      <c r="F5" s="86"/>
      <c r="G5" s="86"/>
      <c r="H5" s="88"/>
      <c r="I5" s="88"/>
      <c r="J5" s="86"/>
      <c r="K5" s="86"/>
      <c r="L5" s="86"/>
      <c r="M5" s="89"/>
    </row>
    <row r="6" spans="1:13" s="90" customFormat="1" ht="15.75" x14ac:dyDescent="0.25">
      <c r="A6" s="86"/>
      <c r="B6" s="82" t="s">
        <v>46</v>
      </c>
      <c r="C6" s="82"/>
      <c r="D6" s="87"/>
      <c r="E6" s="86"/>
      <c r="F6" s="86"/>
      <c r="G6" s="92">
        <v>0</v>
      </c>
      <c r="H6" s="86"/>
      <c r="I6" s="88"/>
      <c r="J6" s="86"/>
      <c r="K6" s="86"/>
      <c r="L6" s="86"/>
      <c r="M6" s="89"/>
    </row>
    <row r="7" spans="1:13" s="90" customFormat="1" ht="15.75" x14ac:dyDescent="0.25">
      <c r="A7" s="86"/>
      <c r="B7" s="82" t="s">
        <v>38</v>
      </c>
      <c r="C7" s="82"/>
      <c r="D7" s="87"/>
      <c r="E7" s="86"/>
      <c r="F7" s="86"/>
      <c r="G7" s="93">
        <v>0</v>
      </c>
      <c r="H7" s="86"/>
      <c r="I7" s="88"/>
      <c r="J7" s="86"/>
      <c r="K7" s="86"/>
      <c r="L7" s="86"/>
      <c r="M7" s="89"/>
    </row>
    <row r="8" spans="1:13" s="90" customFormat="1" ht="15.75" x14ac:dyDescent="0.25">
      <c r="A8" s="86"/>
      <c r="B8" s="82" t="s">
        <v>40</v>
      </c>
      <c r="C8" s="82"/>
      <c r="D8" s="87"/>
      <c r="E8" s="86"/>
      <c r="F8" s="86"/>
      <c r="G8" s="94"/>
      <c r="H8" s="88"/>
      <c r="I8" s="88"/>
      <c r="J8" s="86"/>
      <c r="K8" s="86"/>
      <c r="L8" s="86"/>
      <c r="M8" s="89"/>
    </row>
    <row r="9" spans="1:13" s="90" customFormat="1" ht="15.75" x14ac:dyDescent="0.25">
      <c r="A9" s="86"/>
      <c r="B9" s="82"/>
      <c r="C9" s="82"/>
      <c r="D9" s="87"/>
      <c r="E9" s="86"/>
      <c r="F9" s="86"/>
      <c r="G9" s="86"/>
      <c r="H9" s="88"/>
      <c r="I9" s="88"/>
      <c r="J9" s="86"/>
      <c r="K9" s="86"/>
      <c r="L9" s="86"/>
      <c r="M9" s="89"/>
    </row>
    <row r="10" spans="1:13" s="90" customFormat="1" ht="15.75" x14ac:dyDescent="0.25">
      <c r="A10" s="86"/>
      <c r="B10" s="82"/>
      <c r="C10" s="82"/>
      <c r="D10" s="87"/>
      <c r="E10" s="86"/>
      <c r="F10" s="86"/>
      <c r="G10" s="95" t="s">
        <v>48</v>
      </c>
      <c r="H10" s="88"/>
      <c r="I10" s="88"/>
      <c r="J10" s="96">
        <v>0</v>
      </c>
      <c r="K10" s="86"/>
      <c r="L10" s="86"/>
      <c r="M10" s="89"/>
    </row>
    <row r="11" spans="1:13" s="90" customFormat="1" ht="15.75" x14ac:dyDescent="0.25">
      <c r="A11" s="87"/>
      <c r="B11" s="87"/>
      <c r="C11" s="87"/>
      <c r="D11" s="87"/>
      <c r="E11" s="86"/>
      <c r="F11" s="86"/>
      <c r="G11" s="86"/>
      <c r="H11" s="88"/>
      <c r="I11" s="88"/>
      <c r="J11" s="86"/>
      <c r="K11" s="86"/>
      <c r="L11" s="86"/>
      <c r="M11" s="89"/>
    </row>
    <row r="12" spans="1:13" s="90" customFormat="1" ht="15.75" x14ac:dyDescent="0.25">
      <c r="A12" s="87"/>
      <c r="B12" s="97"/>
      <c r="C12" s="97"/>
      <c r="D12" s="95"/>
      <c r="E12" s="86"/>
      <c r="F12" s="86"/>
      <c r="G12" s="95" t="s">
        <v>43</v>
      </c>
      <c r="H12" s="88"/>
      <c r="I12" s="88"/>
      <c r="J12" s="96">
        <v>3.5000000000000003E-2</v>
      </c>
      <c r="K12" s="86"/>
      <c r="L12" s="86"/>
      <c r="M12" s="89"/>
    </row>
    <row r="13" spans="1:13" s="90" customFormat="1" ht="15.75" x14ac:dyDescent="0.25">
      <c r="A13" s="87"/>
      <c r="B13" s="87"/>
      <c r="C13" s="87"/>
      <c r="D13" s="87"/>
      <c r="E13" s="86"/>
      <c r="F13" s="86"/>
      <c r="G13" s="86"/>
      <c r="H13" s="88"/>
      <c r="I13" s="88"/>
      <c r="J13" s="86"/>
      <c r="K13" s="86"/>
      <c r="L13" s="86"/>
      <c r="M13" s="89"/>
    </row>
    <row r="14" spans="1:13" s="90" customFormat="1" ht="15.75" x14ac:dyDescent="0.25">
      <c r="A14" s="98"/>
      <c r="B14" s="99"/>
      <c r="C14" s="100"/>
      <c r="D14" s="100"/>
      <c r="E14" s="101" t="s">
        <v>2</v>
      </c>
      <c r="F14" s="101"/>
      <c r="G14" s="101"/>
      <c r="H14" s="102"/>
      <c r="I14" s="102"/>
      <c r="J14" s="101"/>
      <c r="K14" s="101"/>
      <c r="L14" s="103"/>
      <c r="M14" s="89"/>
    </row>
    <row r="15" spans="1:13" s="90" customFormat="1" ht="15.75" x14ac:dyDescent="0.25">
      <c r="A15" s="104"/>
      <c r="B15" s="105"/>
      <c r="C15" s="106" t="s">
        <v>47</v>
      </c>
      <c r="D15" s="101"/>
      <c r="E15" s="107"/>
      <c r="F15" s="108"/>
      <c r="G15" s="101" t="s">
        <v>37</v>
      </c>
      <c r="H15" s="102"/>
      <c r="I15" s="102"/>
      <c r="J15" s="98"/>
      <c r="K15" s="100"/>
      <c r="L15" s="99"/>
      <c r="M15" s="89"/>
    </row>
    <row r="16" spans="1:13" s="90" customFormat="1" ht="15.75" x14ac:dyDescent="0.25">
      <c r="A16" s="104"/>
      <c r="B16" s="105"/>
      <c r="C16" s="109" t="s">
        <v>49</v>
      </c>
      <c r="D16" s="109" t="s">
        <v>51</v>
      </c>
      <c r="E16" s="110" t="s">
        <v>21</v>
      </c>
      <c r="F16" s="111"/>
      <c r="G16" s="109"/>
      <c r="H16" s="112" t="s">
        <v>36</v>
      </c>
      <c r="I16" s="112"/>
      <c r="J16" s="110" t="s">
        <v>4</v>
      </c>
      <c r="K16" s="113"/>
      <c r="L16" s="111"/>
      <c r="M16" s="89"/>
    </row>
    <row r="17" spans="1:16" ht="15.75" x14ac:dyDescent="0.25">
      <c r="A17" s="114" t="s">
        <v>6</v>
      </c>
      <c r="B17" s="115" t="s">
        <v>7</v>
      </c>
      <c r="C17" s="116" t="s">
        <v>50</v>
      </c>
      <c r="D17" s="116" t="s">
        <v>52</v>
      </c>
      <c r="E17" s="114" t="s">
        <v>20</v>
      </c>
      <c r="F17" s="115" t="s">
        <v>30</v>
      </c>
      <c r="G17" s="116" t="s">
        <v>34</v>
      </c>
      <c r="H17" s="117" t="s">
        <v>35</v>
      </c>
      <c r="I17" s="117" t="s">
        <v>5</v>
      </c>
      <c r="J17" s="114" t="s">
        <v>8</v>
      </c>
      <c r="K17" s="116" t="s">
        <v>9</v>
      </c>
      <c r="L17" s="115" t="s">
        <v>5</v>
      </c>
      <c r="M17" s="89"/>
      <c r="N17" s="118"/>
    </row>
    <row r="18" spans="1:16" x14ac:dyDescent="0.25">
      <c r="A18" s="119">
        <v>1</v>
      </c>
      <c r="B18" s="120">
        <f>ROUNDUP(A18/5,0)</f>
        <v>1</v>
      </c>
      <c r="C18" s="73">
        <v>3.4099999999999998E-2</v>
      </c>
      <c r="D18" s="121">
        <f>C18+$J$10</f>
        <v>3.4099999999999998E-2</v>
      </c>
      <c r="E18" s="122">
        <f>'Capital Expenditure'!C38</f>
        <v>69.113234741856061</v>
      </c>
      <c r="F18" s="123">
        <f t="shared" ref="F18:F20" si="0">E18-J18</f>
        <v>68.278644970233003</v>
      </c>
      <c r="G18" s="124">
        <f>E18</f>
        <v>69.113234741856061</v>
      </c>
      <c r="H18" s="125">
        <f>A18</f>
        <v>1</v>
      </c>
      <c r="I18" s="125">
        <f>A57</f>
        <v>40</v>
      </c>
      <c r="J18" s="122">
        <f>-PPMT(D18,H18,I18,G18)</f>
        <v>0.83458977162306136</v>
      </c>
      <c r="K18" s="124">
        <f>-IPMT(D18,H18,I18,G18)</f>
        <v>2.3567613046972915</v>
      </c>
      <c r="L18" s="123">
        <f t="shared" ref="L18:L57" si="1">SUM(J18:K18)</f>
        <v>3.1913510763203528</v>
      </c>
      <c r="M18" s="126"/>
      <c r="N18" s="118"/>
    </row>
    <row r="19" spans="1:16" x14ac:dyDescent="0.25">
      <c r="A19" s="127">
        <v>2</v>
      </c>
      <c r="B19" s="128">
        <f t="shared" ref="B19:B37" si="2">ROUNDUP(A19/5,0)</f>
        <v>1</v>
      </c>
      <c r="C19" s="74">
        <v>3.4099999999999998E-2</v>
      </c>
      <c r="D19" s="129">
        <f t="shared" ref="D19:D57" si="3">C19+$J$10</f>
        <v>3.4099999999999998E-2</v>
      </c>
      <c r="E19" s="130">
        <f>F18</f>
        <v>68.278644970233003</v>
      </c>
      <c r="F19" s="131">
        <f t="shared" si="0"/>
        <v>67.415595687397598</v>
      </c>
      <c r="G19" s="132">
        <f>IF(D19=D18,G18,E19)</f>
        <v>69.113234741856061</v>
      </c>
      <c r="H19" s="133">
        <f>IF(D19=D18,H18+1,1)</f>
        <v>2</v>
      </c>
      <c r="I19" s="133">
        <f>IF(D19=D18,I18,I18-H18)</f>
        <v>40</v>
      </c>
      <c r="J19" s="130">
        <f t="shared" ref="J19" si="4">-PPMT(D19,H19,I19,G19)</f>
        <v>0.86304928283540772</v>
      </c>
      <c r="K19" s="132">
        <f t="shared" ref="K19" si="5">-IPMT(D19,H19,I19,G19)</f>
        <v>2.3283017934849455</v>
      </c>
      <c r="L19" s="131">
        <f t="shared" si="1"/>
        <v>3.1913510763203532</v>
      </c>
      <c r="M19" s="126"/>
      <c r="N19" s="118"/>
      <c r="O19" s="134"/>
    </row>
    <row r="20" spans="1:16" x14ac:dyDescent="0.25">
      <c r="A20" s="127">
        <v>3</v>
      </c>
      <c r="B20" s="128">
        <f t="shared" si="2"/>
        <v>1</v>
      </c>
      <c r="C20" s="74">
        <v>0.01</v>
      </c>
      <c r="D20" s="129">
        <f t="shared" si="3"/>
        <v>0.01</v>
      </c>
      <c r="E20" s="130">
        <f t="shared" ref="E20" si="6">F19</f>
        <v>67.415595687397598</v>
      </c>
      <c r="F20" s="131">
        <f t="shared" si="0"/>
        <v>65.948531487821</v>
      </c>
      <c r="G20" s="132">
        <f t="shared" ref="G20:G37" si="7">IF(D20=D19,G19,E20)</f>
        <v>67.415595687397598</v>
      </c>
      <c r="H20" s="133">
        <f t="shared" ref="H20:H37" si="8">IF(D20=D19,H19+1,1)</f>
        <v>1</v>
      </c>
      <c r="I20" s="133">
        <f t="shared" ref="I20:I37" si="9">IF(D20=D19,I19,I19-H19)</f>
        <v>38</v>
      </c>
      <c r="J20" s="130">
        <f t="shared" ref="J20:J57" si="10">-PPMT(D20,H20,I20,G20)</f>
        <v>1.4670641995766023</v>
      </c>
      <c r="K20" s="132">
        <f t="shared" ref="K20:K57" si="11">-IPMT(D20,H20,I20,G20)</f>
        <v>0.674155956873976</v>
      </c>
      <c r="L20" s="131">
        <f t="shared" si="1"/>
        <v>2.1412201564505784</v>
      </c>
      <c r="M20" s="126"/>
      <c r="N20" s="118"/>
    </row>
    <row r="21" spans="1:16" x14ac:dyDescent="0.25">
      <c r="A21" s="127">
        <v>4</v>
      </c>
      <c r="B21" s="128">
        <f t="shared" si="2"/>
        <v>1</v>
      </c>
      <c r="C21" s="74">
        <v>0.01</v>
      </c>
      <c r="D21" s="129">
        <f t="shared" si="3"/>
        <v>0.01</v>
      </c>
      <c r="E21" s="130">
        <f t="shared" ref="E21:E57" si="12">F20</f>
        <v>65.948531487821</v>
      </c>
      <c r="F21" s="131">
        <f t="shared" ref="F21:F57" si="13">E21-J21</f>
        <v>64.466796646248639</v>
      </c>
      <c r="G21" s="132">
        <f t="shared" si="7"/>
        <v>67.415595687397598</v>
      </c>
      <c r="H21" s="133">
        <f t="shared" si="8"/>
        <v>2</v>
      </c>
      <c r="I21" s="133">
        <f t="shared" si="9"/>
        <v>38</v>
      </c>
      <c r="J21" s="130">
        <f t="shared" si="10"/>
        <v>1.4817348415723681</v>
      </c>
      <c r="K21" s="132">
        <f t="shared" si="11"/>
        <v>0.65948531487821005</v>
      </c>
      <c r="L21" s="131">
        <f t="shared" si="1"/>
        <v>2.1412201564505784</v>
      </c>
      <c r="M21" s="126"/>
      <c r="N21" s="118"/>
    </row>
    <row r="22" spans="1:16" x14ac:dyDescent="0.25">
      <c r="A22" s="127">
        <v>5</v>
      </c>
      <c r="B22" s="128">
        <f t="shared" si="2"/>
        <v>1</v>
      </c>
      <c r="C22" s="74">
        <v>0.01</v>
      </c>
      <c r="D22" s="129">
        <f t="shared" si="3"/>
        <v>0.01</v>
      </c>
      <c r="E22" s="130">
        <f t="shared" si="12"/>
        <v>64.466796646248639</v>
      </c>
      <c r="F22" s="131">
        <f t="shared" si="13"/>
        <v>62.970244456260545</v>
      </c>
      <c r="G22" s="132">
        <f t="shared" si="7"/>
        <v>67.415595687397598</v>
      </c>
      <c r="H22" s="133">
        <f t="shared" si="8"/>
        <v>3</v>
      </c>
      <c r="I22" s="133">
        <f t="shared" si="9"/>
        <v>38</v>
      </c>
      <c r="J22" s="130">
        <f t="shared" si="10"/>
        <v>1.4965521899880918</v>
      </c>
      <c r="K22" s="132">
        <f t="shared" si="11"/>
        <v>0.64466796646248625</v>
      </c>
      <c r="L22" s="131">
        <f t="shared" si="1"/>
        <v>2.1412201564505779</v>
      </c>
      <c r="M22" s="126"/>
      <c r="N22" s="118"/>
    </row>
    <row r="23" spans="1:16" x14ac:dyDescent="0.25">
      <c r="A23" s="119">
        <v>6</v>
      </c>
      <c r="B23" s="120">
        <f t="shared" si="2"/>
        <v>2</v>
      </c>
      <c r="C23" s="73">
        <v>0.01</v>
      </c>
      <c r="D23" s="121">
        <f t="shared" si="3"/>
        <v>0.01</v>
      </c>
      <c r="E23" s="122">
        <f t="shared" si="12"/>
        <v>62.970244456260545</v>
      </c>
      <c r="F23" s="123">
        <f t="shared" si="13"/>
        <v>61.458726744372569</v>
      </c>
      <c r="G23" s="124">
        <f t="shared" si="7"/>
        <v>67.415595687397598</v>
      </c>
      <c r="H23" s="125">
        <f t="shared" si="8"/>
        <v>4</v>
      </c>
      <c r="I23" s="125">
        <f t="shared" si="9"/>
        <v>38</v>
      </c>
      <c r="J23" s="122">
        <f t="shared" si="10"/>
        <v>1.5115177118879726</v>
      </c>
      <c r="K23" s="124">
        <f t="shared" si="11"/>
        <v>0.62970244456260527</v>
      </c>
      <c r="L23" s="123">
        <f t="shared" si="1"/>
        <v>2.1412201564505779</v>
      </c>
      <c r="M23" s="126"/>
      <c r="N23" s="118"/>
      <c r="O23" s="134"/>
      <c r="P23" s="134"/>
    </row>
    <row r="24" spans="1:16" x14ac:dyDescent="0.25">
      <c r="A24" s="127">
        <v>7</v>
      </c>
      <c r="B24" s="128">
        <f t="shared" si="2"/>
        <v>2</v>
      </c>
      <c r="C24" s="74">
        <v>0.01</v>
      </c>
      <c r="D24" s="129">
        <f t="shared" si="3"/>
        <v>0.01</v>
      </c>
      <c r="E24" s="130">
        <f t="shared" si="12"/>
        <v>61.458726744372569</v>
      </c>
      <c r="F24" s="131">
        <f t="shared" si="13"/>
        <v>59.932093855365714</v>
      </c>
      <c r="G24" s="132">
        <f t="shared" si="7"/>
        <v>67.415595687397598</v>
      </c>
      <c r="H24" s="133">
        <f t="shared" si="8"/>
        <v>5</v>
      </c>
      <c r="I24" s="133">
        <f t="shared" si="9"/>
        <v>38</v>
      </c>
      <c r="J24" s="130">
        <f t="shared" si="10"/>
        <v>1.5266328890068521</v>
      </c>
      <c r="K24" s="132">
        <f t="shared" si="11"/>
        <v>0.61458726744372572</v>
      </c>
      <c r="L24" s="131">
        <f t="shared" si="1"/>
        <v>2.1412201564505779</v>
      </c>
      <c r="M24" s="126"/>
      <c r="N24" s="118"/>
    </row>
    <row r="25" spans="1:16" x14ac:dyDescent="0.25">
      <c r="A25" s="127">
        <v>8</v>
      </c>
      <c r="B25" s="128">
        <f t="shared" si="2"/>
        <v>2</v>
      </c>
      <c r="C25" s="74">
        <v>0.01</v>
      </c>
      <c r="D25" s="129">
        <f t="shared" si="3"/>
        <v>0.01</v>
      </c>
      <c r="E25" s="130">
        <f t="shared" si="12"/>
        <v>59.932093855365714</v>
      </c>
      <c r="F25" s="131">
        <f t="shared" si="13"/>
        <v>58.390194637468795</v>
      </c>
      <c r="G25" s="132">
        <f t="shared" si="7"/>
        <v>67.415595687397598</v>
      </c>
      <c r="H25" s="133">
        <f t="shared" si="8"/>
        <v>6</v>
      </c>
      <c r="I25" s="133">
        <f t="shared" si="9"/>
        <v>38</v>
      </c>
      <c r="J25" s="130">
        <f t="shared" si="10"/>
        <v>1.5418992178969209</v>
      </c>
      <c r="K25" s="132">
        <f t="shared" si="11"/>
        <v>0.5993209385536572</v>
      </c>
      <c r="L25" s="131">
        <f t="shared" si="1"/>
        <v>2.1412201564505779</v>
      </c>
      <c r="M25" s="126"/>
      <c r="N25" s="118"/>
    </row>
    <row r="26" spans="1:16" x14ac:dyDescent="0.25">
      <c r="A26" s="127">
        <v>9</v>
      </c>
      <c r="B26" s="128">
        <f t="shared" si="2"/>
        <v>2</v>
      </c>
      <c r="C26" s="74">
        <v>0.01</v>
      </c>
      <c r="D26" s="129">
        <f t="shared" si="3"/>
        <v>0.01</v>
      </c>
      <c r="E26" s="130">
        <f t="shared" si="12"/>
        <v>58.390194637468795</v>
      </c>
      <c r="F26" s="131">
        <f t="shared" si="13"/>
        <v>56.832876427392904</v>
      </c>
      <c r="G26" s="132">
        <f t="shared" si="7"/>
        <v>67.415595687397598</v>
      </c>
      <c r="H26" s="133">
        <f t="shared" si="8"/>
        <v>7</v>
      </c>
      <c r="I26" s="133">
        <f t="shared" si="9"/>
        <v>38</v>
      </c>
      <c r="J26" s="130">
        <f t="shared" si="10"/>
        <v>1.55731821007589</v>
      </c>
      <c r="K26" s="132">
        <f t="shared" si="11"/>
        <v>0.58390194637468784</v>
      </c>
      <c r="L26" s="131">
        <f t="shared" si="1"/>
        <v>2.1412201564505779</v>
      </c>
      <c r="M26" s="126"/>
      <c r="N26" s="118"/>
    </row>
    <row r="27" spans="1:16" x14ac:dyDescent="0.25">
      <c r="A27" s="135">
        <v>10</v>
      </c>
      <c r="B27" s="136">
        <f t="shared" si="2"/>
        <v>2</v>
      </c>
      <c r="C27" s="75">
        <v>0.01</v>
      </c>
      <c r="D27" s="137">
        <f t="shared" si="3"/>
        <v>0.01</v>
      </c>
      <c r="E27" s="138">
        <f t="shared" si="12"/>
        <v>56.832876427392904</v>
      </c>
      <c r="F27" s="139">
        <f t="shared" si="13"/>
        <v>55.259985035216253</v>
      </c>
      <c r="G27" s="140">
        <f t="shared" si="7"/>
        <v>67.415595687397598</v>
      </c>
      <c r="H27" s="141">
        <f t="shared" si="8"/>
        <v>8</v>
      </c>
      <c r="I27" s="141">
        <f t="shared" si="9"/>
        <v>38</v>
      </c>
      <c r="J27" s="138">
        <f t="shared" si="10"/>
        <v>1.5728913921766488</v>
      </c>
      <c r="K27" s="140">
        <f t="shared" si="11"/>
        <v>0.56832876427392898</v>
      </c>
      <c r="L27" s="139">
        <f t="shared" si="1"/>
        <v>2.1412201564505775</v>
      </c>
      <c r="M27" s="126"/>
      <c r="N27" s="118"/>
      <c r="O27" s="134"/>
      <c r="P27" s="134"/>
    </row>
    <row r="28" spans="1:16" x14ac:dyDescent="0.25">
      <c r="A28" s="127">
        <v>11</v>
      </c>
      <c r="B28" s="128">
        <f t="shared" si="2"/>
        <v>3</v>
      </c>
      <c r="C28" s="74">
        <v>0.01</v>
      </c>
      <c r="D28" s="129">
        <f t="shared" si="3"/>
        <v>0.01</v>
      </c>
      <c r="E28" s="130">
        <f t="shared" si="12"/>
        <v>55.259985035216253</v>
      </c>
      <c r="F28" s="131">
        <f t="shared" si="13"/>
        <v>53.67136472911784</v>
      </c>
      <c r="G28" s="132">
        <f t="shared" si="7"/>
        <v>67.415595687397598</v>
      </c>
      <c r="H28" s="133">
        <f t="shared" si="8"/>
        <v>9</v>
      </c>
      <c r="I28" s="133">
        <f t="shared" si="9"/>
        <v>38</v>
      </c>
      <c r="J28" s="130">
        <f t="shared" si="10"/>
        <v>1.5886203060984156</v>
      </c>
      <c r="K28" s="132">
        <f t="shared" si="11"/>
        <v>0.55259985035216241</v>
      </c>
      <c r="L28" s="131">
        <f t="shared" si="1"/>
        <v>2.1412201564505779</v>
      </c>
      <c r="M28" s="126"/>
      <c r="N28" s="118"/>
    </row>
    <row r="29" spans="1:16" x14ac:dyDescent="0.25">
      <c r="A29" s="127">
        <v>12</v>
      </c>
      <c r="B29" s="128">
        <f t="shared" si="2"/>
        <v>3</v>
      </c>
      <c r="C29" s="74">
        <v>0.01</v>
      </c>
      <c r="D29" s="129">
        <f t="shared" si="3"/>
        <v>0.01</v>
      </c>
      <c r="E29" s="130">
        <f t="shared" si="12"/>
        <v>53.67136472911784</v>
      </c>
      <c r="F29" s="131">
        <f t="shared" si="13"/>
        <v>52.066858219958441</v>
      </c>
      <c r="G29" s="132">
        <f t="shared" si="7"/>
        <v>67.415595687397598</v>
      </c>
      <c r="H29" s="133">
        <f t="shared" si="8"/>
        <v>10</v>
      </c>
      <c r="I29" s="133">
        <f t="shared" si="9"/>
        <v>38</v>
      </c>
      <c r="J29" s="130">
        <f t="shared" si="10"/>
        <v>1.6045065091593995</v>
      </c>
      <c r="K29" s="132">
        <f t="shared" si="11"/>
        <v>0.53671364729117843</v>
      </c>
      <c r="L29" s="131">
        <f t="shared" si="1"/>
        <v>2.1412201564505779</v>
      </c>
      <c r="M29" s="126"/>
      <c r="N29" s="118"/>
    </row>
    <row r="30" spans="1:16" x14ac:dyDescent="0.25">
      <c r="A30" s="127">
        <v>13</v>
      </c>
      <c r="B30" s="128">
        <f t="shared" si="2"/>
        <v>3</v>
      </c>
      <c r="C30" s="74">
        <v>0.01</v>
      </c>
      <c r="D30" s="129">
        <f t="shared" si="3"/>
        <v>0.01</v>
      </c>
      <c r="E30" s="130">
        <f t="shared" si="12"/>
        <v>52.066858219958441</v>
      </c>
      <c r="F30" s="131">
        <f t="shared" si="13"/>
        <v>50.446306645707445</v>
      </c>
      <c r="G30" s="132">
        <f t="shared" si="7"/>
        <v>67.415595687397598</v>
      </c>
      <c r="H30" s="133">
        <f t="shared" si="8"/>
        <v>11</v>
      </c>
      <c r="I30" s="133">
        <f t="shared" si="9"/>
        <v>38</v>
      </c>
      <c r="J30" s="130">
        <f t="shared" si="10"/>
        <v>1.6205515742509935</v>
      </c>
      <c r="K30" s="132">
        <f t="shared" si="11"/>
        <v>0.52066858219958445</v>
      </c>
      <c r="L30" s="131">
        <f t="shared" si="1"/>
        <v>2.1412201564505779</v>
      </c>
      <c r="M30" s="126"/>
      <c r="N30" s="118"/>
    </row>
    <row r="31" spans="1:16" x14ac:dyDescent="0.25">
      <c r="A31" s="127">
        <v>14</v>
      </c>
      <c r="B31" s="128">
        <f t="shared" si="2"/>
        <v>3</v>
      </c>
      <c r="C31" s="74">
        <v>0.01</v>
      </c>
      <c r="D31" s="129">
        <f t="shared" si="3"/>
        <v>0.01</v>
      </c>
      <c r="E31" s="130">
        <f t="shared" si="12"/>
        <v>50.446306645707445</v>
      </c>
      <c r="F31" s="131">
        <f t="shared" si="13"/>
        <v>48.809549555713943</v>
      </c>
      <c r="G31" s="132">
        <f t="shared" si="7"/>
        <v>67.415595687397598</v>
      </c>
      <c r="H31" s="133">
        <f t="shared" si="8"/>
        <v>12</v>
      </c>
      <c r="I31" s="133">
        <f t="shared" si="9"/>
        <v>38</v>
      </c>
      <c r="J31" s="130">
        <f t="shared" si="10"/>
        <v>1.6367570899935036</v>
      </c>
      <c r="K31" s="132">
        <f t="shared" si="11"/>
        <v>0.50446306645707439</v>
      </c>
      <c r="L31" s="131">
        <f t="shared" si="1"/>
        <v>2.1412201564505779</v>
      </c>
      <c r="M31" s="126"/>
      <c r="N31" s="118"/>
    </row>
    <row r="32" spans="1:16" x14ac:dyDescent="0.25">
      <c r="A32" s="127">
        <v>15</v>
      </c>
      <c r="B32" s="128">
        <f t="shared" si="2"/>
        <v>3</v>
      </c>
      <c r="C32" s="74">
        <v>0.01</v>
      </c>
      <c r="D32" s="129">
        <f t="shared" si="3"/>
        <v>0.01</v>
      </c>
      <c r="E32" s="130">
        <f t="shared" si="12"/>
        <v>48.809549555713943</v>
      </c>
      <c r="F32" s="131">
        <f t="shared" si="13"/>
        <v>47.156424894820503</v>
      </c>
      <c r="G32" s="132">
        <f t="shared" si="7"/>
        <v>67.415595687397598</v>
      </c>
      <c r="H32" s="133">
        <f t="shared" si="8"/>
        <v>13</v>
      </c>
      <c r="I32" s="133">
        <f t="shared" si="9"/>
        <v>38</v>
      </c>
      <c r="J32" s="130">
        <f t="shared" si="10"/>
        <v>1.6531246608934385</v>
      </c>
      <c r="K32" s="132">
        <f t="shared" si="11"/>
        <v>0.48809549555713944</v>
      </c>
      <c r="L32" s="131">
        <f t="shared" si="1"/>
        <v>2.1412201564505779</v>
      </c>
      <c r="M32" s="126"/>
      <c r="N32" s="118"/>
    </row>
    <row r="33" spans="1:14" x14ac:dyDescent="0.25">
      <c r="A33" s="119">
        <v>16</v>
      </c>
      <c r="B33" s="120">
        <f t="shared" si="2"/>
        <v>4</v>
      </c>
      <c r="C33" s="73">
        <v>0.01</v>
      </c>
      <c r="D33" s="121">
        <f t="shared" si="3"/>
        <v>0.01</v>
      </c>
      <c r="E33" s="122">
        <f t="shared" si="12"/>
        <v>47.156424894820503</v>
      </c>
      <c r="F33" s="123">
        <f t="shared" si="13"/>
        <v>45.486768987318129</v>
      </c>
      <c r="G33" s="124">
        <f t="shared" si="7"/>
        <v>67.415595687397598</v>
      </c>
      <c r="H33" s="125">
        <f t="shared" si="8"/>
        <v>14</v>
      </c>
      <c r="I33" s="125">
        <f t="shared" si="9"/>
        <v>38</v>
      </c>
      <c r="J33" s="122">
        <f t="shared" si="10"/>
        <v>1.6696559075023731</v>
      </c>
      <c r="K33" s="124">
        <f t="shared" si="11"/>
        <v>0.47156424894820503</v>
      </c>
      <c r="L33" s="123">
        <f t="shared" si="1"/>
        <v>2.1412201564505784</v>
      </c>
      <c r="M33" s="126"/>
      <c r="N33" s="118"/>
    </row>
    <row r="34" spans="1:14" x14ac:dyDescent="0.25">
      <c r="A34" s="127">
        <v>17</v>
      </c>
      <c r="B34" s="128">
        <f t="shared" si="2"/>
        <v>4</v>
      </c>
      <c r="C34" s="74">
        <v>0.01</v>
      </c>
      <c r="D34" s="129">
        <f t="shared" si="3"/>
        <v>0.01</v>
      </c>
      <c r="E34" s="130">
        <f t="shared" si="12"/>
        <v>45.486768987318129</v>
      </c>
      <c r="F34" s="131">
        <f t="shared" si="13"/>
        <v>43.800416520740733</v>
      </c>
      <c r="G34" s="132">
        <f t="shared" si="7"/>
        <v>67.415595687397598</v>
      </c>
      <c r="H34" s="133">
        <f t="shared" si="8"/>
        <v>15</v>
      </c>
      <c r="I34" s="133">
        <f t="shared" si="9"/>
        <v>38</v>
      </c>
      <c r="J34" s="130">
        <f t="shared" si="10"/>
        <v>1.6863524665773966</v>
      </c>
      <c r="K34" s="132">
        <f t="shared" si="11"/>
        <v>0.45486768987318121</v>
      </c>
      <c r="L34" s="131">
        <f t="shared" si="1"/>
        <v>2.1412201564505779</v>
      </c>
      <c r="M34" s="126"/>
      <c r="N34" s="118"/>
    </row>
    <row r="35" spans="1:14" x14ac:dyDescent="0.25">
      <c r="A35" s="127">
        <v>18</v>
      </c>
      <c r="B35" s="128">
        <f t="shared" si="2"/>
        <v>4</v>
      </c>
      <c r="C35" s="74">
        <v>0.01</v>
      </c>
      <c r="D35" s="129">
        <f t="shared" si="3"/>
        <v>0.01</v>
      </c>
      <c r="E35" s="130">
        <f t="shared" si="12"/>
        <v>43.800416520740733</v>
      </c>
      <c r="F35" s="131">
        <f t="shared" si="13"/>
        <v>42.097200529497563</v>
      </c>
      <c r="G35" s="132">
        <f t="shared" si="7"/>
        <v>67.415595687397598</v>
      </c>
      <c r="H35" s="133">
        <f t="shared" si="8"/>
        <v>16</v>
      </c>
      <c r="I35" s="133">
        <f t="shared" si="9"/>
        <v>38</v>
      </c>
      <c r="J35" s="130">
        <f t="shared" si="10"/>
        <v>1.7032159912431706</v>
      </c>
      <c r="K35" s="132">
        <f t="shared" si="11"/>
        <v>0.43800416520740726</v>
      </c>
      <c r="L35" s="131">
        <f t="shared" si="1"/>
        <v>2.1412201564505779</v>
      </c>
      <c r="M35" s="126"/>
      <c r="N35" s="118"/>
    </row>
    <row r="36" spans="1:14" x14ac:dyDescent="0.25">
      <c r="A36" s="127">
        <v>19</v>
      </c>
      <c r="B36" s="128">
        <f t="shared" si="2"/>
        <v>4</v>
      </c>
      <c r="C36" s="74">
        <v>0.01</v>
      </c>
      <c r="D36" s="129">
        <f t="shared" si="3"/>
        <v>0.01</v>
      </c>
      <c r="E36" s="130">
        <f t="shared" si="12"/>
        <v>42.097200529497563</v>
      </c>
      <c r="F36" s="131">
        <f t="shared" si="13"/>
        <v>40.376952378341961</v>
      </c>
      <c r="G36" s="132">
        <f t="shared" si="7"/>
        <v>67.415595687397598</v>
      </c>
      <c r="H36" s="133">
        <f t="shared" si="8"/>
        <v>17</v>
      </c>
      <c r="I36" s="133">
        <f t="shared" si="9"/>
        <v>38</v>
      </c>
      <c r="J36" s="130">
        <f t="shared" si="10"/>
        <v>1.7202481511556023</v>
      </c>
      <c r="K36" s="132">
        <f t="shared" si="11"/>
        <v>0.42097200529497564</v>
      </c>
      <c r="L36" s="131">
        <f t="shared" si="1"/>
        <v>2.1412201564505779</v>
      </c>
      <c r="M36" s="126"/>
      <c r="N36" s="118"/>
    </row>
    <row r="37" spans="1:14" x14ac:dyDescent="0.25">
      <c r="A37" s="135">
        <v>20</v>
      </c>
      <c r="B37" s="136">
        <f t="shared" si="2"/>
        <v>4</v>
      </c>
      <c r="C37" s="75">
        <v>0.01</v>
      </c>
      <c r="D37" s="137">
        <f t="shared" si="3"/>
        <v>0.01</v>
      </c>
      <c r="E37" s="138">
        <f t="shared" si="12"/>
        <v>40.376952378341961</v>
      </c>
      <c r="F37" s="139">
        <f t="shared" si="13"/>
        <v>38.639501745674806</v>
      </c>
      <c r="G37" s="140">
        <f t="shared" si="7"/>
        <v>67.415595687397598</v>
      </c>
      <c r="H37" s="141">
        <f t="shared" si="8"/>
        <v>18</v>
      </c>
      <c r="I37" s="141">
        <f t="shared" si="9"/>
        <v>38</v>
      </c>
      <c r="J37" s="138">
        <f t="shared" si="10"/>
        <v>1.7374506326671586</v>
      </c>
      <c r="K37" s="140">
        <f t="shared" si="11"/>
        <v>0.40376952378341957</v>
      </c>
      <c r="L37" s="139">
        <f t="shared" si="1"/>
        <v>2.1412201564505784</v>
      </c>
      <c r="M37" s="126"/>
      <c r="N37" s="118"/>
    </row>
    <row r="38" spans="1:14" x14ac:dyDescent="0.25">
      <c r="A38" s="119">
        <v>21</v>
      </c>
      <c r="B38" s="128">
        <v>5</v>
      </c>
      <c r="C38" s="74">
        <v>0.01</v>
      </c>
      <c r="D38" s="129">
        <f t="shared" si="3"/>
        <v>0.01</v>
      </c>
      <c r="E38" s="130">
        <f t="shared" si="12"/>
        <v>38.639501745674806</v>
      </c>
      <c r="F38" s="131">
        <f t="shared" si="13"/>
        <v>36.884676606680976</v>
      </c>
      <c r="G38" s="132">
        <f t="shared" ref="G38:G46" si="14">IF(D38=D37,G37,E38)</f>
        <v>67.415595687397598</v>
      </c>
      <c r="H38" s="133">
        <f t="shared" ref="H38:H46" si="15">IF(D38=D37,H37+1,1)</f>
        <v>19</v>
      </c>
      <c r="I38" s="133">
        <f t="shared" ref="I38:I46" si="16">IF(D38=D37,I37,I37-H37)</f>
        <v>38</v>
      </c>
      <c r="J38" s="130">
        <f t="shared" si="10"/>
        <v>1.7548251389938299</v>
      </c>
      <c r="K38" s="132">
        <f t="shared" si="11"/>
        <v>0.38639501745674798</v>
      </c>
      <c r="L38" s="131">
        <f t="shared" si="1"/>
        <v>2.1412201564505779</v>
      </c>
      <c r="M38" s="126"/>
      <c r="N38" s="118"/>
    </row>
    <row r="39" spans="1:14" x14ac:dyDescent="0.25">
      <c r="A39" s="127">
        <v>22</v>
      </c>
      <c r="B39" s="128">
        <v>5</v>
      </c>
      <c r="C39" s="74">
        <v>0.01</v>
      </c>
      <c r="D39" s="129">
        <f t="shared" si="3"/>
        <v>0.01</v>
      </c>
      <c r="E39" s="130">
        <f t="shared" si="12"/>
        <v>36.884676606680976</v>
      </c>
      <c r="F39" s="131">
        <f t="shared" si="13"/>
        <v>35.112303216297207</v>
      </c>
      <c r="G39" s="132">
        <f t="shared" si="14"/>
        <v>67.415595687397598</v>
      </c>
      <c r="H39" s="133">
        <f t="shared" si="15"/>
        <v>20</v>
      </c>
      <c r="I39" s="133">
        <f t="shared" si="16"/>
        <v>38</v>
      </c>
      <c r="J39" s="130">
        <f t="shared" si="10"/>
        <v>1.772373390383768</v>
      </c>
      <c r="K39" s="132">
        <f t="shared" si="11"/>
        <v>0.36884676606680961</v>
      </c>
      <c r="L39" s="131">
        <f t="shared" si="1"/>
        <v>2.1412201564505775</v>
      </c>
      <c r="M39" s="126"/>
      <c r="N39" s="118"/>
    </row>
    <row r="40" spans="1:14" x14ac:dyDescent="0.25">
      <c r="A40" s="127">
        <v>23</v>
      </c>
      <c r="B40" s="128">
        <v>5</v>
      </c>
      <c r="C40" s="74">
        <v>0.01</v>
      </c>
      <c r="D40" s="129">
        <f t="shared" si="3"/>
        <v>0.01</v>
      </c>
      <c r="E40" s="130">
        <f t="shared" si="12"/>
        <v>35.112303216297207</v>
      </c>
      <c r="F40" s="131">
        <f t="shared" si="13"/>
        <v>33.322206092009601</v>
      </c>
      <c r="G40" s="132">
        <f t="shared" si="14"/>
        <v>67.415595687397598</v>
      </c>
      <c r="H40" s="133">
        <f t="shared" si="15"/>
        <v>21</v>
      </c>
      <c r="I40" s="133">
        <f t="shared" si="16"/>
        <v>38</v>
      </c>
      <c r="J40" s="130">
        <f t="shared" si="10"/>
        <v>1.790097124287606</v>
      </c>
      <c r="K40" s="132">
        <f t="shared" si="11"/>
        <v>0.35112303216297192</v>
      </c>
      <c r="L40" s="131">
        <f t="shared" si="1"/>
        <v>2.1412201564505779</v>
      </c>
      <c r="M40" s="126"/>
      <c r="N40" s="118"/>
    </row>
    <row r="41" spans="1:14" x14ac:dyDescent="0.25">
      <c r="A41" s="127">
        <v>24</v>
      </c>
      <c r="B41" s="128">
        <v>5</v>
      </c>
      <c r="C41" s="74">
        <v>0.01</v>
      </c>
      <c r="D41" s="129">
        <f t="shared" si="3"/>
        <v>0.01</v>
      </c>
      <c r="E41" s="130">
        <f t="shared" si="12"/>
        <v>33.322206092009601</v>
      </c>
      <c r="F41" s="131">
        <f t="shared" si="13"/>
        <v>31.514207996479119</v>
      </c>
      <c r="G41" s="132">
        <f t="shared" si="14"/>
        <v>67.415595687397598</v>
      </c>
      <c r="H41" s="133">
        <f t="shared" si="15"/>
        <v>22</v>
      </c>
      <c r="I41" s="133">
        <f t="shared" si="16"/>
        <v>38</v>
      </c>
      <c r="J41" s="130">
        <f t="shared" si="10"/>
        <v>1.807998095530482</v>
      </c>
      <c r="K41" s="132">
        <f t="shared" si="11"/>
        <v>0.33322206092009593</v>
      </c>
      <c r="L41" s="131">
        <f t="shared" si="1"/>
        <v>2.1412201564505779</v>
      </c>
      <c r="M41" s="126"/>
      <c r="N41" s="118"/>
    </row>
    <row r="42" spans="1:14" x14ac:dyDescent="0.25">
      <c r="A42" s="127">
        <v>25</v>
      </c>
      <c r="B42" s="128">
        <v>5</v>
      </c>
      <c r="C42" s="74">
        <v>0.01</v>
      </c>
      <c r="D42" s="129">
        <f t="shared" si="3"/>
        <v>0.01</v>
      </c>
      <c r="E42" s="130">
        <f t="shared" si="12"/>
        <v>31.514207996479119</v>
      </c>
      <c r="F42" s="131">
        <f t="shared" si="13"/>
        <v>29.688129919993333</v>
      </c>
      <c r="G42" s="132">
        <f t="shared" si="14"/>
        <v>67.415595687397598</v>
      </c>
      <c r="H42" s="133">
        <f t="shared" si="15"/>
        <v>23</v>
      </c>
      <c r="I42" s="133">
        <f t="shared" si="16"/>
        <v>38</v>
      </c>
      <c r="J42" s="130">
        <f t="shared" si="10"/>
        <v>1.8260780764857867</v>
      </c>
      <c r="K42" s="132">
        <f t="shared" si="11"/>
        <v>0.3151420799647911</v>
      </c>
      <c r="L42" s="131">
        <f t="shared" si="1"/>
        <v>2.1412201564505779</v>
      </c>
      <c r="M42" s="126"/>
      <c r="N42" s="118"/>
    </row>
    <row r="43" spans="1:14" x14ac:dyDescent="0.25">
      <c r="A43" s="119">
        <v>26</v>
      </c>
      <c r="B43" s="120">
        <v>6</v>
      </c>
      <c r="C43" s="73">
        <v>0.01</v>
      </c>
      <c r="D43" s="121">
        <f t="shared" si="3"/>
        <v>0.01</v>
      </c>
      <c r="E43" s="122">
        <f t="shared" si="12"/>
        <v>29.688129919993333</v>
      </c>
      <c r="F43" s="123">
        <f t="shared" si="13"/>
        <v>27.843791062742689</v>
      </c>
      <c r="G43" s="124">
        <f t="shared" si="14"/>
        <v>67.415595687397598</v>
      </c>
      <c r="H43" s="125">
        <f t="shared" si="15"/>
        <v>24</v>
      </c>
      <c r="I43" s="125">
        <f t="shared" si="16"/>
        <v>38</v>
      </c>
      <c r="J43" s="122">
        <f t="shared" si="10"/>
        <v>1.8443388572506447</v>
      </c>
      <c r="K43" s="124">
        <f t="shared" si="11"/>
        <v>0.29688129919993317</v>
      </c>
      <c r="L43" s="123">
        <f t="shared" si="1"/>
        <v>2.1412201564505779</v>
      </c>
      <c r="M43" s="126"/>
      <c r="N43" s="118"/>
    </row>
    <row r="44" spans="1:14" x14ac:dyDescent="0.25">
      <c r="A44" s="127">
        <v>27</v>
      </c>
      <c r="B44" s="128">
        <v>6</v>
      </c>
      <c r="C44" s="74">
        <v>0.01</v>
      </c>
      <c r="D44" s="129">
        <f t="shared" si="3"/>
        <v>0.01</v>
      </c>
      <c r="E44" s="130">
        <f t="shared" si="12"/>
        <v>27.843791062742689</v>
      </c>
      <c r="F44" s="131">
        <f t="shared" si="13"/>
        <v>25.981008816919537</v>
      </c>
      <c r="G44" s="132">
        <f t="shared" si="14"/>
        <v>67.415595687397598</v>
      </c>
      <c r="H44" s="133">
        <f t="shared" si="15"/>
        <v>25</v>
      </c>
      <c r="I44" s="133">
        <f t="shared" si="16"/>
        <v>38</v>
      </c>
      <c r="J44" s="130">
        <f t="shared" si="10"/>
        <v>1.8627822458231513</v>
      </c>
      <c r="K44" s="132">
        <f t="shared" si="11"/>
        <v>0.27843791062742673</v>
      </c>
      <c r="L44" s="131">
        <f t="shared" si="1"/>
        <v>2.1412201564505779</v>
      </c>
      <c r="M44" s="126"/>
      <c r="N44" s="118"/>
    </row>
    <row r="45" spans="1:14" x14ac:dyDescent="0.25">
      <c r="A45" s="127">
        <v>28</v>
      </c>
      <c r="B45" s="128">
        <v>6</v>
      </c>
      <c r="C45" s="74">
        <v>0.01</v>
      </c>
      <c r="D45" s="129">
        <f t="shared" si="3"/>
        <v>0.01</v>
      </c>
      <c r="E45" s="130">
        <f t="shared" si="12"/>
        <v>25.981008816919537</v>
      </c>
      <c r="F45" s="131">
        <f t="shared" si="13"/>
        <v>24.099598748638154</v>
      </c>
      <c r="G45" s="132">
        <f t="shared" si="14"/>
        <v>67.415595687397598</v>
      </c>
      <c r="H45" s="133">
        <f t="shared" si="15"/>
        <v>26</v>
      </c>
      <c r="I45" s="133">
        <f t="shared" si="16"/>
        <v>38</v>
      </c>
      <c r="J45" s="130">
        <f t="shared" si="10"/>
        <v>1.8814100682813828</v>
      </c>
      <c r="K45" s="132">
        <f t="shared" si="11"/>
        <v>0.25981008816919526</v>
      </c>
      <c r="L45" s="131">
        <f t="shared" si="1"/>
        <v>2.1412201564505779</v>
      </c>
      <c r="M45" s="126"/>
      <c r="N45" s="118"/>
    </row>
    <row r="46" spans="1:14" x14ac:dyDescent="0.25">
      <c r="A46" s="127">
        <v>29</v>
      </c>
      <c r="B46" s="128">
        <v>6</v>
      </c>
      <c r="C46" s="74">
        <v>0.01</v>
      </c>
      <c r="D46" s="129">
        <f t="shared" si="3"/>
        <v>0.01</v>
      </c>
      <c r="E46" s="130">
        <f t="shared" si="12"/>
        <v>24.099598748638154</v>
      </c>
      <c r="F46" s="131">
        <f t="shared" si="13"/>
        <v>22.199374579673957</v>
      </c>
      <c r="G46" s="132">
        <f t="shared" si="14"/>
        <v>67.415595687397598</v>
      </c>
      <c r="H46" s="133">
        <f t="shared" si="15"/>
        <v>27</v>
      </c>
      <c r="I46" s="133">
        <f t="shared" si="16"/>
        <v>38</v>
      </c>
      <c r="J46" s="130">
        <f t="shared" si="10"/>
        <v>1.9002241689641965</v>
      </c>
      <c r="K46" s="132">
        <f t="shared" si="11"/>
        <v>0.2409959874863814</v>
      </c>
      <c r="L46" s="131">
        <f t="shared" si="1"/>
        <v>2.1412201564505779</v>
      </c>
      <c r="M46" s="126"/>
      <c r="N46" s="118"/>
    </row>
    <row r="47" spans="1:14" x14ac:dyDescent="0.25">
      <c r="A47" s="135">
        <v>30</v>
      </c>
      <c r="B47" s="136">
        <v>6</v>
      </c>
      <c r="C47" s="75">
        <v>0.01</v>
      </c>
      <c r="D47" s="137">
        <f t="shared" si="3"/>
        <v>0.01</v>
      </c>
      <c r="E47" s="138">
        <f t="shared" si="12"/>
        <v>22.199374579673957</v>
      </c>
      <c r="F47" s="139">
        <f t="shared" si="13"/>
        <v>20.280148169020119</v>
      </c>
      <c r="G47" s="140">
        <f t="shared" ref="G47:G57" si="17">IF(D47=D46,G46,E47)</f>
        <v>67.415595687397598</v>
      </c>
      <c r="H47" s="141">
        <f t="shared" ref="H47:H57" si="18">IF(D47=D46,H46+1,1)</f>
        <v>28</v>
      </c>
      <c r="I47" s="141">
        <f t="shared" ref="I47:I57" si="19">IF(D47=D46,I46,I46-H46)</f>
        <v>38</v>
      </c>
      <c r="J47" s="138">
        <f t="shared" si="10"/>
        <v>1.9192264106538386</v>
      </c>
      <c r="K47" s="140">
        <f t="shared" si="11"/>
        <v>0.22199374579673944</v>
      </c>
      <c r="L47" s="139">
        <f t="shared" si="1"/>
        <v>2.1412201564505779</v>
      </c>
      <c r="M47" s="126"/>
      <c r="N47" s="118"/>
    </row>
    <row r="48" spans="1:14" x14ac:dyDescent="0.25">
      <c r="A48" s="127">
        <v>31</v>
      </c>
      <c r="B48" s="120">
        <v>7</v>
      </c>
      <c r="C48" s="73">
        <v>0.01</v>
      </c>
      <c r="D48" s="121">
        <f t="shared" si="3"/>
        <v>0.01</v>
      </c>
      <c r="E48" s="122">
        <f t="shared" si="12"/>
        <v>20.280148169020119</v>
      </c>
      <c r="F48" s="123">
        <f t="shared" si="13"/>
        <v>18.341729494259742</v>
      </c>
      <c r="G48" s="124">
        <f t="shared" si="17"/>
        <v>67.415595687397598</v>
      </c>
      <c r="H48" s="125">
        <f t="shared" si="18"/>
        <v>29</v>
      </c>
      <c r="I48" s="125">
        <f t="shared" si="19"/>
        <v>38</v>
      </c>
      <c r="J48" s="122">
        <f t="shared" si="10"/>
        <v>1.9384186747603769</v>
      </c>
      <c r="K48" s="124">
        <f t="shared" si="11"/>
        <v>0.20280148169020101</v>
      </c>
      <c r="L48" s="123">
        <f t="shared" si="1"/>
        <v>2.1412201564505779</v>
      </c>
      <c r="M48" s="126"/>
      <c r="N48" s="118"/>
    </row>
    <row r="49" spans="1:14" x14ac:dyDescent="0.25">
      <c r="A49" s="127">
        <v>32</v>
      </c>
      <c r="B49" s="128">
        <v>7</v>
      </c>
      <c r="C49" s="74">
        <v>0.01</v>
      </c>
      <c r="D49" s="129">
        <f t="shared" si="3"/>
        <v>0.01</v>
      </c>
      <c r="E49" s="130">
        <f t="shared" si="12"/>
        <v>18.341729494259742</v>
      </c>
      <c r="F49" s="131">
        <f t="shared" si="13"/>
        <v>16.383926632751759</v>
      </c>
      <c r="G49" s="132">
        <f t="shared" si="17"/>
        <v>67.415595687397598</v>
      </c>
      <c r="H49" s="133">
        <f t="shared" si="18"/>
        <v>30</v>
      </c>
      <c r="I49" s="133">
        <f t="shared" si="19"/>
        <v>38</v>
      </c>
      <c r="J49" s="130">
        <f t="shared" si="10"/>
        <v>1.9578028615079806</v>
      </c>
      <c r="K49" s="132">
        <f t="shared" si="11"/>
        <v>0.18341729494259729</v>
      </c>
      <c r="L49" s="131">
        <f t="shared" si="1"/>
        <v>2.1412201564505779</v>
      </c>
      <c r="M49" s="126"/>
      <c r="N49" s="118"/>
    </row>
    <row r="50" spans="1:14" x14ac:dyDescent="0.25">
      <c r="A50" s="127">
        <v>33</v>
      </c>
      <c r="B50" s="128">
        <v>7</v>
      </c>
      <c r="C50" s="74">
        <v>0.01</v>
      </c>
      <c r="D50" s="129">
        <f t="shared" si="3"/>
        <v>0.01</v>
      </c>
      <c r="E50" s="130">
        <f t="shared" si="12"/>
        <v>16.383926632751759</v>
      </c>
      <c r="F50" s="131">
        <f t="shared" si="13"/>
        <v>14.406545742628699</v>
      </c>
      <c r="G50" s="132">
        <f t="shared" si="17"/>
        <v>67.415595687397598</v>
      </c>
      <c r="H50" s="133">
        <f t="shared" si="18"/>
        <v>31</v>
      </c>
      <c r="I50" s="133">
        <f t="shared" si="19"/>
        <v>38</v>
      </c>
      <c r="J50" s="130">
        <f t="shared" si="10"/>
        <v>1.9773808901230603</v>
      </c>
      <c r="K50" s="132">
        <f t="shared" si="11"/>
        <v>0.16383926632751744</v>
      </c>
      <c r="L50" s="131">
        <f t="shared" si="1"/>
        <v>2.1412201564505775</v>
      </c>
      <c r="M50" s="126"/>
      <c r="N50" s="118"/>
    </row>
    <row r="51" spans="1:14" x14ac:dyDescent="0.25">
      <c r="A51" s="127">
        <v>34</v>
      </c>
      <c r="B51" s="128">
        <v>7</v>
      </c>
      <c r="C51" s="74">
        <v>0.01</v>
      </c>
      <c r="D51" s="129">
        <f t="shared" si="3"/>
        <v>0.01</v>
      </c>
      <c r="E51" s="130">
        <f t="shared" si="12"/>
        <v>14.406545742628699</v>
      </c>
      <c r="F51" s="131">
        <f t="shared" si="13"/>
        <v>12.409391043604408</v>
      </c>
      <c r="G51" s="132">
        <f t="shared" si="17"/>
        <v>67.415595687397598</v>
      </c>
      <c r="H51" s="133">
        <f t="shared" si="18"/>
        <v>32</v>
      </c>
      <c r="I51" s="133">
        <f t="shared" si="19"/>
        <v>38</v>
      </c>
      <c r="J51" s="130">
        <f t="shared" si="10"/>
        <v>1.9971546990242908</v>
      </c>
      <c r="K51" s="132">
        <f t="shared" si="11"/>
        <v>0.14406545742628685</v>
      </c>
      <c r="L51" s="131">
        <f t="shared" si="1"/>
        <v>2.1412201564505775</v>
      </c>
      <c r="M51" s="126"/>
      <c r="N51" s="118"/>
    </row>
    <row r="52" spans="1:14" x14ac:dyDescent="0.25">
      <c r="A52" s="127">
        <v>35</v>
      </c>
      <c r="B52" s="136">
        <v>7</v>
      </c>
      <c r="C52" s="75">
        <v>0.01</v>
      </c>
      <c r="D52" s="137">
        <f t="shared" si="3"/>
        <v>0.01</v>
      </c>
      <c r="E52" s="138">
        <f t="shared" si="12"/>
        <v>12.409391043604408</v>
      </c>
      <c r="F52" s="139">
        <f t="shared" si="13"/>
        <v>10.392264797589874</v>
      </c>
      <c r="G52" s="140">
        <f t="shared" si="17"/>
        <v>67.415595687397598</v>
      </c>
      <c r="H52" s="141">
        <f t="shared" si="18"/>
        <v>33</v>
      </c>
      <c r="I52" s="141">
        <f t="shared" si="19"/>
        <v>38</v>
      </c>
      <c r="J52" s="138">
        <f t="shared" si="10"/>
        <v>2.0171262460145338</v>
      </c>
      <c r="K52" s="140">
        <f t="shared" si="11"/>
        <v>0.12409391043604392</v>
      </c>
      <c r="L52" s="139">
        <f t="shared" si="1"/>
        <v>2.1412201564505779</v>
      </c>
      <c r="M52" s="126"/>
      <c r="N52" s="118"/>
    </row>
    <row r="53" spans="1:14" x14ac:dyDescent="0.25">
      <c r="A53" s="119">
        <v>36</v>
      </c>
      <c r="B53" s="120">
        <v>8</v>
      </c>
      <c r="C53" s="73">
        <v>0.01</v>
      </c>
      <c r="D53" s="121">
        <f t="shared" si="3"/>
        <v>0.01</v>
      </c>
      <c r="E53" s="122">
        <f t="shared" si="12"/>
        <v>10.392264797589874</v>
      </c>
      <c r="F53" s="123">
        <f t="shared" si="13"/>
        <v>8.3549672891151943</v>
      </c>
      <c r="G53" s="124">
        <f t="shared" si="17"/>
        <v>67.415595687397598</v>
      </c>
      <c r="H53" s="125">
        <f t="shared" si="18"/>
        <v>34</v>
      </c>
      <c r="I53" s="125">
        <f t="shared" si="19"/>
        <v>38</v>
      </c>
      <c r="J53" s="122">
        <f t="shared" si="10"/>
        <v>2.0372975084746794</v>
      </c>
      <c r="K53" s="124">
        <f t="shared" si="11"/>
        <v>0.10392264797589858</v>
      </c>
      <c r="L53" s="123">
        <f t="shared" si="1"/>
        <v>2.1412201564505779</v>
      </c>
      <c r="M53" s="126"/>
      <c r="N53" s="118"/>
    </row>
    <row r="54" spans="1:14" x14ac:dyDescent="0.25">
      <c r="A54" s="127">
        <v>37</v>
      </c>
      <c r="B54" s="128">
        <v>8</v>
      </c>
      <c r="C54" s="74">
        <v>0.01</v>
      </c>
      <c r="D54" s="129">
        <f t="shared" si="3"/>
        <v>0.01</v>
      </c>
      <c r="E54" s="130">
        <f t="shared" si="12"/>
        <v>8.3549672891151943</v>
      </c>
      <c r="F54" s="131">
        <f t="shared" si="13"/>
        <v>6.2972968055557681</v>
      </c>
      <c r="G54" s="132">
        <f t="shared" si="17"/>
        <v>67.415595687397598</v>
      </c>
      <c r="H54" s="133">
        <f t="shared" si="18"/>
        <v>35</v>
      </c>
      <c r="I54" s="133">
        <f t="shared" si="19"/>
        <v>38</v>
      </c>
      <c r="J54" s="130">
        <f t="shared" si="10"/>
        <v>2.0576704835594262</v>
      </c>
      <c r="K54" s="132">
        <f t="shared" si="11"/>
        <v>8.3549672891151783E-2</v>
      </c>
      <c r="L54" s="131">
        <f t="shared" si="1"/>
        <v>2.1412201564505779</v>
      </c>
      <c r="M54" s="126"/>
      <c r="N54" s="118"/>
    </row>
    <row r="55" spans="1:14" x14ac:dyDescent="0.25">
      <c r="A55" s="127">
        <v>38</v>
      </c>
      <c r="B55" s="128">
        <v>8</v>
      </c>
      <c r="C55" s="74">
        <v>0.01</v>
      </c>
      <c r="D55" s="129">
        <f t="shared" si="3"/>
        <v>0.01</v>
      </c>
      <c r="E55" s="130">
        <f t="shared" si="12"/>
        <v>6.2972968055557681</v>
      </c>
      <c r="F55" s="131">
        <f t="shared" si="13"/>
        <v>4.2190496171607474</v>
      </c>
      <c r="G55" s="132">
        <f t="shared" si="17"/>
        <v>67.415595687397598</v>
      </c>
      <c r="H55" s="133">
        <f t="shared" si="18"/>
        <v>36</v>
      </c>
      <c r="I55" s="133">
        <f t="shared" si="19"/>
        <v>38</v>
      </c>
      <c r="J55" s="130">
        <f t="shared" si="10"/>
        <v>2.0782471883950202</v>
      </c>
      <c r="K55" s="132">
        <f t="shared" si="11"/>
        <v>6.2972968055557521E-2</v>
      </c>
      <c r="L55" s="131">
        <f t="shared" si="1"/>
        <v>2.1412201564505775</v>
      </c>
      <c r="M55" s="126"/>
      <c r="N55" s="118"/>
    </row>
    <row r="56" spans="1:14" x14ac:dyDescent="0.25">
      <c r="A56" s="127">
        <v>39</v>
      </c>
      <c r="B56" s="128">
        <v>8</v>
      </c>
      <c r="C56" s="74">
        <v>0.01</v>
      </c>
      <c r="D56" s="129">
        <f t="shared" si="3"/>
        <v>0.01</v>
      </c>
      <c r="E56" s="130">
        <f t="shared" si="12"/>
        <v>4.2190496171607474</v>
      </c>
      <c r="F56" s="131">
        <f t="shared" si="13"/>
        <v>2.120019956881777</v>
      </c>
      <c r="G56" s="132">
        <f t="shared" si="17"/>
        <v>67.415595687397598</v>
      </c>
      <c r="H56" s="133">
        <f t="shared" si="18"/>
        <v>37</v>
      </c>
      <c r="I56" s="133">
        <f t="shared" si="19"/>
        <v>38</v>
      </c>
      <c r="J56" s="130">
        <f t="shared" si="10"/>
        <v>2.0990296602789704</v>
      </c>
      <c r="K56" s="132">
        <f t="shared" si="11"/>
        <v>4.2190496171607313E-2</v>
      </c>
      <c r="L56" s="131">
        <f t="shared" si="1"/>
        <v>2.1412201564505779</v>
      </c>
      <c r="M56" s="126"/>
      <c r="N56" s="118"/>
    </row>
    <row r="57" spans="1:14" x14ac:dyDescent="0.25">
      <c r="A57" s="135">
        <v>40</v>
      </c>
      <c r="B57" s="136">
        <v>8</v>
      </c>
      <c r="C57" s="75">
        <v>0.01</v>
      </c>
      <c r="D57" s="137">
        <f t="shared" si="3"/>
        <v>0.01</v>
      </c>
      <c r="E57" s="138">
        <f t="shared" si="12"/>
        <v>2.120019956881777</v>
      </c>
      <c r="F57" s="139">
        <f t="shared" si="13"/>
        <v>1.6431300764452317E-14</v>
      </c>
      <c r="G57" s="140">
        <f t="shared" si="17"/>
        <v>67.415595687397598</v>
      </c>
      <c r="H57" s="141">
        <f t="shared" si="18"/>
        <v>38</v>
      </c>
      <c r="I57" s="141">
        <f t="shared" si="19"/>
        <v>38</v>
      </c>
      <c r="J57" s="138">
        <f t="shared" si="10"/>
        <v>2.1200199568817606</v>
      </c>
      <c r="K57" s="140">
        <f t="shared" si="11"/>
        <v>2.1200199568817607E-2</v>
      </c>
      <c r="L57" s="139">
        <f t="shared" si="1"/>
        <v>2.1412201564505784</v>
      </c>
      <c r="M57" s="126"/>
      <c r="N57" s="118"/>
    </row>
    <row r="58" spans="1:14" x14ac:dyDescent="0.25">
      <c r="A58" s="81"/>
      <c r="B58" s="81"/>
      <c r="C58" s="81"/>
      <c r="D58" s="81"/>
      <c r="E58" s="142"/>
      <c r="F58" s="142"/>
      <c r="G58" s="142"/>
      <c r="H58" s="83"/>
      <c r="I58" s="83"/>
      <c r="J58" s="142"/>
      <c r="K58" s="142"/>
      <c r="L58" s="142"/>
      <c r="M58" s="126"/>
      <c r="N58" s="118"/>
    </row>
    <row r="59" spans="1:14" x14ac:dyDescent="0.25">
      <c r="A59" s="81"/>
      <c r="B59" s="81"/>
      <c r="C59" s="81"/>
      <c r="D59" s="81"/>
      <c r="E59" s="142"/>
      <c r="F59" s="142"/>
      <c r="G59" s="142"/>
      <c r="H59" s="83"/>
      <c r="I59" s="143" t="s">
        <v>5</v>
      </c>
      <c r="J59" s="144">
        <f>SUM(J18:J58)</f>
        <v>69.113234741856061</v>
      </c>
      <c r="K59" s="145">
        <f>SUM(K18:K58)</f>
        <v>18.63583335590662</v>
      </c>
      <c r="L59" s="146">
        <f>SUM(L18:L57)</f>
        <v>87.749068097762631</v>
      </c>
      <c r="M59" s="126"/>
      <c r="N59" s="118"/>
    </row>
    <row r="60" spans="1:14" x14ac:dyDescent="0.25">
      <c r="A60" s="81"/>
      <c r="B60" s="81"/>
      <c r="C60" s="81"/>
      <c r="D60" s="81"/>
      <c r="E60" s="142"/>
      <c r="F60" s="82"/>
      <c r="G60" s="82"/>
      <c r="H60" s="83"/>
      <c r="I60" s="83"/>
      <c r="J60" s="147"/>
      <c r="K60" s="82"/>
      <c r="L60" s="82"/>
      <c r="M60" s="126"/>
      <c r="N60" s="118"/>
    </row>
    <row r="61" spans="1:14" x14ac:dyDescent="0.25">
      <c r="A61" s="81"/>
      <c r="B61" s="81"/>
      <c r="C61" s="81"/>
      <c r="D61" s="81"/>
      <c r="E61" s="82"/>
      <c r="F61" s="82"/>
      <c r="G61" s="82"/>
      <c r="H61" s="83"/>
      <c r="I61" s="83"/>
      <c r="J61" s="82"/>
      <c r="K61" s="82"/>
      <c r="L61" s="82"/>
      <c r="M61" s="126"/>
      <c r="N61" s="118"/>
    </row>
    <row r="62" spans="1:14" ht="15.75" x14ac:dyDescent="0.25">
      <c r="A62" s="81"/>
      <c r="B62" s="81"/>
      <c r="C62" s="81"/>
      <c r="D62" s="81"/>
      <c r="E62" s="82"/>
      <c r="F62" s="82"/>
      <c r="G62" s="82"/>
      <c r="H62" s="83"/>
      <c r="I62" s="148" t="s">
        <v>41</v>
      </c>
      <c r="J62" s="77"/>
      <c r="K62" s="79"/>
      <c r="L62" s="149">
        <f>NPV(J12,L18:L57)</f>
        <v>47.720839027816723</v>
      </c>
      <c r="M62" s="126"/>
      <c r="N62" s="118"/>
    </row>
    <row r="63" spans="1:14" x14ac:dyDescent="0.25">
      <c r="A63" s="81"/>
      <c r="B63" s="81"/>
      <c r="C63" s="81"/>
      <c r="D63" s="81"/>
      <c r="E63" s="82"/>
      <c r="F63" s="82"/>
      <c r="G63" s="82"/>
      <c r="H63" s="83"/>
      <c r="I63" s="150" t="s">
        <v>42</v>
      </c>
      <c r="J63" s="151"/>
      <c r="K63" s="152"/>
      <c r="L63" s="82"/>
      <c r="M63" s="126"/>
      <c r="N63" s="118"/>
    </row>
    <row r="64" spans="1:14" x14ac:dyDescent="0.25">
      <c r="A64" s="81"/>
      <c r="B64" s="82"/>
      <c r="C64" s="82"/>
      <c r="D64" s="82"/>
      <c r="E64" s="82"/>
      <c r="F64" s="82"/>
      <c r="G64" s="82"/>
      <c r="H64" s="83"/>
      <c r="I64" s="83"/>
      <c r="J64" s="82"/>
      <c r="K64" s="82"/>
      <c r="L64" s="82"/>
      <c r="M64" s="126"/>
      <c r="N64" s="118"/>
    </row>
    <row r="65" spans="1:14" x14ac:dyDescent="0.25">
      <c r="A65" s="81"/>
      <c r="B65" s="82"/>
      <c r="C65" s="82"/>
      <c r="D65" s="82"/>
      <c r="E65" s="82"/>
      <c r="F65" s="82"/>
      <c r="G65" s="82"/>
      <c r="H65" s="83"/>
      <c r="I65" s="83"/>
      <c r="J65" s="82"/>
      <c r="K65" s="82"/>
      <c r="L65" s="82"/>
      <c r="M65" s="126"/>
      <c r="N65" s="118"/>
    </row>
    <row r="66" spans="1:14" x14ac:dyDescent="0.25">
      <c r="A66" s="153"/>
      <c r="B66" s="151"/>
      <c r="C66" s="151"/>
      <c r="D66" s="151"/>
      <c r="E66" s="151"/>
      <c r="F66" s="151"/>
      <c r="G66" s="151"/>
      <c r="H66" s="154"/>
      <c r="I66" s="154"/>
      <c r="J66" s="151"/>
      <c r="K66" s="151"/>
      <c r="L66" s="151"/>
      <c r="M66" s="155"/>
      <c r="N66" s="118"/>
    </row>
    <row r="67" spans="1:14" x14ac:dyDescent="0.25">
      <c r="L67" s="159"/>
      <c r="M67" s="160"/>
      <c r="N67" s="161"/>
    </row>
    <row r="68" spans="1:14" x14ac:dyDescent="0.25">
      <c r="L68" s="159"/>
      <c r="M68" s="160"/>
      <c r="N68" s="161"/>
    </row>
  </sheetData>
  <sheetProtection password="C6BE" sheet="1" objects="1" scenarios="1"/>
  <pageMargins left="0.25" right="0.25" top="0.75" bottom="0.75" header="0.3" footer="0.3"/>
  <pageSetup paperSize="8" scale="84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A2"/>
  <sheetViews>
    <sheetView zoomScaleNormal="100" workbookViewId="0"/>
  </sheetViews>
  <sheetFormatPr defaultRowHeight="15" x14ac:dyDescent="0.25"/>
  <cols>
    <col min="1" max="16384" width="9.140625" style="163"/>
  </cols>
  <sheetData>
    <row r="1" spans="1:1" x14ac:dyDescent="0.25">
      <c r="A1" s="162"/>
    </row>
    <row r="2" spans="1:1" ht="28.5" x14ac:dyDescent="0.45">
      <c r="A2" s="202" t="s">
        <v>53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P13"/>
  <sheetViews>
    <sheetView showGridLines="0" view="pageBreakPreview" zoomScale="70" zoomScaleNormal="85" zoomScaleSheetLayoutView="70" workbookViewId="0"/>
  </sheetViews>
  <sheetFormatPr defaultRowHeight="15" x14ac:dyDescent="0.25"/>
  <cols>
    <col min="1" max="1" width="29.85546875" customWidth="1"/>
    <col min="2" max="2" width="28.85546875" style="173" customWidth="1"/>
    <col min="3" max="3" width="13" style="173" bestFit="1" customWidth="1"/>
    <col min="4" max="4" width="14.42578125" style="173" bestFit="1" customWidth="1"/>
    <col min="5" max="5" width="14.85546875" style="173" bestFit="1" customWidth="1"/>
    <col min="6" max="6" width="14.42578125" style="173" bestFit="1" customWidth="1"/>
    <col min="7" max="7" width="14.85546875" style="173" bestFit="1" customWidth="1"/>
    <col min="8" max="8" width="14.42578125" style="173" bestFit="1" customWidth="1"/>
    <col min="9" max="9" width="14.85546875" style="173" bestFit="1" customWidth="1"/>
    <col min="10" max="13" width="14.42578125" style="173" bestFit="1" customWidth="1"/>
    <col min="14" max="17" width="14.85546875" style="173" bestFit="1" customWidth="1"/>
    <col min="18" max="18" width="14.42578125" style="173" bestFit="1" customWidth="1"/>
    <col min="19" max="20" width="14" style="173" bestFit="1" customWidth="1"/>
    <col min="21" max="23" width="14.85546875" style="173" bestFit="1" customWidth="1"/>
    <col min="24" max="25" width="14.42578125" style="173" bestFit="1" customWidth="1"/>
    <col min="26" max="27" width="14.85546875" style="173" bestFit="1" customWidth="1"/>
    <col min="28" max="29" width="14.42578125" style="173" bestFit="1" customWidth="1"/>
    <col min="30" max="30" width="14.85546875" style="173" bestFit="1" customWidth="1"/>
    <col min="31" max="31" width="13.5703125" style="173" bestFit="1" customWidth="1"/>
    <col min="32" max="33" width="14.42578125" style="173" bestFit="1" customWidth="1"/>
    <col min="34" max="34" width="14.85546875" style="173" bestFit="1" customWidth="1"/>
    <col min="35" max="35" width="14.42578125" style="173" bestFit="1" customWidth="1"/>
    <col min="36" max="39" width="14.85546875" style="173" bestFit="1" customWidth="1"/>
    <col min="40" max="42" width="14.42578125" style="173" bestFit="1" customWidth="1"/>
    <col min="43" max="16384" width="9.140625" style="173"/>
  </cols>
  <sheetData>
    <row r="1" spans="1:42" customFormat="1" ht="18.75" x14ac:dyDescent="0.3">
      <c r="A1" s="164" t="s">
        <v>59</v>
      </c>
    </row>
    <row r="2" spans="1:42" customFormat="1" x14ac:dyDescent="0.25">
      <c r="A2" s="174" t="s">
        <v>63</v>
      </c>
    </row>
    <row r="3" spans="1:42" customFormat="1" x14ac:dyDescent="0.25">
      <c r="B3" s="165" t="s">
        <v>6</v>
      </c>
      <c r="C3" s="166">
        <v>1</v>
      </c>
      <c r="D3" s="166">
        <v>2</v>
      </c>
      <c r="E3" s="166">
        <v>3</v>
      </c>
      <c r="F3" s="166">
        <v>4</v>
      </c>
      <c r="G3" s="166">
        <v>5</v>
      </c>
      <c r="H3" s="166">
        <v>6</v>
      </c>
      <c r="I3" s="166">
        <v>7</v>
      </c>
      <c r="J3" s="166">
        <v>8</v>
      </c>
      <c r="K3" s="166">
        <v>9</v>
      </c>
      <c r="L3" s="166">
        <v>10</v>
      </c>
      <c r="M3" s="166">
        <v>11</v>
      </c>
      <c r="N3" s="166">
        <v>12</v>
      </c>
      <c r="O3" s="166">
        <v>13</v>
      </c>
      <c r="P3" s="166">
        <v>14</v>
      </c>
      <c r="Q3" s="166">
        <v>15</v>
      </c>
      <c r="R3" s="166">
        <v>16</v>
      </c>
      <c r="S3" s="166">
        <v>17</v>
      </c>
      <c r="T3" s="166">
        <v>18</v>
      </c>
      <c r="U3" s="166">
        <v>19</v>
      </c>
      <c r="V3" s="166">
        <v>20</v>
      </c>
      <c r="W3" s="166">
        <v>21</v>
      </c>
      <c r="X3" s="166">
        <v>22</v>
      </c>
      <c r="Y3" s="166">
        <v>23</v>
      </c>
      <c r="Z3" s="166">
        <v>24</v>
      </c>
      <c r="AA3" s="166">
        <v>25</v>
      </c>
      <c r="AB3" s="166">
        <v>26</v>
      </c>
      <c r="AC3" s="166">
        <v>27</v>
      </c>
      <c r="AD3" s="166">
        <v>28</v>
      </c>
      <c r="AE3" s="166">
        <v>29</v>
      </c>
      <c r="AF3" s="166">
        <v>30</v>
      </c>
      <c r="AG3" s="166">
        <v>31</v>
      </c>
      <c r="AH3" s="166">
        <v>32</v>
      </c>
      <c r="AI3" s="166">
        <v>33</v>
      </c>
      <c r="AJ3" s="166">
        <v>34</v>
      </c>
      <c r="AK3" s="166">
        <v>35</v>
      </c>
      <c r="AL3" s="166">
        <v>36</v>
      </c>
      <c r="AM3" s="166">
        <v>37</v>
      </c>
      <c r="AN3" s="166">
        <v>38</v>
      </c>
      <c r="AO3" s="166">
        <v>39</v>
      </c>
      <c r="AP3" s="166">
        <v>40</v>
      </c>
    </row>
    <row r="4" spans="1:42" customFormat="1" x14ac:dyDescent="0.25"/>
    <row r="5" spans="1:42" customFormat="1" x14ac:dyDescent="0.25">
      <c r="B5" s="169"/>
    </row>
    <row r="6" spans="1:42" customFormat="1" x14ac:dyDescent="0.25">
      <c r="A6" s="167" t="s">
        <v>54</v>
      </c>
      <c r="B6" s="169" t="s">
        <v>55</v>
      </c>
      <c r="C6" s="168">
        <v>0</v>
      </c>
      <c r="D6" s="168">
        <v>594395.21481142798</v>
      </c>
      <c r="E6" s="168">
        <v>1588693.5247772725</v>
      </c>
      <c r="F6" s="168">
        <v>2287397.9342889609</v>
      </c>
      <c r="G6" s="168">
        <v>2881895.5133738923</v>
      </c>
      <c r="H6" s="168">
        <v>3471547.8501796494</v>
      </c>
      <c r="I6" s="168">
        <v>4025031.4770141025</v>
      </c>
      <c r="J6" s="168">
        <v>4546304.4791193949</v>
      </c>
      <c r="K6" s="168">
        <v>5070000.1023642737</v>
      </c>
      <c r="L6" s="168">
        <v>5593695.7256091526</v>
      </c>
      <c r="M6" s="168">
        <v>6117357.2274295315</v>
      </c>
      <c r="N6" s="168">
        <v>6679439.4532382945</v>
      </c>
      <c r="O6" s="168">
        <v>7279908.2816109415</v>
      </c>
      <c r="P6" s="168">
        <v>7880411.2314080894</v>
      </c>
      <c r="Q6" s="168">
        <v>8480880.0597807355</v>
      </c>
      <c r="R6" s="168">
        <v>9081348.8881533835</v>
      </c>
      <c r="S6" s="168">
        <v>9381583.3023397066</v>
      </c>
      <c r="T6" s="168">
        <v>9982086.2521368545</v>
      </c>
      <c r="U6" s="168">
        <v>10882789.494695826</v>
      </c>
      <c r="V6" s="168">
        <v>11483292.444492973</v>
      </c>
      <c r="W6" s="168">
        <v>12083761.27286562</v>
      </c>
      <c r="X6" s="168">
        <v>12620627.765967974</v>
      </c>
      <c r="Y6" s="168">
        <v>13093926.045224536</v>
      </c>
      <c r="Z6" s="168">
        <v>13567190.203056598</v>
      </c>
      <c r="AA6" s="168">
        <v>14040488.48231316</v>
      </c>
      <c r="AB6" s="168">
        <v>14513752.640145222</v>
      </c>
      <c r="AC6" s="168">
        <v>14987050.919401783</v>
      </c>
      <c r="AD6" s="168">
        <v>15460315.077233845</v>
      </c>
      <c r="AE6" s="168">
        <v>15933613.356490407</v>
      </c>
      <c r="AF6" s="168">
        <v>16406877.514322469</v>
      </c>
      <c r="AG6" s="168">
        <v>16880175.793579031</v>
      </c>
      <c r="AH6" s="168">
        <v>17170787.966056008</v>
      </c>
      <c r="AI6" s="168">
        <v>17278816.396026902</v>
      </c>
      <c r="AJ6" s="168">
        <v>17386810.704573296</v>
      </c>
      <c r="AK6" s="168">
        <v>17494805.01311969</v>
      </c>
      <c r="AL6" s="168">
        <v>17602799.321666081</v>
      </c>
      <c r="AM6" s="168">
        <v>17710793.630212475</v>
      </c>
      <c r="AN6" s="168">
        <v>17818787.938758869</v>
      </c>
      <c r="AO6" s="168">
        <v>17926816.368729766</v>
      </c>
      <c r="AP6" s="168">
        <v>18034810.677276157</v>
      </c>
    </row>
    <row r="7" spans="1:42" customFormat="1" x14ac:dyDescent="0.25">
      <c r="A7" s="174"/>
      <c r="B7" s="169" t="s">
        <v>56</v>
      </c>
      <c r="C7" s="168">
        <v>5307314.6097703287</v>
      </c>
      <c r="D7" s="168">
        <v>16778000.690788239</v>
      </c>
      <c r="E7" s="168">
        <v>23071281.759812471</v>
      </c>
      <c r="F7" s="168">
        <v>23745750.623227816</v>
      </c>
      <c r="G7" s="168">
        <v>24018064.377471671</v>
      </c>
      <c r="H7" s="168">
        <v>24290378.131715525</v>
      </c>
      <c r="I7" s="168">
        <v>24562657.764534872</v>
      </c>
      <c r="J7" s="168">
        <v>24834971.518778726</v>
      </c>
      <c r="K7" s="168">
        <v>25107285.273022581</v>
      </c>
      <c r="L7" s="168">
        <v>25379564.905841928</v>
      </c>
      <c r="M7" s="168">
        <v>25379564.905841928</v>
      </c>
      <c r="N7" s="168">
        <v>25379564.905841928</v>
      </c>
      <c r="O7" s="168">
        <v>25379564.905841928</v>
      </c>
      <c r="P7" s="168">
        <v>25379564.905841928</v>
      </c>
      <c r="Q7" s="168">
        <v>25379564.905841928</v>
      </c>
      <c r="R7" s="168">
        <v>25379564.905841928</v>
      </c>
      <c r="S7" s="168">
        <v>25379564.905841928</v>
      </c>
      <c r="T7" s="168">
        <v>25379564.905841928</v>
      </c>
      <c r="U7" s="168">
        <v>25379564.905841928</v>
      </c>
      <c r="V7" s="168">
        <v>25379564.905841928</v>
      </c>
      <c r="W7" s="168">
        <v>25379564.905841928</v>
      </c>
      <c r="X7" s="168">
        <v>25379564.905841928</v>
      </c>
      <c r="Y7" s="168">
        <v>25379564.905841928</v>
      </c>
      <c r="Z7" s="168">
        <v>25379564.905841928</v>
      </c>
      <c r="AA7" s="168">
        <v>25379564.905841928</v>
      </c>
      <c r="AB7" s="168">
        <v>25379564.905841928</v>
      </c>
      <c r="AC7" s="168">
        <v>25379564.905841928</v>
      </c>
      <c r="AD7" s="168">
        <v>25379564.905841928</v>
      </c>
      <c r="AE7" s="168">
        <v>25379564.905841928</v>
      </c>
      <c r="AF7" s="168">
        <v>25379564.905841928</v>
      </c>
      <c r="AG7" s="168">
        <v>25379564.905841928</v>
      </c>
      <c r="AH7" s="168">
        <v>25379564.905841928</v>
      </c>
      <c r="AI7" s="168">
        <v>25379564.905841928</v>
      </c>
      <c r="AJ7" s="168">
        <v>25379564.905841928</v>
      </c>
      <c r="AK7" s="168">
        <v>25379564.905841928</v>
      </c>
      <c r="AL7" s="168">
        <v>25379564.905841928</v>
      </c>
      <c r="AM7" s="168">
        <v>25379564.905841928</v>
      </c>
      <c r="AN7" s="168">
        <v>25379564.905841928</v>
      </c>
      <c r="AO7" s="168">
        <v>25379564.905841928</v>
      </c>
      <c r="AP7" s="168">
        <v>25379564.905841928</v>
      </c>
    </row>
    <row r="8" spans="1:42" customFormat="1" x14ac:dyDescent="0.25">
      <c r="B8" s="170" t="s">
        <v>5</v>
      </c>
      <c r="C8" s="171">
        <f>C6+C7</f>
        <v>5307314.6097703287</v>
      </c>
      <c r="D8" s="171">
        <f t="shared" ref="D8:AP8" si="0">D6+D7</f>
        <v>17372395.905599669</v>
      </c>
      <c r="E8" s="171">
        <f t="shared" si="0"/>
        <v>24659975.284589741</v>
      </c>
      <c r="F8" s="171">
        <f t="shared" si="0"/>
        <v>26033148.557516776</v>
      </c>
      <c r="G8" s="171">
        <f t="shared" si="0"/>
        <v>26899959.890845563</v>
      </c>
      <c r="H8" s="171">
        <f t="shared" si="0"/>
        <v>27761925.981895175</v>
      </c>
      <c r="I8" s="171">
        <f t="shared" si="0"/>
        <v>28587689.241548974</v>
      </c>
      <c r="J8" s="171">
        <f t="shared" si="0"/>
        <v>29381275.99789812</v>
      </c>
      <c r="K8" s="171">
        <f t="shared" si="0"/>
        <v>30177285.375386856</v>
      </c>
      <c r="L8" s="171">
        <f t="shared" si="0"/>
        <v>30973260.631451081</v>
      </c>
      <c r="M8" s="171">
        <f t="shared" si="0"/>
        <v>31496922.133271459</v>
      </c>
      <c r="N8" s="171">
        <f t="shared" si="0"/>
        <v>32059004.359080222</v>
      </c>
      <c r="O8" s="171">
        <f t="shared" si="0"/>
        <v>32659473.187452868</v>
      </c>
      <c r="P8" s="171">
        <f t="shared" si="0"/>
        <v>33259976.137250017</v>
      </c>
      <c r="Q8" s="171">
        <f t="shared" si="0"/>
        <v>33860444.965622663</v>
      </c>
      <c r="R8" s="171">
        <f t="shared" si="0"/>
        <v>34460913.793995313</v>
      </c>
      <c r="S8" s="171">
        <f t="shared" si="0"/>
        <v>34761148.208181635</v>
      </c>
      <c r="T8" s="171">
        <f t="shared" si="0"/>
        <v>35361651.157978781</v>
      </c>
      <c r="U8" s="171">
        <f t="shared" si="0"/>
        <v>36262354.400537752</v>
      </c>
      <c r="V8" s="171">
        <f t="shared" si="0"/>
        <v>36862857.350334898</v>
      </c>
      <c r="W8" s="171">
        <f t="shared" si="0"/>
        <v>37463326.178707547</v>
      </c>
      <c r="X8" s="171">
        <f t="shared" si="0"/>
        <v>38000192.671809904</v>
      </c>
      <c r="Y8" s="171">
        <f t="shared" si="0"/>
        <v>38473490.951066464</v>
      </c>
      <c r="Z8" s="171">
        <f t="shared" si="0"/>
        <v>38946755.108898528</v>
      </c>
      <c r="AA8" s="171">
        <f t="shared" si="0"/>
        <v>39420053.388155088</v>
      </c>
      <c r="AB8" s="171">
        <f t="shared" si="0"/>
        <v>39893317.545987152</v>
      </c>
      <c r="AC8" s="171">
        <f t="shared" si="0"/>
        <v>40366615.825243711</v>
      </c>
      <c r="AD8" s="171">
        <f t="shared" si="0"/>
        <v>40839879.983075775</v>
      </c>
      <c r="AE8" s="171">
        <f t="shared" si="0"/>
        <v>41313178.262332335</v>
      </c>
      <c r="AF8" s="171">
        <f t="shared" si="0"/>
        <v>41786442.420164399</v>
      </c>
      <c r="AG8" s="171">
        <f t="shared" si="0"/>
        <v>42259740.699420959</v>
      </c>
      <c r="AH8" s="171">
        <f t="shared" si="0"/>
        <v>42550352.871897936</v>
      </c>
      <c r="AI8" s="171">
        <f t="shared" si="0"/>
        <v>42658381.301868826</v>
      </c>
      <c r="AJ8" s="171">
        <f t="shared" si="0"/>
        <v>42766375.61041522</v>
      </c>
      <c r="AK8" s="171">
        <f t="shared" si="0"/>
        <v>42874369.918961614</v>
      </c>
      <c r="AL8" s="171">
        <f t="shared" si="0"/>
        <v>42982364.227508008</v>
      </c>
      <c r="AM8" s="171">
        <f t="shared" si="0"/>
        <v>43090358.536054403</v>
      </c>
      <c r="AN8" s="171">
        <f t="shared" si="0"/>
        <v>43198352.844600797</v>
      </c>
      <c r="AO8" s="171">
        <f t="shared" si="0"/>
        <v>43306381.274571694</v>
      </c>
      <c r="AP8" s="171">
        <f t="shared" si="0"/>
        <v>43414375.583118081</v>
      </c>
    </row>
    <row r="9" spans="1:42" customFormat="1" x14ac:dyDescent="0.25">
      <c r="B9" s="169"/>
    </row>
    <row r="10" spans="1:42" customFormat="1" x14ac:dyDescent="0.25">
      <c r="B10" s="169"/>
    </row>
    <row r="11" spans="1:42" customFormat="1" x14ac:dyDescent="0.25">
      <c r="A11" s="167" t="s">
        <v>57</v>
      </c>
      <c r="B11" s="169" t="s">
        <v>58</v>
      </c>
      <c r="C11" s="172">
        <f>VLOOKUP(C$3,'WACC &amp; NPV Calculations'!$A$17:$L$57,12,0)*1000000</f>
        <v>3191351.076320353</v>
      </c>
      <c r="D11" s="172">
        <f>VLOOKUP(D$3,'WACC &amp; NPV Calculations'!$A$17:$L$57,12,0)*1000000</f>
        <v>3191351.0763203534</v>
      </c>
      <c r="E11" s="172">
        <f>VLOOKUP(E$3,'WACC &amp; NPV Calculations'!$A$17:$L$57,12,0)*1000000</f>
        <v>2141220.1564505785</v>
      </c>
      <c r="F11" s="172">
        <f>VLOOKUP(F$3,'WACC &amp; NPV Calculations'!$A$17:$L$57,12,0)*1000000</f>
        <v>2141220.1564505785</v>
      </c>
      <c r="G11" s="172">
        <f>VLOOKUP(G$3,'WACC &amp; NPV Calculations'!$A$17:$L$57,12,0)*1000000</f>
        <v>2141220.156450578</v>
      </c>
      <c r="H11" s="172">
        <f>VLOOKUP(H$3,'WACC &amp; NPV Calculations'!$A$17:$L$57,12,0)*1000000</f>
        <v>2141220.156450578</v>
      </c>
      <c r="I11" s="172">
        <f>VLOOKUP(I$3,'WACC &amp; NPV Calculations'!$A$17:$L$57,12,0)*1000000</f>
        <v>2141220.156450578</v>
      </c>
      <c r="J11" s="172">
        <f>VLOOKUP(J$3,'WACC &amp; NPV Calculations'!$A$17:$L$57,12,0)*1000000</f>
        <v>2141220.156450578</v>
      </c>
      <c r="K11" s="172">
        <f>VLOOKUP(K$3,'WACC &amp; NPV Calculations'!$A$17:$L$57,12,0)*1000000</f>
        <v>2141220.156450578</v>
      </c>
      <c r="L11" s="172">
        <f>VLOOKUP(L$3,'WACC &amp; NPV Calculations'!$A$17:$L$57,12,0)*1000000</f>
        <v>2141220.1564505775</v>
      </c>
      <c r="M11" s="172">
        <f>VLOOKUP(M$3,'WACC &amp; NPV Calculations'!$A$17:$L$57,12,0)*1000000</f>
        <v>2141220.156450578</v>
      </c>
      <c r="N11" s="172">
        <f>VLOOKUP(N$3,'WACC &amp; NPV Calculations'!$A$17:$L$57,12,0)*1000000</f>
        <v>2141220.156450578</v>
      </c>
      <c r="O11" s="172">
        <f>VLOOKUP(O$3,'WACC &amp; NPV Calculations'!$A$17:$L$57,12,0)*1000000</f>
        <v>2141220.156450578</v>
      </c>
      <c r="P11" s="172">
        <f>VLOOKUP(P$3,'WACC &amp; NPV Calculations'!$A$17:$L$57,12,0)*1000000</f>
        <v>2141220.156450578</v>
      </c>
      <c r="Q11" s="172">
        <f>VLOOKUP(Q$3,'WACC &amp; NPV Calculations'!$A$17:$L$57,12,0)*1000000</f>
        <v>2141220.156450578</v>
      </c>
      <c r="R11" s="172">
        <f>VLOOKUP(R$3,'WACC &amp; NPV Calculations'!$A$17:$L$57,12,0)*1000000</f>
        <v>2141220.1564505785</v>
      </c>
      <c r="S11" s="172">
        <f>VLOOKUP(S$3,'WACC &amp; NPV Calculations'!$A$17:$L$57,12,0)*1000000</f>
        <v>2141220.156450578</v>
      </c>
      <c r="T11" s="172">
        <f>VLOOKUP(T$3,'WACC &amp; NPV Calculations'!$A$17:$L$57,12,0)*1000000</f>
        <v>2141220.156450578</v>
      </c>
      <c r="U11" s="172">
        <f>VLOOKUP(U$3,'WACC &amp; NPV Calculations'!$A$17:$L$57,12,0)*1000000</f>
        <v>2141220.156450578</v>
      </c>
      <c r="V11" s="172">
        <f>VLOOKUP(V$3,'WACC &amp; NPV Calculations'!$A$17:$L$57,12,0)*1000000</f>
        <v>2141220.1564505785</v>
      </c>
      <c r="W11" s="172">
        <f>VLOOKUP(W$3,'WACC &amp; NPV Calculations'!$A$17:$L$57,12,0)*1000000</f>
        <v>2141220.156450578</v>
      </c>
      <c r="X11" s="172">
        <f>VLOOKUP(X$3,'WACC &amp; NPV Calculations'!$A$17:$L$57,12,0)*1000000</f>
        <v>2141220.1564505775</v>
      </c>
      <c r="Y11" s="172">
        <f>VLOOKUP(Y$3,'WACC &amp; NPV Calculations'!$A$17:$L$57,12,0)*1000000</f>
        <v>2141220.156450578</v>
      </c>
      <c r="Z11" s="172">
        <f>VLOOKUP(Z$3,'WACC &amp; NPV Calculations'!$A$17:$L$57,12,0)*1000000</f>
        <v>2141220.156450578</v>
      </c>
      <c r="AA11" s="172">
        <f>VLOOKUP(AA$3,'WACC &amp; NPV Calculations'!$A$17:$L$57,12,0)*1000000</f>
        <v>2141220.156450578</v>
      </c>
      <c r="AB11" s="172">
        <f>VLOOKUP(AB$3,'WACC &amp; NPV Calculations'!$A$17:$L$57,12,0)*1000000</f>
        <v>2141220.156450578</v>
      </c>
      <c r="AC11" s="172">
        <f>VLOOKUP(AC$3,'WACC &amp; NPV Calculations'!$A$17:$L$57,12,0)*1000000</f>
        <v>2141220.156450578</v>
      </c>
      <c r="AD11" s="172">
        <f>VLOOKUP(AD$3,'WACC &amp; NPV Calculations'!$A$17:$L$57,12,0)*1000000</f>
        <v>2141220.156450578</v>
      </c>
      <c r="AE11" s="172">
        <f>VLOOKUP(AE$3,'WACC &amp; NPV Calculations'!$A$17:$L$57,12,0)*1000000</f>
        <v>2141220.156450578</v>
      </c>
      <c r="AF11" s="172">
        <f>VLOOKUP(AF$3,'WACC &amp; NPV Calculations'!$A$17:$L$57,12,0)*1000000</f>
        <v>2141220.156450578</v>
      </c>
      <c r="AG11" s="172">
        <f>VLOOKUP(AG$3,'WACC &amp; NPV Calculations'!$A$17:$L$57,12,0)*1000000</f>
        <v>2141220.156450578</v>
      </c>
      <c r="AH11" s="172">
        <f>VLOOKUP(AH$3,'WACC &amp; NPV Calculations'!$A$17:$L$57,12,0)*1000000</f>
        <v>2141220.156450578</v>
      </c>
      <c r="AI11" s="172">
        <f>VLOOKUP(AI$3,'WACC &amp; NPV Calculations'!$A$17:$L$57,12,0)*1000000</f>
        <v>2141220.1564505775</v>
      </c>
      <c r="AJ11" s="172">
        <f>VLOOKUP(AJ$3,'WACC &amp; NPV Calculations'!$A$17:$L$57,12,0)*1000000</f>
        <v>2141220.1564505775</v>
      </c>
      <c r="AK11" s="172">
        <f>VLOOKUP(AK$3,'WACC &amp; NPV Calculations'!$A$17:$L$57,12,0)*1000000</f>
        <v>2141220.156450578</v>
      </c>
      <c r="AL11" s="172">
        <f>VLOOKUP(AL$3,'WACC &amp; NPV Calculations'!$A$17:$L$57,12,0)*1000000</f>
        <v>2141220.156450578</v>
      </c>
      <c r="AM11" s="172">
        <f>VLOOKUP(AM$3,'WACC &amp; NPV Calculations'!$A$17:$L$57,12,0)*1000000</f>
        <v>2141220.156450578</v>
      </c>
      <c r="AN11" s="172">
        <f>VLOOKUP(AN$3,'WACC &amp; NPV Calculations'!$A$17:$L$57,12,0)*1000000</f>
        <v>2141220.1564505775</v>
      </c>
      <c r="AO11" s="172">
        <f>VLOOKUP(AO$3,'WACC &amp; NPV Calculations'!$A$17:$L$57,12,0)*1000000</f>
        <v>2141220.156450578</v>
      </c>
      <c r="AP11" s="172">
        <f>VLOOKUP(AP$3,'WACC &amp; NPV Calculations'!$A$17:$L$57,12,0)*1000000</f>
        <v>2141220.1564505785</v>
      </c>
    </row>
    <row r="12" spans="1:42" customFormat="1" x14ac:dyDescent="0.25">
      <c r="A12" s="174"/>
      <c r="B12" s="169"/>
    </row>
    <row r="13" spans="1:42" customFormat="1" x14ac:dyDescent="0.25">
      <c r="B13" s="169"/>
    </row>
  </sheetData>
  <pageMargins left="0.23622047244094491" right="0.23622047244094491" top="0.74803149606299213" bottom="0.74803149606299213" header="0.31496062992125984" footer="0.31496062992125984"/>
  <pageSetup paperSize="8" scale="55" fitToWidth="0" orientation="landscape" r:id="rId1"/>
  <colBreaks count="2" manualBreakCount="2">
    <brk id="22" max="13" man="1"/>
    <brk id="42" max="1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P22"/>
  <sheetViews>
    <sheetView showGridLines="0" zoomScaleNormal="100" workbookViewId="0"/>
  </sheetViews>
  <sheetFormatPr defaultRowHeight="15" x14ac:dyDescent="0.25"/>
  <cols>
    <col min="1" max="1" width="27.42578125" customWidth="1"/>
    <col min="2" max="2" width="41.42578125" style="173" bestFit="1" customWidth="1"/>
    <col min="3" max="3" width="12.7109375" style="173" customWidth="1"/>
    <col min="4" max="4" width="13.85546875" style="173" bestFit="1" customWidth="1"/>
    <col min="5" max="7" width="12.5703125" style="173" bestFit="1" customWidth="1"/>
    <col min="8" max="8" width="11.5703125" style="173" bestFit="1" customWidth="1"/>
    <col min="9" max="12" width="12.5703125" style="173" bestFit="1" customWidth="1"/>
    <col min="13" max="13" width="11" style="173" customWidth="1"/>
    <col min="14" max="16" width="12.5703125" style="173" bestFit="1" customWidth="1"/>
    <col min="17" max="17" width="11.5703125" style="173" bestFit="1" customWidth="1"/>
    <col min="18" max="25" width="12.5703125" style="173" bestFit="1" customWidth="1"/>
    <col min="26" max="26" width="11.5703125" style="173" bestFit="1" customWidth="1"/>
    <col min="27" max="34" width="12.5703125" style="173" bestFit="1" customWidth="1"/>
    <col min="35" max="36" width="11.5703125" style="173" bestFit="1" customWidth="1"/>
    <col min="37" max="42" width="12.5703125" style="173" bestFit="1" customWidth="1"/>
    <col min="43" max="16384" width="9.140625" style="173"/>
  </cols>
  <sheetData>
    <row r="1" spans="1:42" customFormat="1" ht="18.75" x14ac:dyDescent="0.3">
      <c r="A1" s="164" t="s">
        <v>59</v>
      </c>
    </row>
    <row r="2" spans="1:42" customFormat="1" x14ac:dyDescent="0.25">
      <c r="A2" s="174" t="s">
        <v>65</v>
      </c>
    </row>
    <row r="3" spans="1:42" customFormat="1" x14ac:dyDescent="0.25"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</row>
    <row r="4" spans="1:42" customFormat="1" x14ac:dyDescent="0.25"/>
    <row r="5" spans="1:42" x14ac:dyDescent="0.25">
      <c r="A5" s="175" t="s">
        <v>60</v>
      </c>
      <c r="B5" s="179" t="s">
        <v>12</v>
      </c>
      <c r="C5" s="185" t="s">
        <v>13</v>
      </c>
      <c r="D5" s="187">
        <f>'Capital Expenditure'!C21*1000000</f>
        <v>14398000</v>
      </c>
    </row>
    <row r="6" spans="1:42" x14ac:dyDescent="0.25">
      <c r="A6" s="188" t="s">
        <v>61</v>
      </c>
      <c r="B6" s="182"/>
      <c r="C6" s="184" t="s">
        <v>14</v>
      </c>
      <c r="D6" s="191">
        <f>'Capital Expenditure'!C22*1000000</f>
        <v>49477000</v>
      </c>
    </row>
    <row r="7" spans="1:42" x14ac:dyDescent="0.25">
      <c r="A7" s="176"/>
      <c r="B7" s="182"/>
      <c r="C7" s="184" t="s">
        <v>15</v>
      </c>
      <c r="D7" s="191">
        <f>'Capital Expenditure'!C23*1000000</f>
        <v>16143999.999999998</v>
      </c>
    </row>
    <row r="8" spans="1:42" x14ac:dyDescent="0.25">
      <c r="A8" s="176"/>
      <c r="B8" s="182"/>
      <c r="C8" s="184" t="s">
        <v>16</v>
      </c>
      <c r="D8" s="192">
        <f>'Capital Expenditure'!C24*1000000</f>
        <v>5000000</v>
      </c>
    </row>
    <row r="9" spans="1:42" x14ac:dyDescent="0.25">
      <c r="A9" s="176"/>
      <c r="B9" s="182"/>
      <c r="C9" s="184" t="s">
        <v>17</v>
      </c>
      <c r="D9" s="191">
        <f>'Capital Expenditure'!C25*1000000</f>
        <v>2924000.0000000005</v>
      </c>
    </row>
    <row r="10" spans="1:42" x14ac:dyDescent="0.25">
      <c r="A10" s="176"/>
      <c r="B10" s="180"/>
      <c r="C10" s="186" t="s">
        <v>18</v>
      </c>
      <c r="D10" s="193">
        <f>'Capital Expenditure'!C26*1000000</f>
        <v>4099999.9999999995</v>
      </c>
    </row>
    <row r="11" spans="1:42" ht="15.75" thickBot="1" x14ac:dyDescent="0.3">
      <c r="A11" s="176"/>
      <c r="B11" s="180" t="s">
        <v>19</v>
      </c>
      <c r="C11" s="181"/>
      <c r="D11" s="201">
        <f>'Capital Expenditure'!C27*1000000</f>
        <v>4609000</v>
      </c>
    </row>
    <row r="12" spans="1:42" ht="15.75" thickTop="1" x14ac:dyDescent="0.25">
      <c r="A12" s="176"/>
      <c r="B12" s="182"/>
      <c r="C12" s="177"/>
      <c r="D12" s="183"/>
    </row>
    <row r="13" spans="1:42" x14ac:dyDescent="0.25">
      <c r="A13" s="176"/>
      <c r="B13" s="179"/>
      <c r="C13" s="199" t="s">
        <v>11</v>
      </c>
      <c r="D13" s="200">
        <f>'Capital Expenditure'!C30*1000000</f>
        <v>96652000</v>
      </c>
    </row>
    <row r="14" spans="1:42" x14ac:dyDescent="0.25">
      <c r="A14" s="176"/>
      <c r="B14" s="182"/>
      <c r="C14" s="184" t="s">
        <v>22</v>
      </c>
      <c r="D14" s="189">
        <f>'Capital Expenditure'!C31*1000000</f>
        <v>-32500000</v>
      </c>
    </row>
    <row r="15" spans="1:42" x14ac:dyDescent="0.25">
      <c r="A15" s="176"/>
      <c r="B15" s="182"/>
      <c r="C15" s="184" t="s">
        <v>44</v>
      </c>
      <c r="D15" s="190">
        <f>'Capital Expenditure'!C32*1000000</f>
        <v>617520</v>
      </c>
    </row>
    <row r="16" spans="1:42" x14ac:dyDescent="0.25">
      <c r="A16" s="176"/>
      <c r="B16" s="182"/>
      <c r="C16" s="184" t="s">
        <v>23</v>
      </c>
      <c r="D16" s="189">
        <f>'Capital Expenditure'!C33*1000000</f>
        <v>0</v>
      </c>
    </row>
    <row r="17" spans="1:4" x14ac:dyDescent="0.25">
      <c r="A17" s="176"/>
      <c r="B17" s="182"/>
      <c r="C17" s="184" t="s">
        <v>24</v>
      </c>
      <c r="D17" s="194">
        <f>'Capital Expenditure'!C34*1000000</f>
        <v>617000</v>
      </c>
    </row>
    <row r="18" spans="1:4" x14ac:dyDescent="0.25">
      <c r="A18" s="176"/>
      <c r="B18" s="182"/>
      <c r="C18" s="195" t="s">
        <v>25</v>
      </c>
      <c r="D18" s="196">
        <f>'Capital Expenditure'!C35*1000000</f>
        <v>65386520.000000007</v>
      </c>
    </row>
    <row r="19" spans="1:4" x14ac:dyDescent="0.25">
      <c r="A19" s="176"/>
      <c r="B19" s="182"/>
      <c r="C19" s="184" t="s">
        <v>29</v>
      </c>
      <c r="D19" s="190">
        <f>'Capital Expenditure'!C36*1000000</f>
        <v>3726714.7418560581</v>
      </c>
    </row>
    <row r="20" spans="1:4" x14ac:dyDescent="0.25">
      <c r="A20" s="176"/>
      <c r="B20" s="182"/>
      <c r="C20" s="184" t="s">
        <v>33</v>
      </c>
      <c r="D20" s="189">
        <f>'Capital Expenditure'!C37*1000000</f>
        <v>0</v>
      </c>
    </row>
    <row r="21" spans="1:4" x14ac:dyDescent="0.25">
      <c r="A21" s="178"/>
      <c r="B21" s="180"/>
      <c r="C21" s="197" t="s">
        <v>5</v>
      </c>
      <c r="D21" s="198">
        <f>'Capital Expenditure'!C38*1000000</f>
        <v>69113234.741856068</v>
      </c>
    </row>
    <row r="22" spans="1:4" x14ac:dyDescent="0.25">
      <c r="A22" s="176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P7"/>
  <sheetViews>
    <sheetView showGridLines="0" workbookViewId="0"/>
  </sheetViews>
  <sheetFormatPr defaultRowHeight="15" x14ac:dyDescent="0.25"/>
  <cols>
    <col min="1" max="1" width="27.42578125" customWidth="1"/>
    <col min="2" max="2" width="41.42578125" style="173" bestFit="1" customWidth="1"/>
    <col min="3" max="3" width="12.7109375" style="173" customWidth="1"/>
    <col min="4" max="4" width="13.85546875" style="173" bestFit="1" customWidth="1"/>
    <col min="5" max="7" width="12.5703125" style="173" bestFit="1" customWidth="1"/>
    <col min="8" max="8" width="11.5703125" style="173" bestFit="1" customWidth="1"/>
    <col min="9" max="12" width="12.5703125" style="173" bestFit="1" customWidth="1"/>
    <col min="13" max="13" width="11" style="173" customWidth="1"/>
    <col min="14" max="16" width="12.5703125" style="173" bestFit="1" customWidth="1"/>
    <col min="17" max="17" width="11.5703125" style="173" bestFit="1" customWidth="1"/>
    <col min="18" max="25" width="12.5703125" style="173" bestFit="1" customWidth="1"/>
    <col min="26" max="26" width="11.5703125" style="173" bestFit="1" customWidth="1"/>
    <col min="27" max="34" width="12.5703125" style="173" bestFit="1" customWidth="1"/>
    <col min="35" max="36" width="11.5703125" style="173" bestFit="1" customWidth="1"/>
    <col min="37" max="42" width="12.5703125" style="173" bestFit="1" customWidth="1"/>
    <col min="43" max="16384" width="9.140625" style="173"/>
  </cols>
  <sheetData>
    <row r="1" spans="1:42" customFormat="1" ht="18.75" x14ac:dyDescent="0.3">
      <c r="A1" s="164" t="s">
        <v>59</v>
      </c>
    </row>
    <row r="2" spans="1:42" customFormat="1" x14ac:dyDescent="0.25">
      <c r="A2" s="174" t="s">
        <v>64</v>
      </c>
    </row>
    <row r="3" spans="1:42" customFormat="1" x14ac:dyDescent="0.25">
      <c r="B3" s="165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</row>
    <row r="4" spans="1:42" x14ac:dyDescent="0.25">
      <c r="A4" s="176"/>
    </row>
    <row r="5" spans="1:42" x14ac:dyDescent="0.25">
      <c r="A5" s="167" t="s">
        <v>62</v>
      </c>
    </row>
    <row r="6" spans="1:42" x14ac:dyDescent="0.25">
      <c r="A6" s="176"/>
    </row>
    <row r="7" spans="1:42" x14ac:dyDescent="0.25">
      <c r="A7" s="176"/>
    </row>
  </sheetData>
  <pageMargins left="0.25" right="0.25" top="0.75" bottom="0.75" header="0.3" footer="0.3"/>
  <pageSetup paperSize="8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Capital Expenditure</vt:lpstr>
      <vt:lpstr>WACC &amp; NPV Calculations</vt:lpstr>
      <vt:lpstr>Development Plan &gt;&gt;&gt;&gt;&gt;</vt:lpstr>
      <vt:lpstr>Development Plan_1</vt:lpstr>
      <vt:lpstr>Development Plan_2</vt:lpstr>
      <vt:lpstr>Development Plan_3</vt:lpstr>
      <vt:lpstr>'Capital Expenditure'!Print_Area</vt:lpstr>
      <vt:lpstr>'Development Plan &gt;&gt;&gt;&gt;&gt;'!Print_Area</vt:lpstr>
      <vt:lpstr>'Development Plan_1'!Print_Area</vt:lpstr>
      <vt:lpstr>'Development Plan_2'!Print_Area</vt:lpstr>
      <vt:lpstr>'Development Plan_1'!Print_Titles</vt:lpstr>
    </vt:vector>
  </TitlesOfParts>
  <Company>IT Assist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Craig</dc:creator>
  <cp:lastModifiedBy>Niall.Martindale</cp:lastModifiedBy>
  <cp:lastPrinted>2014-05-02T13:44:33Z</cp:lastPrinted>
  <dcterms:created xsi:type="dcterms:W3CDTF">2013-11-13T11:53:15Z</dcterms:created>
  <dcterms:modified xsi:type="dcterms:W3CDTF">2014-05-02T15:08:31Z</dcterms:modified>
</cp:coreProperties>
</file>