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jpeg" ContentType="image/jpeg"/>
  <Default Extension="emf" ContentType="image/x-emf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870" windowWidth="12840" windowHeight="11145" tabRatio="873"/>
  </bookViews>
  <sheets>
    <sheet name="Inputs" sheetId="3" r:id="rId1"/>
    <sheet name="DAV" sheetId="4" r:id="rId2"/>
    <sheet name="GD17 Pi's Calc - 30 yrs" sheetId="6" state="hidden" r:id="rId3"/>
    <sheet name="GD17 Pi's Calc - 40 yrs" sheetId="8" r:id="rId4"/>
    <sheet name="FE Financeability" sheetId="17" r:id="rId5"/>
    <sheet name="Building Block Method" sheetId="18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b">#REF!</definedName>
    <definedName name="bn">#REF!</definedName>
    <definedName name="capex_red">#REF!</definedName>
    <definedName name="CapexOutturnFE">#REF!</definedName>
    <definedName name="CapexOutturnPNGL">#REF!</definedName>
    <definedName name="caseQ" localSheetId="1">#REF!</definedName>
    <definedName name="caseQ" localSheetId="2">#REF!</definedName>
    <definedName name="caseQ" localSheetId="0">#REF!</definedName>
    <definedName name="caseQ">#REF!</definedName>
    <definedName name="caseR" localSheetId="2">#REF!</definedName>
    <definedName name="caseR">#REF!</definedName>
    <definedName name="Choose">#REF!</definedName>
    <definedName name="connections_caseA" localSheetId="2">#REF!</definedName>
    <definedName name="connections_caseA">#REF!</definedName>
    <definedName name="Conv_Factor_Therms_to_kWh">'[1]Universal Data'!$C$49</definedName>
    <definedName name="costs_caseA" localSheetId="2">#REF!</definedName>
    <definedName name="costs_caseA">#REF!</definedName>
    <definedName name="DataIndexA">[2]controls!$B$2:$B$3</definedName>
    <definedName name="DataIndexQ">[2]controls!$A$2:$A$3</definedName>
    <definedName name="DataIndexR">[2]controls!$C$2:$C$3</definedName>
    <definedName name="DebtFE">'FE Financeability'!$AB$14</definedName>
    <definedName name="DebtPNGL">#REF!</definedName>
    <definedName name="DeprFE">#REF!</definedName>
    <definedName name="DeprPNGL">#REF!</definedName>
    <definedName name="df">'[3]TRV Bridge'!$N$2</definedName>
    <definedName name="ee">#REF!</definedName>
    <definedName name="er">#REF!</definedName>
    <definedName name="fb">#REF!</definedName>
    <definedName name="Fcol" localSheetId="2">#REF!</definedName>
    <definedName name="Fcol">#REF!</definedName>
    <definedName name="gghjkkj">'[4]Opening Values'!$N$4</definedName>
    <definedName name="GrowthScaleFE">#REF!</definedName>
    <definedName name="GrowthScalePNGL">#REF!</definedName>
    <definedName name="IntFE">'FE Financeability'!$AB$15</definedName>
    <definedName name="IntPNGL">#REF!</definedName>
    <definedName name="moneyoptions" localSheetId="2">#REF!</definedName>
    <definedName name="moneyoptions">#REF!</definedName>
    <definedName name="moneyoptions1" localSheetId="2">#REF!</definedName>
    <definedName name="moneyoptions1">#REF!</definedName>
    <definedName name="NewPeriodA" localSheetId="2">#REF!</definedName>
    <definedName name="NewPeriodA">#REF!</definedName>
    <definedName name="NewPeriodQ" localSheetId="2">#REF!</definedName>
    <definedName name="NewPeriodQ">#REF!</definedName>
    <definedName name="NewPeriodYear" localSheetId="2">#REF!</definedName>
    <definedName name="NewPeriodYear">#REF!</definedName>
    <definedName name="NextPeriodYear" localSheetId="2">#REF!</definedName>
    <definedName name="NextPeriodYear">#REF!</definedName>
    <definedName name="opex_red">#REF!</definedName>
    <definedName name="OpexOutturnFE">#REF!</definedName>
    <definedName name="OpexOutturnPNGL">#REF!</definedName>
    <definedName name="p">#REF!</definedName>
    <definedName name="PeriodEnd" localSheetId="2">#REF!</definedName>
    <definedName name="PeriodEnd">#REF!</definedName>
    <definedName name="_xlnm.Print_Area" localSheetId="1">#REF!</definedName>
    <definedName name="_xlnm.Print_Area" localSheetId="2">'GD17 Pi''s Calc - 30 yrs'!$A$1:$V$70</definedName>
    <definedName name="_xlnm.Print_Area" localSheetId="0">Inputs!$A$1:$AR$149</definedName>
    <definedName name="_xlnm.Print_Area">#REF!</definedName>
    <definedName name="_xlnm.Print_Titles" localSheetId="0">Inputs!$A:$C,Inputs!$3:$3</definedName>
    <definedName name="re">#REF!</definedName>
    <definedName name="Reporting_Year">'[5]Universal Data'!$A$8</definedName>
    <definedName name="rp">#REF!</definedName>
    <definedName name="rpi">'[6]Opening Values'!$F$5</definedName>
    <definedName name="rpi_00">#REF!</definedName>
    <definedName name="rpi_06">'[7]Opening Values'!$N$1</definedName>
    <definedName name="rpi_10">'[7]Opening Values'!$N$2</definedName>
    <definedName name="RPI_12" localSheetId="1">'[8]Pi''s Calc'!$A$1</definedName>
    <definedName name="RPI_12" localSheetId="2">'GD17 Pi''s Calc - 30 yrs'!$A$1</definedName>
    <definedName name="RPI_12" localSheetId="0">'[8]Pi''s Calc'!$A$1</definedName>
    <definedName name="RPI_12">'[9]Pi''s Calc'!$A$1</definedName>
    <definedName name="rpi_14">'[6]Opening Values'!$F$6</definedName>
    <definedName name="rpi_96">#REF!</definedName>
    <definedName name="rpi_f">#REF!</definedName>
    <definedName name="rpi_f10">#REF!</definedName>
    <definedName name="RPI06_" localSheetId="1">#REF!</definedName>
    <definedName name="RPI06_" localSheetId="2">#REF!</definedName>
    <definedName name="RPI06_" localSheetId="0">#REF!</definedName>
    <definedName name="RPI06_">#REF!</definedName>
    <definedName name="RPI06est" localSheetId="2">#REF!</definedName>
    <definedName name="RPI06est">#REF!</definedName>
    <definedName name="RPI10_" localSheetId="2">#REF!</definedName>
    <definedName name="RPI10_">#REF!</definedName>
    <definedName name="RPI11_" localSheetId="2">#REF!</definedName>
    <definedName name="RPI11_">#REF!</definedName>
    <definedName name="RPI96_" localSheetId="2">#REF!</definedName>
    <definedName name="RPI96_">#REF!</definedName>
    <definedName name="RPIbase" localSheetId="2">#REF!</definedName>
    <definedName name="RPIbase">#REF!</definedName>
    <definedName name="rpiQ" localSheetId="2">#REF!</definedName>
    <definedName name="rpiQ">#REF!</definedName>
    <definedName name="RPIsept" localSheetId="2">#REF!</definedName>
    <definedName name="RPIsept">#REF!</definedName>
    <definedName name="rr">#REF!</definedName>
    <definedName name="s">#REF!</definedName>
    <definedName name="t">#REF!</definedName>
    <definedName name="TaxYearFE">'FE Financeability'!$AB$16</definedName>
    <definedName name="TaxYearPNGL">#REF!</definedName>
    <definedName name="tma">#REF!</definedName>
    <definedName name="Unspent_remove">#REF!</definedName>
    <definedName name="Unspent_removeA">#REF!</definedName>
    <definedName name="Unspent_removeQ">#REF!</definedName>
    <definedName name="UnspentDepA">#REF!</definedName>
    <definedName name="UnspentDepQ">#REF!</definedName>
    <definedName name="UnspentPeriod">#REF!</definedName>
    <definedName name="UnspentPeriodA">#REF!</definedName>
    <definedName name="UnspentPeriodQ">#REF!</definedName>
    <definedName name="UnspentRoRA">#REF!</definedName>
    <definedName name="UnspentRoRQ">#REF!</definedName>
    <definedName name="vb">#REF!</definedName>
    <definedName name="vMax07">#N/A</definedName>
    <definedName name="vMin07">#N/A</definedName>
    <definedName name="ws">#REF!</definedName>
    <definedName name="yearQ" localSheetId="2">#REF!</definedName>
    <definedName name="yearQ">#REF!</definedName>
    <definedName name="yt">#REF!</definedName>
  </definedNames>
  <calcPr calcId="125725" calcOnSave="0"/>
</workbook>
</file>

<file path=xl/calcChain.xml><?xml version="1.0" encoding="utf-8"?>
<calcChain xmlns="http://schemas.openxmlformats.org/spreadsheetml/2006/main">
  <c r="P105" i="3"/>
  <c r="U105"/>
  <c r="W105"/>
  <c r="X105"/>
  <c r="Y105"/>
  <c r="Z105"/>
  <c r="AA105"/>
  <c r="AB105"/>
  <c r="AC105"/>
  <c r="AD105"/>
  <c r="AE105"/>
  <c r="AF105"/>
  <c r="AG105"/>
  <c r="AH105"/>
  <c r="AI105"/>
  <c r="AJ105"/>
  <c r="AK105"/>
  <c r="AL105"/>
  <c r="AM105"/>
  <c r="AN105"/>
  <c r="AO105"/>
  <c r="AP105"/>
  <c r="AQ105"/>
  <c r="AR105"/>
  <c r="V105"/>
  <c r="T105"/>
  <c r="S105"/>
  <c r="R105"/>
  <c r="Q105"/>
  <c r="R26" i="17" l="1"/>
  <c r="Q26"/>
  <c r="P26"/>
  <c r="P43"/>
  <c r="Q43"/>
  <c r="R43"/>
  <c r="P94" i="3" l="1"/>
  <c r="R11" i="17" l="1"/>
  <c r="E17" i="8" l="1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D21"/>
  <c r="D22"/>
  <c r="D20"/>
  <c r="D19"/>
  <c r="D18"/>
  <c r="D17"/>
  <c r="D17" i="6" l="1"/>
  <c r="D21"/>
  <c r="D19"/>
  <c r="V22"/>
  <c r="T22"/>
  <c r="R22"/>
  <c r="P22"/>
  <c r="N22"/>
  <c r="L22"/>
  <c r="J22"/>
  <c r="H22"/>
  <c r="F22"/>
  <c r="V21"/>
  <c r="T21"/>
  <c r="R21"/>
  <c r="P21"/>
  <c r="N21"/>
  <c r="L21"/>
  <c r="J21"/>
  <c r="H21"/>
  <c r="F21"/>
  <c r="V20"/>
  <c r="T20"/>
  <c r="R20"/>
  <c r="P20"/>
  <c r="N20"/>
  <c r="L20"/>
  <c r="J20"/>
  <c r="H20"/>
  <c r="F20"/>
  <c r="V19"/>
  <c r="T19"/>
  <c r="R19"/>
  <c r="P19"/>
  <c r="N19"/>
  <c r="L19"/>
  <c r="J19"/>
  <c r="H19"/>
  <c r="F19"/>
  <c r="V18"/>
  <c r="T18"/>
  <c r="R18"/>
  <c r="P18"/>
  <c r="N18"/>
  <c r="L18"/>
  <c r="J18"/>
  <c r="H18"/>
  <c r="F18"/>
  <c r="V17"/>
  <c r="T17"/>
  <c r="R17"/>
  <c r="P17"/>
  <c r="N17"/>
  <c r="L17"/>
  <c r="J17"/>
  <c r="H17"/>
  <c r="F17"/>
  <c r="D22"/>
  <c r="D20"/>
  <c r="D18"/>
  <c r="U22"/>
  <c r="S22"/>
  <c r="Q22"/>
  <c r="O22"/>
  <c r="M22"/>
  <c r="K22"/>
  <c r="I22"/>
  <c r="G22"/>
  <c r="E22"/>
  <c r="U21"/>
  <c r="S21"/>
  <c r="Q21"/>
  <c r="O21"/>
  <c r="M21"/>
  <c r="K21"/>
  <c r="I21"/>
  <c r="G21"/>
  <c r="E21"/>
  <c r="U20"/>
  <c r="S20"/>
  <c r="Q20"/>
  <c r="O20"/>
  <c r="M20"/>
  <c r="K20"/>
  <c r="I20"/>
  <c r="G20"/>
  <c r="E20"/>
  <c r="U19"/>
  <c r="S19"/>
  <c r="Q19"/>
  <c r="O19"/>
  <c r="M19"/>
  <c r="K19"/>
  <c r="I19"/>
  <c r="G19"/>
  <c r="E19"/>
  <c r="U18"/>
  <c r="S18"/>
  <c r="Q18"/>
  <c r="O18"/>
  <c r="M18"/>
  <c r="K18"/>
  <c r="I18"/>
  <c r="G18"/>
  <c r="E18"/>
  <c r="U17"/>
  <c r="S17"/>
  <c r="Q17"/>
  <c r="O17"/>
  <c r="M17"/>
  <c r="K17"/>
  <c r="I17"/>
  <c r="G17"/>
  <c r="E17"/>
  <c r="Q11" i="17" l="1"/>
  <c r="P11"/>
  <c r="B23" i="6" l="1"/>
  <c r="D23" i="8" l="1"/>
  <c r="D26" i="6"/>
  <c r="D27"/>
  <c r="D28"/>
  <c r="D29"/>
  <c r="D25"/>
  <c r="D27" i="8" l="1"/>
  <c r="E27" s="1"/>
  <c r="F27" s="1"/>
  <c r="G27" s="1"/>
  <c r="H27" s="1"/>
  <c r="I27" s="1"/>
  <c r="J27" s="1"/>
  <c r="K27" s="1"/>
  <c r="L27" s="1"/>
  <c r="M27" s="1"/>
  <c r="N27" s="1"/>
  <c r="O27" s="1"/>
  <c r="P27" s="1"/>
  <c r="Q27" s="1"/>
  <c r="R27" s="1"/>
  <c r="S27" s="1"/>
  <c r="T27" s="1"/>
  <c r="U27" s="1"/>
  <c r="V27" s="1"/>
  <c r="W27" s="1"/>
  <c r="X27" s="1"/>
  <c r="Y27" s="1"/>
  <c r="Z27" s="1"/>
  <c r="AA27" s="1"/>
  <c r="AB27" s="1"/>
  <c r="AC27" s="1"/>
  <c r="AD27" s="1"/>
  <c r="AE27" s="1"/>
  <c r="AF27" s="1"/>
  <c r="D28"/>
  <c r="E28" s="1"/>
  <c r="F28" s="1"/>
  <c r="G28" s="1"/>
  <c r="H28" s="1"/>
  <c r="I28" s="1"/>
  <c r="J28" s="1"/>
  <c r="K28" s="1"/>
  <c r="L28" s="1"/>
  <c r="M28" s="1"/>
  <c r="N28" s="1"/>
  <c r="O28" s="1"/>
  <c r="P28" s="1"/>
  <c r="Q28" s="1"/>
  <c r="R28" s="1"/>
  <c r="S28" s="1"/>
  <c r="T28" s="1"/>
  <c r="U28" s="1"/>
  <c r="V28" s="1"/>
  <c r="W28" s="1"/>
  <c r="X28" s="1"/>
  <c r="Y28" s="1"/>
  <c r="Z28" s="1"/>
  <c r="AA28" s="1"/>
  <c r="AB28" s="1"/>
  <c r="AC28" s="1"/>
  <c r="AD28" s="1"/>
  <c r="AE28" s="1"/>
  <c r="AF28" s="1"/>
  <c r="D29"/>
  <c r="E29" s="1"/>
  <c r="F29" s="1"/>
  <c r="G29" s="1"/>
  <c r="H29" s="1"/>
  <c r="I29" s="1"/>
  <c r="J29" s="1"/>
  <c r="K29" s="1"/>
  <c r="L29" s="1"/>
  <c r="M29" s="1"/>
  <c r="N29" s="1"/>
  <c r="O29" s="1"/>
  <c r="P29" s="1"/>
  <c r="Q29" s="1"/>
  <c r="R29" s="1"/>
  <c r="S29" s="1"/>
  <c r="T29" s="1"/>
  <c r="U29" s="1"/>
  <c r="V29" s="1"/>
  <c r="W29" s="1"/>
  <c r="X29" s="1"/>
  <c r="Y29" s="1"/>
  <c r="Z29" s="1"/>
  <c r="AA29" s="1"/>
  <c r="AB29" s="1"/>
  <c r="AC29" s="1"/>
  <c r="AD29" s="1"/>
  <c r="AE29" s="1"/>
  <c r="AF29" s="1"/>
  <c r="E3" i="6"/>
  <c r="E27"/>
  <c r="F27" s="1"/>
  <c r="G27" s="1"/>
  <c r="H27" s="1"/>
  <c r="I27" s="1"/>
  <c r="J27" s="1"/>
  <c r="K27" s="1"/>
  <c r="L27" s="1"/>
  <c r="M27" s="1"/>
  <c r="N27" s="1"/>
  <c r="O27" s="1"/>
  <c r="P27" s="1"/>
  <c r="Q27" s="1"/>
  <c r="R27" s="1"/>
  <c r="S27" s="1"/>
  <c r="T27" s="1"/>
  <c r="U27" s="1"/>
  <c r="V27" s="1"/>
  <c r="E29"/>
  <c r="F29" s="1"/>
  <c r="G29" s="1"/>
  <c r="H29" s="1"/>
  <c r="I29" s="1"/>
  <c r="J29" s="1"/>
  <c r="K29" s="1"/>
  <c r="L29" s="1"/>
  <c r="M29" s="1"/>
  <c r="N29" s="1"/>
  <c r="O29" s="1"/>
  <c r="P29" s="1"/>
  <c r="Q29" s="1"/>
  <c r="R29" s="1"/>
  <c r="S29" s="1"/>
  <c r="T29" s="1"/>
  <c r="U29" s="1"/>
  <c r="V29" s="1"/>
  <c r="E28"/>
  <c r="F28" s="1"/>
  <c r="G28" s="1"/>
  <c r="H28" s="1"/>
  <c r="I28" s="1"/>
  <c r="J28" s="1"/>
  <c r="K28" s="1"/>
  <c r="L28" s="1"/>
  <c r="M28" s="1"/>
  <c r="N28" s="1"/>
  <c r="O28" s="1"/>
  <c r="P28" s="1"/>
  <c r="Q28" s="1"/>
  <c r="R28" s="1"/>
  <c r="S28" s="1"/>
  <c r="T28" s="1"/>
  <c r="U28" s="1"/>
  <c r="V28" s="1"/>
  <c r="B17"/>
  <c r="N125" i="3" l="1"/>
  <c r="W15" i="8"/>
  <c r="X15"/>
  <c r="Y15"/>
  <c r="Z15"/>
  <c r="AA15"/>
  <c r="AB15"/>
  <c r="AC15"/>
  <c r="AD15"/>
  <c r="AE15"/>
  <c r="AF15"/>
  <c r="D15" l="1"/>
  <c r="D15" i="6"/>
  <c r="V15" i="8"/>
  <c r="V15" i="6"/>
  <c r="T15" i="8"/>
  <c r="T15" i="6"/>
  <c r="R15" i="8"/>
  <c r="R15" i="6"/>
  <c r="P15" i="8"/>
  <c r="P15" i="6"/>
  <c r="N15" i="8"/>
  <c r="N15" i="6"/>
  <c r="L15" i="8"/>
  <c r="L15" i="6"/>
  <c r="J15" i="8"/>
  <c r="J15" i="6"/>
  <c r="H15" i="8"/>
  <c r="H15" i="6"/>
  <c r="F15" i="8"/>
  <c r="F15" i="6"/>
  <c r="U15" i="8"/>
  <c r="U15" i="6"/>
  <c r="S15" i="8"/>
  <c r="S15" i="6"/>
  <c r="Q15" i="8"/>
  <c r="Q15" i="6"/>
  <c r="O15" i="8"/>
  <c r="O15" i="6"/>
  <c r="M15" i="8"/>
  <c r="M15" i="6"/>
  <c r="K15" i="8"/>
  <c r="K15" i="6"/>
  <c r="I15" i="8"/>
  <c r="I15" i="6"/>
  <c r="G15" i="8"/>
  <c r="G15" i="6"/>
  <c r="E15" i="8"/>
  <c r="E15" i="6"/>
  <c r="U9" i="4" l="1"/>
  <c r="V9"/>
  <c r="W9"/>
  <c r="X9"/>
  <c r="Y9"/>
  <c r="Z9"/>
  <c r="AA9"/>
  <c r="AB9"/>
  <c r="AC9"/>
  <c r="AD9"/>
  <c r="AE9"/>
  <c r="AF9"/>
  <c r="AG9"/>
  <c r="AH9"/>
  <c r="AI9"/>
  <c r="AJ9"/>
  <c r="AK9"/>
  <c r="AL9"/>
  <c r="AM9"/>
  <c r="AN9"/>
  <c r="AO9"/>
  <c r="AP9"/>
  <c r="AQ9"/>
  <c r="AR9"/>
  <c r="P10"/>
  <c r="P9" l="1"/>
  <c r="P11"/>
  <c r="S11"/>
  <c r="Q11"/>
  <c r="S10"/>
  <c r="Q10"/>
  <c r="S9"/>
  <c r="Q9"/>
  <c r="AR11"/>
  <c r="AP11"/>
  <c r="AN11"/>
  <c r="AL11"/>
  <c r="AJ11"/>
  <c r="AH11"/>
  <c r="AF11"/>
  <c r="AD11"/>
  <c r="AB11"/>
  <c r="Z11"/>
  <c r="X11"/>
  <c r="V11"/>
  <c r="AR10"/>
  <c r="AP10"/>
  <c r="AN10"/>
  <c r="AL10"/>
  <c r="AJ10"/>
  <c r="AH10"/>
  <c r="AF10"/>
  <c r="AD10"/>
  <c r="AB10"/>
  <c r="Z10"/>
  <c r="X10"/>
  <c r="V10"/>
  <c r="T11"/>
  <c r="R11"/>
  <c r="T10"/>
  <c r="R10"/>
  <c r="T9"/>
  <c r="R9"/>
  <c r="AQ11"/>
  <c r="AO11"/>
  <c r="AM11"/>
  <c r="AK11"/>
  <c r="AI11"/>
  <c r="AG11"/>
  <c r="AE11"/>
  <c r="AC11"/>
  <c r="AA11"/>
  <c r="Y11"/>
  <c r="W11"/>
  <c r="U11"/>
  <c r="AQ10"/>
  <c r="AO10"/>
  <c r="AM10"/>
  <c r="AK10"/>
  <c r="AI10"/>
  <c r="AG10"/>
  <c r="AE10"/>
  <c r="AC10"/>
  <c r="AA10"/>
  <c r="Y10"/>
  <c r="W10"/>
  <c r="U10"/>
  <c r="P102" i="3"/>
  <c r="P12" i="4"/>
  <c r="R12"/>
  <c r="AR12"/>
  <c r="AP12"/>
  <c r="AN12"/>
  <c r="AL12"/>
  <c r="AJ12"/>
  <c r="AH12"/>
  <c r="AF12"/>
  <c r="AD12"/>
  <c r="AB12"/>
  <c r="Z12"/>
  <c r="X12"/>
  <c r="V12"/>
  <c r="T12"/>
  <c r="S12"/>
  <c r="Q12"/>
  <c r="Q14" s="1"/>
  <c r="AQ12"/>
  <c r="AO12"/>
  <c r="AO14" s="1"/>
  <c r="AO15" s="1"/>
  <c r="AM12"/>
  <c r="AK12"/>
  <c r="AK14" s="1"/>
  <c r="AK15" s="1"/>
  <c r="AI12"/>
  <c r="AG12"/>
  <c r="AG14" s="1"/>
  <c r="AG15" s="1"/>
  <c r="AE12"/>
  <c r="AC12"/>
  <c r="AC14" s="1"/>
  <c r="AC15" s="1"/>
  <c r="AA12"/>
  <c r="Y12"/>
  <c r="Y14" s="1"/>
  <c r="Y15" s="1"/>
  <c r="W12"/>
  <c r="U102" i="3"/>
  <c r="U12" i="4"/>
  <c r="U14" l="1"/>
  <c r="V14"/>
  <c r="V15" s="1"/>
  <c r="Z14"/>
  <c r="Z15" s="1"/>
  <c r="AD14"/>
  <c r="AD15" s="1"/>
  <c r="AH14"/>
  <c r="AH15" s="1"/>
  <c r="AL14"/>
  <c r="AL15" s="1"/>
  <c r="AP14"/>
  <c r="AP15" s="1"/>
  <c r="R14"/>
  <c r="R15" s="1"/>
  <c r="U15"/>
  <c r="W14"/>
  <c r="W15" s="1"/>
  <c r="AA14"/>
  <c r="AA15" s="1"/>
  <c r="AE14"/>
  <c r="AE15" s="1"/>
  <c r="AI14"/>
  <c r="AI15" s="1"/>
  <c r="AM14"/>
  <c r="AM15" s="1"/>
  <c r="AQ14"/>
  <c r="AQ15" s="1"/>
  <c r="S14"/>
  <c r="T14"/>
  <c r="X14"/>
  <c r="X15" s="1"/>
  <c r="AB14"/>
  <c r="AB15" s="1"/>
  <c r="AF14"/>
  <c r="AF15" s="1"/>
  <c r="AJ14"/>
  <c r="AJ15" s="1"/>
  <c r="AN14"/>
  <c r="AN15" s="1"/>
  <c r="AR14"/>
  <c r="AR15" s="1"/>
  <c r="I14" i="8"/>
  <c r="I14" i="6"/>
  <c r="D14" i="8"/>
  <c r="D14" i="6"/>
  <c r="T15" i="4" l="1"/>
  <c r="S15"/>
  <c r="D78" i="6"/>
  <c r="E4" i="18" l="1"/>
  <c r="F4" s="1"/>
  <c r="G4" s="1"/>
  <c r="H4" s="1"/>
  <c r="D4"/>
  <c r="N8" i="17" l="1"/>
  <c r="O7"/>
  <c r="P7"/>
  <c r="O8" l="1"/>
  <c r="P47" l="1"/>
  <c r="P16" s="1"/>
  <c r="U45"/>
  <c r="T45"/>
  <c r="S45"/>
  <c r="R45"/>
  <c r="Q45"/>
  <c r="P45"/>
  <c r="Q7" l="1"/>
  <c r="R7" s="1"/>
  <c r="S7" s="1"/>
  <c r="T7" s="1"/>
  <c r="U7" s="1"/>
  <c r="P8" l="1"/>
  <c r="Q8" l="1"/>
  <c r="R8" l="1"/>
  <c r="S8" l="1"/>
  <c r="T8" l="1"/>
  <c r="U8" l="1"/>
  <c r="H78" i="6" l="1"/>
  <c r="G78"/>
  <c r="F78"/>
  <c r="E78"/>
  <c r="N122" i="3"/>
  <c r="M122"/>
  <c r="D23" i="6"/>
  <c r="W101" i="3"/>
  <c r="Q32"/>
  <c r="S17"/>
  <c r="U17"/>
  <c r="W17"/>
  <c r="Y32"/>
  <c r="AA17"/>
  <c r="AC17"/>
  <c r="AG32"/>
  <c r="AI47"/>
  <c r="AK17"/>
  <c r="AO17"/>
  <c r="AQ17"/>
  <c r="P17"/>
  <c r="R10"/>
  <c r="S25"/>
  <c r="T25"/>
  <c r="V10"/>
  <c r="W25"/>
  <c r="Z10"/>
  <c r="AA25"/>
  <c r="AB25"/>
  <c r="AC25"/>
  <c r="AE25"/>
  <c r="AF10"/>
  <c r="AJ10"/>
  <c r="AN10"/>
  <c r="AP40"/>
  <c r="AR10"/>
  <c r="P10"/>
  <c r="D6" i="6"/>
  <c r="D8" s="1"/>
  <c r="E4"/>
  <c r="Q8" i="3"/>
  <c r="U23"/>
  <c r="W23"/>
  <c r="X38"/>
  <c r="Y23"/>
  <c r="Z23"/>
  <c r="AB23"/>
  <c r="AC23"/>
  <c r="AD23"/>
  <c r="AE23"/>
  <c r="AG23"/>
  <c r="AH23"/>
  <c r="AN38"/>
  <c r="AR38"/>
  <c r="P38"/>
  <c r="Q26"/>
  <c r="S26"/>
  <c r="T26"/>
  <c r="U11"/>
  <c r="W26"/>
  <c r="X26"/>
  <c r="Y11"/>
  <c r="Z26"/>
  <c r="AA11"/>
  <c r="AB26"/>
  <c r="AC11"/>
  <c r="AD26"/>
  <c r="AE26"/>
  <c r="AF26"/>
  <c r="AG11"/>
  <c r="AH26"/>
  <c r="AM11"/>
  <c r="AQ26"/>
  <c r="Q12"/>
  <c r="R27"/>
  <c r="S12"/>
  <c r="T27"/>
  <c r="U12"/>
  <c r="V27"/>
  <c r="W12"/>
  <c r="X27"/>
  <c r="Y12"/>
  <c r="Z27"/>
  <c r="AA12"/>
  <c r="AB27"/>
  <c r="AC12"/>
  <c r="AD27"/>
  <c r="AE12"/>
  <c r="AF27"/>
  <c r="AG12"/>
  <c r="AH27"/>
  <c r="AK12"/>
  <c r="AO27"/>
  <c r="Q13"/>
  <c r="S13"/>
  <c r="T28"/>
  <c r="U13"/>
  <c r="W28"/>
  <c r="X28"/>
  <c r="AA13"/>
  <c r="AB28"/>
  <c r="AC13"/>
  <c r="AE28"/>
  <c r="AF28"/>
  <c r="AI28"/>
  <c r="AO43"/>
  <c r="R29"/>
  <c r="S14"/>
  <c r="U14"/>
  <c r="V29"/>
  <c r="W14"/>
  <c r="Z29"/>
  <c r="AA14"/>
  <c r="AC14"/>
  <c r="AD29"/>
  <c r="AE14"/>
  <c r="AH29"/>
  <c r="AI14"/>
  <c r="AM29"/>
  <c r="AQ29"/>
  <c r="Q18"/>
  <c r="R33"/>
  <c r="S33"/>
  <c r="T33"/>
  <c r="V18"/>
  <c r="W18"/>
  <c r="X33"/>
  <c r="Y18"/>
  <c r="Z18"/>
  <c r="AA33"/>
  <c r="AB33"/>
  <c r="AD18"/>
  <c r="AE18"/>
  <c r="AF33"/>
  <c r="AG18"/>
  <c r="AH18"/>
  <c r="AM48"/>
  <c r="AQ48"/>
  <c r="P18"/>
  <c r="P12"/>
  <c r="P28"/>
  <c r="P14"/>
  <c r="P101"/>
  <c r="Q101"/>
  <c r="R101"/>
  <c r="S101"/>
  <c r="T101"/>
  <c r="U101"/>
  <c r="Q102"/>
  <c r="R102"/>
  <c r="S102"/>
  <c r="T102"/>
  <c r="V102"/>
  <c r="O38"/>
  <c r="O83" s="1"/>
  <c r="E38"/>
  <c r="E83" s="1"/>
  <c r="V101"/>
  <c r="W102"/>
  <c r="X102"/>
  <c r="X101"/>
  <c r="Y102"/>
  <c r="Y101"/>
  <c r="Z102"/>
  <c r="Z101"/>
  <c r="AA102"/>
  <c r="AA101"/>
  <c r="AB102"/>
  <c r="AB101"/>
  <c r="AC102"/>
  <c r="AC101"/>
  <c r="AD102"/>
  <c r="AD101"/>
  <c r="AE102"/>
  <c r="AE101"/>
  <c r="AF102"/>
  <c r="AF101"/>
  <c r="AG102"/>
  <c r="AG101"/>
  <c r="AH102"/>
  <c r="AH101"/>
  <c r="AI102"/>
  <c r="W14" i="8" s="1"/>
  <c r="AI101" i="3"/>
  <c r="AJ102"/>
  <c r="X14" i="8" s="1"/>
  <c r="AJ101" i="3"/>
  <c r="AK102"/>
  <c r="Y14" i="8" s="1"/>
  <c r="AL102" i="3"/>
  <c r="Z14" i="8" s="1"/>
  <c r="AK101" i="3"/>
  <c r="AL101"/>
  <c r="AM102"/>
  <c r="AA14" i="8" s="1"/>
  <c r="AM101" i="3"/>
  <c r="AN102"/>
  <c r="AB14" i="8" s="1"/>
  <c r="AN101" i="3"/>
  <c r="AO102"/>
  <c r="AC14" i="8" s="1"/>
  <c r="AO101" i="3"/>
  <c r="AP102"/>
  <c r="AD14" i="8" s="1"/>
  <c r="AP101" i="3"/>
  <c r="AQ102"/>
  <c r="AE14" i="8" s="1"/>
  <c r="AR101" i="3"/>
  <c r="AQ101"/>
  <c r="AR102"/>
  <c r="AF14" i="8" s="1"/>
  <c r="M23" i="3"/>
  <c r="J23"/>
  <c r="M38"/>
  <c r="M83" s="1"/>
  <c r="D19" i="4"/>
  <c r="D18"/>
  <c r="I140" i="3"/>
  <c r="C28" i="4"/>
  <c r="O125" i="3"/>
  <c r="M125"/>
  <c r="O119"/>
  <c r="H23"/>
  <c r="N38"/>
  <c r="N83" s="1"/>
  <c r="I3" i="6"/>
  <c r="D25" i="8"/>
  <c r="G6" i="4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AG6"/>
  <c r="AH6"/>
  <c r="AI6"/>
  <c r="AJ6"/>
  <c r="AK6"/>
  <c r="AL6"/>
  <c r="AM6"/>
  <c r="AN6"/>
  <c r="AO6"/>
  <c r="AP6"/>
  <c r="AQ6"/>
  <c r="AR6"/>
  <c r="F6"/>
  <c r="AJ8" i="3"/>
  <c r="AR8"/>
  <c r="AI9"/>
  <c r="AJ9"/>
  <c r="AK9"/>
  <c r="AL9"/>
  <c r="AM9"/>
  <c r="AN9"/>
  <c r="AO9"/>
  <c r="AP9"/>
  <c r="AQ9"/>
  <c r="AR9"/>
  <c r="AQ11"/>
  <c r="AO12"/>
  <c r="AO13"/>
  <c r="AM14"/>
  <c r="AI15"/>
  <c r="AJ15"/>
  <c r="AK15"/>
  <c r="AL15"/>
  <c r="AM15"/>
  <c r="AN15"/>
  <c r="AO15"/>
  <c r="AP15"/>
  <c r="AQ15"/>
  <c r="AR15"/>
  <c r="AI16"/>
  <c r="AJ16"/>
  <c r="AK16"/>
  <c r="AL16"/>
  <c r="AM16"/>
  <c r="AN16"/>
  <c r="AO16"/>
  <c r="AP16"/>
  <c r="AQ16"/>
  <c r="AR16"/>
  <c r="AI18"/>
  <c r="AQ18"/>
  <c r="AI19"/>
  <c r="AJ19"/>
  <c r="AK19"/>
  <c r="AL19"/>
  <c r="AM19"/>
  <c r="AN19"/>
  <c r="AO19"/>
  <c r="AP19"/>
  <c r="AQ19"/>
  <c r="AR19"/>
  <c r="AR23"/>
  <c r="AI24"/>
  <c r="AJ24"/>
  <c r="AK24"/>
  <c r="AL24"/>
  <c r="AM24"/>
  <c r="AN24"/>
  <c r="AO24"/>
  <c r="AP24"/>
  <c r="AQ24"/>
  <c r="AR24"/>
  <c r="AM26"/>
  <c r="AK27"/>
  <c r="AK28"/>
  <c r="AI29"/>
  <c r="AI30"/>
  <c r="AJ30"/>
  <c r="AK30"/>
  <c r="AL30"/>
  <c r="AM30"/>
  <c r="AN30"/>
  <c r="AO30"/>
  <c r="AP30"/>
  <c r="AQ30"/>
  <c r="AR30"/>
  <c r="AI31"/>
  <c r="AJ31"/>
  <c r="AK31"/>
  <c r="AL31"/>
  <c r="AM31"/>
  <c r="AN31"/>
  <c r="AO31"/>
  <c r="AP31"/>
  <c r="AQ31"/>
  <c r="AR31"/>
  <c r="AQ32"/>
  <c r="AQ33"/>
  <c r="AI34"/>
  <c r="AJ34"/>
  <c r="AK34"/>
  <c r="AL34"/>
  <c r="AM34"/>
  <c r="AN34"/>
  <c r="AO34"/>
  <c r="AP34"/>
  <c r="AQ34"/>
  <c r="AR34"/>
  <c r="AP38"/>
  <c r="AI39"/>
  <c r="AJ39"/>
  <c r="AK39"/>
  <c r="AL39"/>
  <c r="AM39"/>
  <c r="AN39"/>
  <c r="AO39"/>
  <c r="AP39"/>
  <c r="AQ39"/>
  <c r="AR39"/>
  <c r="AM41"/>
  <c r="AK42"/>
  <c r="AI43"/>
  <c r="AI44"/>
  <c r="AQ44"/>
  <c r="AI45"/>
  <c r="AJ45"/>
  <c r="AK45"/>
  <c r="AL45"/>
  <c r="AM45"/>
  <c r="AN45"/>
  <c r="AO45"/>
  <c r="AP45"/>
  <c r="AQ45"/>
  <c r="AR45"/>
  <c r="AI46"/>
  <c r="AJ46"/>
  <c r="AK46"/>
  <c r="AL46"/>
  <c r="AM46"/>
  <c r="AN46"/>
  <c r="AO46"/>
  <c r="AP46"/>
  <c r="AQ46"/>
  <c r="AR46"/>
  <c r="AO48"/>
  <c r="AI49"/>
  <c r="AJ49"/>
  <c r="AK49"/>
  <c r="AL49"/>
  <c r="AM49"/>
  <c r="AN49"/>
  <c r="AO49"/>
  <c r="AP49"/>
  <c r="AQ49"/>
  <c r="AR49"/>
  <c r="D26" i="8"/>
  <c r="E26" s="1"/>
  <c r="F26" s="1"/>
  <c r="G26" s="1"/>
  <c r="H26" s="1"/>
  <c r="I26" s="1"/>
  <c r="J26" s="1"/>
  <c r="K26" s="1"/>
  <c r="L26" s="1"/>
  <c r="M26" s="1"/>
  <c r="N26" s="1"/>
  <c r="O26" s="1"/>
  <c r="P26" s="1"/>
  <c r="Q26" s="1"/>
  <c r="R26" s="1"/>
  <c r="S26" s="1"/>
  <c r="T26" s="1"/>
  <c r="U26" s="1"/>
  <c r="V26" s="1"/>
  <c r="W26" s="1"/>
  <c r="X26" s="1"/>
  <c r="Y26" s="1"/>
  <c r="Z26" s="1"/>
  <c r="AA26" s="1"/>
  <c r="AB26" s="1"/>
  <c r="AC26" s="1"/>
  <c r="AD26" s="1"/>
  <c r="AE26" s="1"/>
  <c r="AF26" s="1"/>
  <c r="E24"/>
  <c r="E12"/>
  <c r="F12" s="1"/>
  <c r="G12" s="1"/>
  <c r="H12" s="1"/>
  <c r="I12" s="1"/>
  <c r="J12" s="1"/>
  <c r="K12" s="1"/>
  <c r="L12" s="1"/>
  <c r="M12" s="1"/>
  <c r="N12" s="1"/>
  <c r="O12" s="1"/>
  <c r="P12" s="1"/>
  <c r="Q12" s="1"/>
  <c r="R12" s="1"/>
  <c r="S12" s="1"/>
  <c r="T12" s="1"/>
  <c r="U12" s="1"/>
  <c r="V12" s="1"/>
  <c r="W12" s="1"/>
  <c r="X12" s="1"/>
  <c r="Y12" s="1"/>
  <c r="Z12" s="1"/>
  <c r="AA12" s="1"/>
  <c r="AB12" s="1"/>
  <c r="AC12" s="1"/>
  <c r="AD12" s="1"/>
  <c r="AE12" s="1"/>
  <c r="AF12" s="1"/>
  <c r="D6"/>
  <c r="C8" i="18" s="1"/>
  <c r="A1" i="8"/>
  <c r="Q9" i="3"/>
  <c r="R9"/>
  <c r="S9"/>
  <c r="T9"/>
  <c r="U9"/>
  <c r="V9"/>
  <c r="W9"/>
  <c r="X9"/>
  <c r="Y9"/>
  <c r="Z9"/>
  <c r="AA9"/>
  <c r="AB9"/>
  <c r="AC9"/>
  <c r="AD9"/>
  <c r="AE9"/>
  <c r="AF9"/>
  <c r="AG9"/>
  <c r="AH9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P9"/>
  <c r="P15"/>
  <c r="P16"/>
  <c r="P19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A32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P24"/>
  <c r="P30"/>
  <c r="P31"/>
  <c r="P34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P39"/>
  <c r="P45"/>
  <c r="P46"/>
  <c r="P49"/>
  <c r="P48"/>
  <c r="D35" i="6"/>
  <c r="F35" i="8"/>
  <c r="F35" i="6"/>
  <c r="AF25" i="3"/>
  <c r="V25"/>
  <c r="AF8"/>
  <c r="AB8"/>
  <c r="X8"/>
  <c r="V23"/>
  <c r="R23"/>
  <c r="Z40"/>
  <c r="P13"/>
  <c r="AG33"/>
  <c r="AA18"/>
  <c r="W33"/>
  <c r="Q33"/>
  <c r="AE29"/>
  <c r="AA29"/>
  <c r="W29"/>
  <c r="S29"/>
  <c r="AE13"/>
  <c r="AA28"/>
  <c r="U28"/>
  <c r="Q28"/>
  <c r="AG27"/>
  <c r="AE27"/>
  <c r="AC27"/>
  <c r="AA27"/>
  <c r="Y27"/>
  <c r="W27"/>
  <c r="U27"/>
  <c r="S27"/>
  <c r="Q27"/>
  <c r="AE11"/>
  <c r="AC26"/>
  <c r="AA26"/>
  <c r="W11"/>
  <c r="W41"/>
  <c r="U26"/>
  <c r="S11"/>
  <c r="S41"/>
  <c r="Q41"/>
  <c r="U25"/>
  <c r="P43"/>
  <c r="AG48"/>
  <c r="AC48"/>
  <c r="Y48"/>
  <c r="U48"/>
  <c r="Q48"/>
  <c r="AC44"/>
  <c r="W44"/>
  <c r="S44"/>
  <c r="AE43"/>
  <c r="AA43"/>
  <c r="W43"/>
  <c r="S43"/>
  <c r="AG42"/>
  <c r="AC42"/>
  <c r="Y42"/>
  <c r="U42"/>
  <c r="Q42"/>
  <c r="AA41"/>
  <c r="T40"/>
  <c r="AD38"/>
  <c r="L125"/>
  <c r="L124"/>
  <c r="K125"/>
  <c r="K124"/>
  <c r="J125"/>
  <c r="J124"/>
  <c r="I125"/>
  <c r="I124"/>
  <c r="H125"/>
  <c r="H124"/>
  <c r="L143"/>
  <c r="L121" s="1"/>
  <c r="L142"/>
  <c r="L141"/>
  <c r="L140"/>
  <c r="K143"/>
  <c r="K121" s="1"/>
  <c r="K142"/>
  <c r="K141"/>
  <c r="K140"/>
  <c r="J143"/>
  <c r="J121" s="1"/>
  <c r="J142"/>
  <c r="J141"/>
  <c r="J140"/>
  <c r="I143"/>
  <c r="I121" s="1"/>
  <c r="I142"/>
  <c r="I141"/>
  <c r="H143"/>
  <c r="H142"/>
  <c r="H141"/>
  <c r="H140"/>
  <c r="I35" i="6"/>
  <c r="G35"/>
  <c r="E35"/>
  <c r="K144" i="3"/>
  <c r="E6" i="6"/>
  <c r="F6" s="1"/>
  <c r="E26"/>
  <c r="E24"/>
  <c r="H35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A1"/>
  <c r="J6"/>
  <c r="K6" s="1"/>
  <c r="L6" s="1"/>
  <c r="M6" s="1"/>
  <c r="N6" s="1"/>
  <c r="O6" s="1"/>
  <c r="P6" s="1"/>
  <c r="Q6" s="1"/>
  <c r="R6" s="1"/>
  <c r="S6" s="1"/>
  <c r="T6" s="1"/>
  <c r="U6" s="1"/>
  <c r="V6" s="1"/>
  <c r="F97" i="3"/>
  <c r="G97"/>
  <c r="H97"/>
  <c r="I97"/>
  <c r="J97"/>
  <c r="K97"/>
  <c r="L97"/>
  <c r="M97"/>
  <c r="N97"/>
  <c r="O97"/>
  <c r="F38"/>
  <c r="F68" s="1"/>
  <c r="G38"/>
  <c r="G83" s="1"/>
  <c r="H38"/>
  <c r="H68" s="1"/>
  <c r="I38"/>
  <c r="I68" s="1"/>
  <c r="J38"/>
  <c r="J68" s="1"/>
  <c r="K38"/>
  <c r="K83" s="1"/>
  <c r="L38"/>
  <c r="L53" s="1"/>
  <c r="F39"/>
  <c r="F69" s="1"/>
  <c r="G39"/>
  <c r="G69" s="1"/>
  <c r="H39"/>
  <c r="H84" s="1"/>
  <c r="I39"/>
  <c r="I54" s="1"/>
  <c r="J39"/>
  <c r="J69" s="1"/>
  <c r="K39"/>
  <c r="K69" s="1"/>
  <c r="L39"/>
  <c r="L84" s="1"/>
  <c r="M39"/>
  <c r="M54" s="1"/>
  <c r="N39"/>
  <c r="N84" s="1"/>
  <c r="O39"/>
  <c r="O84" s="1"/>
  <c r="F40"/>
  <c r="F85" s="1"/>
  <c r="G40"/>
  <c r="G85" s="1"/>
  <c r="H40"/>
  <c r="H85" s="1"/>
  <c r="I40"/>
  <c r="I85" s="1"/>
  <c r="J40"/>
  <c r="J85" s="1"/>
  <c r="K40"/>
  <c r="K85" s="1"/>
  <c r="L40"/>
  <c r="L85" s="1"/>
  <c r="M40"/>
  <c r="M85" s="1"/>
  <c r="N40"/>
  <c r="N85" s="1"/>
  <c r="O40"/>
  <c r="O55" s="1"/>
  <c r="F41"/>
  <c r="F71" s="1"/>
  <c r="G41"/>
  <c r="G71" s="1"/>
  <c r="H41"/>
  <c r="H71" s="1"/>
  <c r="I41"/>
  <c r="I71" s="1"/>
  <c r="J41"/>
  <c r="J71" s="1"/>
  <c r="K41"/>
  <c r="K86" s="1"/>
  <c r="L41"/>
  <c r="L71" s="1"/>
  <c r="M41"/>
  <c r="M86" s="1"/>
  <c r="N41"/>
  <c r="N86" s="1"/>
  <c r="O41"/>
  <c r="O86" s="1"/>
  <c r="F42"/>
  <c r="F87" s="1"/>
  <c r="G42"/>
  <c r="G87" s="1"/>
  <c r="H42"/>
  <c r="H87" s="1"/>
  <c r="I42"/>
  <c r="I87" s="1"/>
  <c r="J42"/>
  <c r="J87" s="1"/>
  <c r="K42"/>
  <c r="K87" s="1"/>
  <c r="L42"/>
  <c r="L87" s="1"/>
  <c r="M42"/>
  <c r="M87" s="1"/>
  <c r="N42"/>
  <c r="N57" s="1"/>
  <c r="O42"/>
  <c r="O87" s="1"/>
  <c r="F43"/>
  <c r="F88" s="1"/>
  <c r="G43"/>
  <c r="G88" s="1"/>
  <c r="H43"/>
  <c r="H88" s="1"/>
  <c r="I43"/>
  <c r="I88" s="1"/>
  <c r="J43"/>
  <c r="J88" s="1"/>
  <c r="K43"/>
  <c r="K88" s="1"/>
  <c r="L43"/>
  <c r="L88" s="1"/>
  <c r="M43"/>
  <c r="M58" s="1"/>
  <c r="N43"/>
  <c r="N88" s="1"/>
  <c r="O43"/>
  <c r="O88" s="1"/>
  <c r="F44"/>
  <c r="F89" s="1"/>
  <c r="G44"/>
  <c r="G89" s="1"/>
  <c r="H44"/>
  <c r="H89" s="1"/>
  <c r="I44"/>
  <c r="I89" s="1"/>
  <c r="J44"/>
  <c r="J89" s="1"/>
  <c r="K44"/>
  <c r="K89" s="1"/>
  <c r="L44"/>
  <c r="L89" s="1"/>
  <c r="M44"/>
  <c r="M89" s="1"/>
  <c r="N44"/>
  <c r="N89" s="1"/>
  <c r="O44"/>
  <c r="O89" s="1"/>
  <c r="F45"/>
  <c r="F90" s="1"/>
  <c r="G45"/>
  <c r="G90" s="1"/>
  <c r="H45"/>
  <c r="H90" s="1"/>
  <c r="I45"/>
  <c r="I90" s="1"/>
  <c r="J45"/>
  <c r="J90" s="1"/>
  <c r="K45"/>
  <c r="K90" s="1"/>
  <c r="L45"/>
  <c r="L90" s="1"/>
  <c r="M45"/>
  <c r="M60" s="1"/>
  <c r="N45"/>
  <c r="N90" s="1"/>
  <c r="O45"/>
  <c r="O90" s="1"/>
  <c r="F46"/>
  <c r="F91" s="1"/>
  <c r="G46"/>
  <c r="G91" s="1"/>
  <c r="H46"/>
  <c r="H91" s="1"/>
  <c r="I46"/>
  <c r="I91" s="1"/>
  <c r="J46"/>
  <c r="J91" s="1"/>
  <c r="K46"/>
  <c r="K91" s="1"/>
  <c r="L46"/>
  <c r="L91" s="1"/>
  <c r="M46"/>
  <c r="M91" s="1"/>
  <c r="N46"/>
  <c r="N91" s="1"/>
  <c r="O46"/>
  <c r="O91" s="1"/>
  <c r="F47"/>
  <c r="F92" s="1"/>
  <c r="G47"/>
  <c r="G92" s="1"/>
  <c r="H47"/>
  <c r="H92" s="1"/>
  <c r="I47"/>
  <c r="I92" s="1"/>
  <c r="J47"/>
  <c r="J92" s="1"/>
  <c r="K47"/>
  <c r="K92" s="1"/>
  <c r="L47"/>
  <c r="L92" s="1"/>
  <c r="M47"/>
  <c r="M62" s="1"/>
  <c r="N47"/>
  <c r="N92" s="1"/>
  <c r="O47"/>
  <c r="O92" s="1"/>
  <c r="F48"/>
  <c r="F78" s="1"/>
  <c r="G48"/>
  <c r="G93" s="1"/>
  <c r="G12" i="4" s="1"/>
  <c r="H48" i="3"/>
  <c r="H93" s="1"/>
  <c r="H12" i="4" s="1"/>
  <c r="I48" i="3"/>
  <c r="I78" s="1"/>
  <c r="J48"/>
  <c r="J78" s="1"/>
  <c r="K48"/>
  <c r="K78" s="1"/>
  <c r="L48"/>
  <c r="L93" s="1"/>
  <c r="M48"/>
  <c r="M63" s="1"/>
  <c r="N48"/>
  <c r="N63" s="1"/>
  <c r="O48"/>
  <c r="O63" s="1"/>
  <c r="F49"/>
  <c r="F94" s="1"/>
  <c r="G49"/>
  <c r="G94" s="1"/>
  <c r="H49"/>
  <c r="H94" s="1"/>
  <c r="I49"/>
  <c r="I94" s="1"/>
  <c r="J49"/>
  <c r="J94" s="1"/>
  <c r="K49"/>
  <c r="K94" s="1"/>
  <c r="L49"/>
  <c r="L94" s="1"/>
  <c r="M49"/>
  <c r="M64" s="1"/>
  <c r="N49"/>
  <c r="N64" s="1"/>
  <c r="O49"/>
  <c r="O64" s="1"/>
  <c r="F23"/>
  <c r="G23"/>
  <c r="I23"/>
  <c r="K23"/>
  <c r="L23"/>
  <c r="N23"/>
  <c r="O23"/>
  <c r="F24"/>
  <c r="G24"/>
  <c r="H24"/>
  <c r="I24"/>
  <c r="J24"/>
  <c r="K24"/>
  <c r="L24"/>
  <c r="M24"/>
  <c r="N24"/>
  <c r="O24"/>
  <c r="F25"/>
  <c r="G25"/>
  <c r="H25"/>
  <c r="I25"/>
  <c r="J25"/>
  <c r="K25"/>
  <c r="L25"/>
  <c r="M25"/>
  <c r="N25"/>
  <c r="O25"/>
  <c r="F26"/>
  <c r="G26"/>
  <c r="H26"/>
  <c r="I26"/>
  <c r="J26"/>
  <c r="K26"/>
  <c r="L26"/>
  <c r="M26"/>
  <c r="N26"/>
  <c r="O26"/>
  <c r="F27"/>
  <c r="G27"/>
  <c r="H27"/>
  <c r="I27"/>
  <c r="J27"/>
  <c r="K27"/>
  <c r="L27"/>
  <c r="M27"/>
  <c r="N27"/>
  <c r="O27"/>
  <c r="F28"/>
  <c r="G28"/>
  <c r="H28"/>
  <c r="I28"/>
  <c r="J28"/>
  <c r="K28"/>
  <c r="L28"/>
  <c r="M28"/>
  <c r="N28"/>
  <c r="O28"/>
  <c r="F29"/>
  <c r="G29"/>
  <c r="H29"/>
  <c r="I29"/>
  <c r="J29"/>
  <c r="K29"/>
  <c r="L29"/>
  <c r="M29"/>
  <c r="N29"/>
  <c r="O29"/>
  <c r="F30"/>
  <c r="G30"/>
  <c r="H30"/>
  <c r="I30"/>
  <c r="J30"/>
  <c r="K30"/>
  <c r="L30"/>
  <c r="M30"/>
  <c r="N30"/>
  <c r="O30"/>
  <c r="F31"/>
  <c r="G31"/>
  <c r="H31"/>
  <c r="I31"/>
  <c r="J31"/>
  <c r="K31"/>
  <c r="L31"/>
  <c r="M31"/>
  <c r="N31"/>
  <c r="O31"/>
  <c r="F32"/>
  <c r="G32"/>
  <c r="H32"/>
  <c r="I32"/>
  <c r="J32"/>
  <c r="K32"/>
  <c r="L32"/>
  <c r="M32"/>
  <c r="N32"/>
  <c r="O32"/>
  <c r="F33"/>
  <c r="G33"/>
  <c r="H33"/>
  <c r="I33"/>
  <c r="J33"/>
  <c r="K33"/>
  <c r="L33"/>
  <c r="M33"/>
  <c r="N33"/>
  <c r="O33"/>
  <c r="F34"/>
  <c r="G34"/>
  <c r="H34"/>
  <c r="I34"/>
  <c r="J34"/>
  <c r="K34"/>
  <c r="L34"/>
  <c r="M34"/>
  <c r="N34"/>
  <c r="O34"/>
  <c r="E97"/>
  <c r="E39"/>
  <c r="E84" s="1"/>
  <c r="E40"/>
  <c r="E70" s="1"/>
  <c r="E41"/>
  <c r="E86" s="1"/>
  <c r="E42"/>
  <c r="E87" s="1"/>
  <c r="E43"/>
  <c r="E88" s="1"/>
  <c r="E44"/>
  <c r="E89" s="1"/>
  <c r="E45"/>
  <c r="E90" s="1"/>
  <c r="E46"/>
  <c r="E91" s="1"/>
  <c r="E47"/>
  <c r="E92" s="1"/>
  <c r="E48"/>
  <c r="E78" s="1"/>
  <c r="E49"/>
  <c r="E94" s="1"/>
  <c r="E24"/>
  <c r="E25"/>
  <c r="E26"/>
  <c r="E27"/>
  <c r="E28"/>
  <c r="E29"/>
  <c r="E30"/>
  <c r="E31"/>
  <c r="E32"/>
  <c r="E33"/>
  <c r="E34"/>
  <c r="E23"/>
  <c r="B2"/>
  <c r="B1"/>
  <c r="E85"/>
  <c r="K93"/>
  <c r="K12" i="4" s="1"/>
  <c r="I93" i="3"/>
  <c r="I12" i="4" s="1"/>
  <c r="O62" i="3"/>
  <c r="O61"/>
  <c r="M61"/>
  <c r="O60"/>
  <c r="O59"/>
  <c r="M59"/>
  <c r="O58"/>
  <c r="M88"/>
  <c r="M57"/>
  <c r="K71"/>
  <c r="I86"/>
  <c r="I10" i="4" s="1"/>
  <c r="G86" i="3"/>
  <c r="G10" i="4" s="1"/>
  <c r="O54" i="3"/>
  <c r="M84"/>
  <c r="K84"/>
  <c r="K11" i="4" s="1"/>
  <c r="I84" i="3"/>
  <c r="I11" i="4" s="1"/>
  <c r="G84" i="3"/>
  <c r="G11" i="4" s="1"/>
  <c r="L83" i="3"/>
  <c r="J83"/>
  <c r="J9" i="4" s="1"/>
  <c r="H83" i="3"/>
  <c r="F83"/>
  <c r="F9" i="4" s="1"/>
  <c r="J93" i="3"/>
  <c r="J12" i="4" s="1"/>
  <c r="N62" i="3"/>
  <c r="N59"/>
  <c r="N87"/>
  <c r="J86"/>
  <c r="J10" i="4" s="1"/>
  <c r="L69" i="3"/>
  <c r="H69"/>
  <c r="K68"/>
  <c r="G68"/>
  <c r="E71"/>
  <c r="M55"/>
  <c r="E79"/>
  <c r="K79"/>
  <c r="K62"/>
  <c r="I77"/>
  <c r="G77"/>
  <c r="I61"/>
  <c r="G76"/>
  <c r="K75"/>
  <c r="G60"/>
  <c r="K74"/>
  <c r="I74"/>
  <c r="K58"/>
  <c r="I73"/>
  <c r="G73"/>
  <c r="K72"/>
  <c r="I57"/>
  <c r="I72"/>
  <c r="G72"/>
  <c r="K55"/>
  <c r="I55"/>
  <c r="I70"/>
  <c r="G55"/>
  <c r="J64"/>
  <c r="L62"/>
  <c r="H62"/>
  <c r="J61"/>
  <c r="H76"/>
  <c r="F76"/>
  <c r="L75"/>
  <c r="H75"/>
  <c r="J59"/>
  <c r="H74"/>
  <c r="F74"/>
  <c r="L73"/>
  <c r="H73"/>
  <c r="J57"/>
  <c r="H72"/>
  <c r="F72"/>
  <c r="J55"/>
  <c r="H70"/>
  <c r="F70"/>
  <c r="N55"/>
  <c r="O56"/>
  <c r="M56"/>
  <c r="L63"/>
  <c r="F63"/>
  <c r="H56"/>
  <c r="H54"/>
  <c r="N53"/>
  <c r="J53"/>
  <c r="H53"/>
  <c r="F53"/>
  <c r="K63"/>
  <c r="K56"/>
  <c r="I56"/>
  <c r="G56"/>
  <c r="K54"/>
  <c r="G54"/>
  <c r="O53"/>
  <c r="M53"/>
  <c r="K53"/>
  <c r="G53"/>
  <c r="E53"/>
  <c r="N98"/>
  <c r="F98"/>
  <c r="F99"/>
  <c r="G98"/>
  <c r="I99"/>
  <c r="C19" i="4"/>
  <c r="C18"/>
  <c r="L6" i="3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AG6" s="1"/>
  <c r="AH6" s="1"/>
  <c r="AI6" s="1"/>
  <c r="AJ6" s="1"/>
  <c r="AK6" s="1"/>
  <c r="AL6" s="1"/>
  <c r="AM6" s="1"/>
  <c r="AN6" s="1"/>
  <c r="AO6" s="1"/>
  <c r="AP6" s="1"/>
  <c r="AQ6" s="1"/>
  <c r="AR6" s="1"/>
  <c r="F3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/>
  <c r="Y3" s="1"/>
  <c r="Z3" s="1"/>
  <c r="AA3" s="1"/>
  <c r="AB3" s="1"/>
  <c r="AC3" s="1"/>
  <c r="AD3" s="1"/>
  <c r="AE3" s="1"/>
  <c r="AF3" s="1"/>
  <c r="AG3" s="1"/>
  <c r="AH3" s="1"/>
  <c r="AI3" s="1"/>
  <c r="AJ3" s="1"/>
  <c r="AK3" s="1"/>
  <c r="AL3" s="1"/>
  <c r="AM3" s="1"/>
  <c r="AN3" s="1"/>
  <c r="AO3" s="1"/>
  <c r="AP3" s="1"/>
  <c r="AQ3" s="1"/>
  <c r="AR3" s="1"/>
  <c r="R100" l="1"/>
  <c r="H121"/>
  <c r="AE10"/>
  <c r="AF13"/>
  <c r="AG8"/>
  <c r="AA40"/>
  <c r="X43"/>
  <c r="AB11"/>
  <c r="AB18"/>
  <c r="P11"/>
  <c r="P26"/>
  <c r="AO18"/>
  <c r="AO33"/>
  <c r="AK33"/>
  <c r="AK18"/>
  <c r="AI33"/>
  <c r="AI48"/>
  <c r="AC18"/>
  <c r="AC33"/>
  <c r="U18"/>
  <c r="U33"/>
  <c r="AO14"/>
  <c r="AO44"/>
  <c r="AK29"/>
  <c r="AK14"/>
  <c r="AK44"/>
  <c r="AG44"/>
  <c r="AG14"/>
  <c r="Y44"/>
  <c r="Y14"/>
  <c r="Q44"/>
  <c r="Q14"/>
  <c r="AQ13"/>
  <c r="AQ28"/>
  <c r="AQ43"/>
  <c r="AM13"/>
  <c r="AM28"/>
  <c r="AK13"/>
  <c r="AK43"/>
  <c r="AG13"/>
  <c r="AG28"/>
  <c r="Y13"/>
  <c r="Y28"/>
  <c r="AQ12"/>
  <c r="AQ42"/>
  <c r="AM12"/>
  <c r="AM27"/>
  <c r="AM42"/>
  <c r="AI12"/>
  <c r="AI27"/>
  <c r="AI42"/>
  <c r="AO11"/>
  <c r="AO26"/>
  <c r="AO41"/>
  <c r="AK41"/>
  <c r="AK26"/>
  <c r="AI11"/>
  <c r="AI41"/>
  <c r="AP8"/>
  <c r="AP23"/>
  <c r="AL23"/>
  <c r="AL8"/>
  <c r="AJ23"/>
  <c r="AJ38"/>
  <c r="AF23"/>
  <c r="AF38"/>
  <c r="V38"/>
  <c r="V8"/>
  <c r="T8"/>
  <c r="T23"/>
  <c r="R8"/>
  <c r="R38"/>
  <c r="AL10"/>
  <c r="AL25"/>
  <c r="AH10"/>
  <c r="AH40"/>
  <c r="AD10"/>
  <c r="AD25"/>
  <c r="X40"/>
  <c r="X25"/>
  <c r="AM47"/>
  <c r="AM17"/>
  <c r="AE17"/>
  <c r="AE32"/>
  <c r="AE47"/>
  <c r="AH100"/>
  <c r="Z38"/>
  <c r="AH38"/>
  <c r="AB40"/>
  <c r="AE41"/>
  <c r="S42"/>
  <c r="W42"/>
  <c r="AA42"/>
  <c r="AE42"/>
  <c r="Q43"/>
  <c r="U43"/>
  <c r="Y43"/>
  <c r="AC43"/>
  <c r="AG43"/>
  <c r="U44"/>
  <c r="AA44"/>
  <c r="AE44"/>
  <c r="S48"/>
  <c r="W48"/>
  <c r="AA48"/>
  <c r="AE48"/>
  <c r="P41"/>
  <c r="Q11"/>
  <c r="U41"/>
  <c r="Y26"/>
  <c r="AG26"/>
  <c r="S28"/>
  <c r="W13"/>
  <c r="AC28"/>
  <c r="Q29"/>
  <c r="U29"/>
  <c r="Y29"/>
  <c r="AC29"/>
  <c r="AG29"/>
  <c r="S18"/>
  <c r="Y33"/>
  <c r="AE33"/>
  <c r="P33"/>
  <c r="AB38"/>
  <c r="T38"/>
  <c r="X23"/>
  <c r="Z8"/>
  <c r="AD8"/>
  <c r="AH8"/>
  <c r="AA47"/>
  <c r="AK48"/>
  <c r="AM44"/>
  <c r="AM43"/>
  <c r="AO42"/>
  <c r="AQ41"/>
  <c r="AL38"/>
  <c r="AM33"/>
  <c r="AO29"/>
  <c r="AO28"/>
  <c r="AQ27"/>
  <c r="AI26"/>
  <c r="AN23"/>
  <c r="AM18"/>
  <c r="AQ14"/>
  <c r="AI13"/>
  <c r="AK11"/>
  <c r="AN8"/>
  <c r="AD100"/>
  <c r="AC38"/>
  <c r="S40"/>
  <c r="W10"/>
  <c r="T11"/>
  <c r="X13"/>
  <c r="T18"/>
  <c r="R12" i="17"/>
  <c r="P13" i="4"/>
  <c r="P28" s="1"/>
  <c r="Q28" s="1"/>
  <c r="H144" i="3"/>
  <c r="I144"/>
  <c r="J144"/>
  <c r="O98"/>
  <c r="L11" i="4"/>
  <c r="H11"/>
  <c r="L126" i="3"/>
  <c r="N99"/>
  <c r="E56"/>
  <c r="L54"/>
  <c r="L56"/>
  <c r="J63"/>
  <c r="N56"/>
  <c r="F55"/>
  <c r="J70"/>
  <c r="L70"/>
  <c r="F57"/>
  <c r="J72"/>
  <c r="L72"/>
  <c r="H58"/>
  <c r="L58"/>
  <c r="F59"/>
  <c r="J74"/>
  <c r="L74"/>
  <c r="H60"/>
  <c r="L60"/>
  <c r="F61"/>
  <c r="J76"/>
  <c r="L76"/>
  <c r="J62"/>
  <c r="H64"/>
  <c r="L64"/>
  <c r="E75"/>
  <c r="H86"/>
  <c r="H10" i="4" s="1"/>
  <c r="L86" i="3"/>
  <c r="L10" i="4" s="1"/>
  <c r="N58" i="3"/>
  <c r="N61"/>
  <c r="F93"/>
  <c r="F12" i="4" s="1"/>
  <c r="J27" s="1"/>
  <c r="N93" i="3"/>
  <c r="N12" i="4" s="1"/>
  <c r="H9"/>
  <c r="L9"/>
  <c r="L98" i="3"/>
  <c r="K10" i="4"/>
  <c r="L144" i="3"/>
  <c r="K99"/>
  <c r="I63"/>
  <c r="G58"/>
  <c r="K73"/>
  <c r="G74"/>
  <c r="I59"/>
  <c r="G75"/>
  <c r="I75"/>
  <c r="K60"/>
  <c r="I76"/>
  <c r="K76"/>
  <c r="G62"/>
  <c r="K77"/>
  <c r="G79"/>
  <c r="G9" i="4"/>
  <c r="G14" s="1"/>
  <c r="G15" s="1"/>
  <c r="K9"/>
  <c r="L68" i="3"/>
  <c r="I69"/>
  <c r="O85"/>
  <c r="O57"/>
  <c r="O100" s="1"/>
  <c r="G78"/>
  <c r="M93"/>
  <c r="M12" i="4" s="1"/>
  <c r="L12"/>
  <c r="L27" s="1"/>
  <c r="K14" i="8"/>
  <c r="K14" i="6"/>
  <c r="J14" i="8"/>
  <c r="J14" i="6"/>
  <c r="G14" i="8"/>
  <c r="G14" i="6"/>
  <c r="E14" i="8"/>
  <c r="E14" i="6"/>
  <c r="V14" i="8"/>
  <c r="V14" i="6"/>
  <c r="U14" i="8"/>
  <c r="U14" i="6"/>
  <c r="T14" i="8"/>
  <c r="T14" i="6"/>
  <c r="S14" i="8"/>
  <c r="S14" i="6"/>
  <c r="R14" i="8"/>
  <c r="R14" i="6"/>
  <c r="Q14" i="8"/>
  <c r="Q14" i="6"/>
  <c r="P14" i="8"/>
  <c r="P14" i="6"/>
  <c r="O14" i="8"/>
  <c r="O14" i="6"/>
  <c r="N14" i="8"/>
  <c r="N14" i="6"/>
  <c r="M14" i="8"/>
  <c r="M14" i="6"/>
  <c r="L14" i="8"/>
  <c r="L14" i="6"/>
  <c r="H14" i="8"/>
  <c r="H14" i="6"/>
  <c r="F14" i="8"/>
  <c r="F14" i="6"/>
  <c r="F24" i="8"/>
  <c r="E25"/>
  <c r="F25" s="1"/>
  <c r="G25" s="1"/>
  <c r="H25" s="1"/>
  <c r="I25" s="1"/>
  <c r="J25" s="1"/>
  <c r="K25" s="1"/>
  <c r="L25" s="1"/>
  <c r="M25" s="1"/>
  <c r="N25" s="1"/>
  <c r="O25" s="1"/>
  <c r="P25" s="1"/>
  <c r="Q25" s="1"/>
  <c r="R25" s="1"/>
  <c r="S25" s="1"/>
  <c r="T25" s="1"/>
  <c r="U25" s="1"/>
  <c r="V25" s="1"/>
  <c r="W25" s="1"/>
  <c r="X25" s="1"/>
  <c r="Y25" s="1"/>
  <c r="Z25" s="1"/>
  <c r="AA25" s="1"/>
  <c r="AB25" s="1"/>
  <c r="AC25" s="1"/>
  <c r="AD25" s="1"/>
  <c r="AE25" s="1"/>
  <c r="AF25" s="1"/>
  <c r="E25" i="6"/>
  <c r="F24"/>
  <c r="F25"/>
  <c r="E10" i="4"/>
  <c r="E11"/>
  <c r="N10"/>
  <c r="N11"/>
  <c r="E9"/>
  <c r="E63" i="3"/>
  <c r="E59"/>
  <c r="M94"/>
  <c r="M9" i="4" s="1"/>
  <c r="D7" i="6"/>
  <c r="E8"/>
  <c r="E7" s="1"/>
  <c r="E6" i="8"/>
  <c r="F6" s="1"/>
  <c r="E4"/>
  <c r="J6" s="1"/>
  <c r="K6" s="1"/>
  <c r="L6" s="1"/>
  <c r="M6" s="1"/>
  <c r="N6" s="1"/>
  <c r="O6" s="1"/>
  <c r="P6" s="1"/>
  <c r="Q6" s="1"/>
  <c r="R6" s="1"/>
  <c r="S6" s="1"/>
  <c r="T6" s="1"/>
  <c r="U6" s="1"/>
  <c r="V6" s="1"/>
  <c r="W6" s="1"/>
  <c r="X6" s="1"/>
  <c r="Y6" s="1"/>
  <c r="Z6" s="1"/>
  <c r="AA6" s="1"/>
  <c r="AB6" s="1"/>
  <c r="AC6" s="1"/>
  <c r="AD6" s="1"/>
  <c r="AE6" s="1"/>
  <c r="AF6" s="1"/>
  <c r="E55" i="3"/>
  <c r="E61"/>
  <c r="E93"/>
  <c r="E12" i="4" s="1"/>
  <c r="O94" i="3"/>
  <c r="K98"/>
  <c r="M98"/>
  <c r="I98"/>
  <c r="H98"/>
  <c r="E98"/>
  <c r="J98"/>
  <c r="D8" i="8"/>
  <c r="D7" s="1"/>
  <c r="AP100" i="3"/>
  <c r="Z100"/>
  <c r="V44"/>
  <c r="R12"/>
  <c r="W47"/>
  <c r="W32"/>
  <c r="W98" s="1"/>
  <c r="AQ47"/>
  <c r="AL40"/>
  <c r="AM32"/>
  <c r="AI17"/>
  <c r="V100"/>
  <c r="Y41"/>
  <c r="AC41"/>
  <c r="AG41"/>
  <c r="R40"/>
  <c r="R25"/>
  <c r="Z25"/>
  <c r="AH25"/>
  <c r="Z12"/>
  <c r="V14"/>
  <c r="P25"/>
  <c r="S47"/>
  <c r="S32"/>
  <c r="AI32"/>
  <c r="AP10"/>
  <c r="AH12"/>
  <c r="AD14"/>
  <c r="AP25"/>
  <c r="P40"/>
  <c r="AB100"/>
  <c r="T100"/>
  <c r="G35" i="8"/>
  <c r="AF100" i="3"/>
  <c r="X100"/>
  <c r="AF40"/>
  <c r="Y8"/>
  <c r="V40"/>
  <c r="T41"/>
  <c r="Z41"/>
  <c r="AD41"/>
  <c r="AH41"/>
  <c r="T42"/>
  <c r="X42"/>
  <c r="AB42"/>
  <c r="AF42"/>
  <c r="AF43"/>
  <c r="P44"/>
  <c r="T10"/>
  <c r="X10"/>
  <c r="AB10"/>
  <c r="X11"/>
  <c r="V12"/>
  <c r="T13"/>
  <c r="R14"/>
  <c r="AH14"/>
  <c r="AF18"/>
  <c r="AG47"/>
  <c r="Y47"/>
  <c r="Q47"/>
  <c r="P32"/>
  <c r="AC32"/>
  <c r="U32"/>
  <c r="AG17"/>
  <c r="Y17"/>
  <c r="Q17"/>
  <c r="AK47"/>
  <c r="AN40"/>
  <c r="AK32"/>
  <c r="AN25"/>
  <c r="M144"/>
  <c r="AC23" i="4"/>
  <c r="U38" i="3"/>
  <c r="AD40"/>
  <c r="X41"/>
  <c r="AB41"/>
  <c r="AF41"/>
  <c r="R42"/>
  <c r="V42"/>
  <c r="Z42"/>
  <c r="AD42"/>
  <c r="AH42"/>
  <c r="AD44"/>
  <c r="AF11"/>
  <c r="AD12"/>
  <c r="AB13"/>
  <c r="Z14"/>
  <c r="X18"/>
  <c r="P47"/>
  <c r="AC47"/>
  <c r="U47"/>
  <c r="AO47"/>
  <c r="AR40"/>
  <c r="AJ40"/>
  <c r="AO32"/>
  <c r="AR25"/>
  <c r="AJ25"/>
  <c r="I35" i="8"/>
  <c r="D35"/>
  <c r="AH23" i="4"/>
  <c r="L23"/>
  <c r="H99" i="3"/>
  <c r="I53"/>
  <c r="F54"/>
  <c r="F56"/>
  <c r="N54"/>
  <c r="H55"/>
  <c r="L55"/>
  <c r="H57"/>
  <c r="L57"/>
  <c r="H59"/>
  <c r="L59"/>
  <c r="H61"/>
  <c r="L61"/>
  <c r="E69"/>
  <c r="N94"/>
  <c r="N9" i="4" s="1"/>
  <c r="M99" i="3"/>
  <c r="J99"/>
  <c r="E54"/>
  <c r="H63"/>
  <c r="F73"/>
  <c r="J73"/>
  <c r="F75"/>
  <c r="J75"/>
  <c r="F62"/>
  <c r="F64"/>
  <c r="G57"/>
  <c r="K57"/>
  <c r="I58"/>
  <c r="G59"/>
  <c r="K59"/>
  <c r="I60"/>
  <c r="G61"/>
  <c r="K61"/>
  <c r="I62"/>
  <c r="I79"/>
  <c r="I83"/>
  <c r="I9" i="4" s="1"/>
  <c r="F84" i="3"/>
  <c r="F11" i="4" s="1"/>
  <c r="J84" i="3"/>
  <c r="J11" i="4" s="1"/>
  <c r="F86" i="3"/>
  <c r="F10" i="4" s="1"/>
  <c r="N60" i="3"/>
  <c r="M90"/>
  <c r="M10" i="4" s="1"/>
  <c r="M92" i="3"/>
  <c r="M11" i="4" s="1"/>
  <c r="O93" i="3"/>
  <c r="E68"/>
  <c r="L78"/>
  <c r="G99"/>
  <c r="O99"/>
  <c r="L99"/>
  <c r="E99"/>
  <c r="M100"/>
  <c r="G63"/>
  <c r="J54"/>
  <c r="J56"/>
  <c r="F58"/>
  <c r="J58"/>
  <c r="F60"/>
  <c r="J60"/>
  <c r="E57"/>
  <c r="G70"/>
  <c r="K70"/>
  <c r="H78"/>
  <c r="K27" i="4" s="1"/>
  <c r="E8" i="8"/>
  <c r="E7" s="1"/>
  <c r="E35"/>
  <c r="H35"/>
  <c r="H23" i="4"/>
  <c r="P27" i="3"/>
  <c r="P42"/>
  <c r="AR18"/>
  <c r="AR33"/>
  <c r="AR48"/>
  <c r="AP18"/>
  <c r="AP33"/>
  <c r="AP48"/>
  <c r="AN18"/>
  <c r="AN33"/>
  <c r="AN48"/>
  <c r="AL18"/>
  <c r="AL33"/>
  <c r="AL48"/>
  <c r="AJ18"/>
  <c r="AJ33"/>
  <c r="AJ48"/>
  <c r="AR14"/>
  <c r="AR29"/>
  <c r="AP14"/>
  <c r="AP29"/>
  <c r="AN14"/>
  <c r="AN29"/>
  <c r="AL14"/>
  <c r="AL29"/>
  <c r="AJ14"/>
  <c r="AJ29"/>
  <c r="AF29"/>
  <c r="AF44"/>
  <c r="AB29"/>
  <c r="AB44"/>
  <c r="X29"/>
  <c r="X44"/>
  <c r="T29"/>
  <c r="T44"/>
  <c r="AR13"/>
  <c r="AR28"/>
  <c r="AP13"/>
  <c r="AP28"/>
  <c r="AN13"/>
  <c r="AN28"/>
  <c r="AL13"/>
  <c r="AL28"/>
  <c r="AJ13"/>
  <c r="AJ28"/>
  <c r="AH28"/>
  <c r="AH43"/>
  <c r="AD28"/>
  <c r="AD43"/>
  <c r="Z28"/>
  <c r="Z43"/>
  <c r="V28"/>
  <c r="V43"/>
  <c r="R28"/>
  <c r="R43"/>
  <c r="AR12"/>
  <c r="AR27"/>
  <c r="AP12"/>
  <c r="AP27"/>
  <c r="AN12"/>
  <c r="AN27"/>
  <c r="AN42"/>
  <c r="AL12"/>
  <c r="AL27"/>
  <c r="AL42"/>
  <c r="AJ12"/>
  <c r="AJ27"/>
  <c r="AJ42"/>
  <c r="AR100"/>
  <c r="AR11"/>
  <c r="AR26"/>
  <c r="AR41"/>
  <c r="AP11"/>
  <c r="AP26"/>
  <c r="AP41"/>
  <c r="AN100"/>
  <c r="AN11"/>
  <c r="AN26"/>
  <c r="AN41"/>
  <c r="AL11"/>
  <c r="AL26"/>
  <c r="AL41"/>
  <c r="AL100"/>
  <c r="AJ100"/>
  <c r="AJ11"/>
  <c r="AJ26"/>
  <c r="AJ41"/>
  <c r="V26"/>
  <c r="V41"/>
  <c r="R26"/>
  <c r="R41"/>
  <c r="P23"/>
  <c r="P8"/>
  <c r="AQ8"/>
  <c r="AQ23"/>
  <c r="AQ38"/>
  <c r="AO8"/>
  <c r="AO23"/>
  <c r="AO38"/>
  <c r="AM100"/>
  <c r="AM8"/>
  <c r="AM23"/>
  <c r="AM38"/>
  <c r="AK8"/>
  <c r="AK23"/>
  <c r="AK38"/>
  <c r="AI100"/>
  <c r="AI8"/>
  <c r="AI23"/>
  <c r="AI38"/>
  <c r="AE8"/>
  <c r="AE97" s="1"/>
  <c r="AE38"/>
  <c r="AA8"/>
  <c r="AA38"/>
  <c r="W8"/>
  <c r="W97" s="1"/>
  <c r="W38"/>
  <c r="S8"/>
  <c r="S38"/>
  <c r="Q23"/>
  <c r="Q100"/>
  <c r="AQ10"/>
  <c r="AQ25"/>
  <c r="AQ40"/>
  <c r="AO10"/>
  <c r="AO25"/>
  <c r="AO40"/>
  <c r="AM10"/>
  <c r="AM25"/>
  <c r="AM40"/>
  <c r="AK10"/>
  <c r="AK25"/>
  <c r="AK40"/>
  <c r="AI10"/>
  <c r="AI25"/>
  <c r="AI40"/>
  <c r="AG10"/>
  <c r="AG40"/>
  <c r="AC10"/>
  <c r="AC40"/>
  <c r="Y10"/>
  <c r="Y40"/>
  <c r="U10"/>
  <c r="U40"/>
  <c r="Q10"/>
  <c r="Q40"/>
  <c r="AR17"/>
  <c r="AR32"/>
  <c r="AP17"/>
  <c r="AP32"/>
  <c r="AN17"/>
  <c r="AN32"/>
  <c r="AL17"/>
  <c r="AL32"/>
  <c r="AJ17"/>
  <c r="AJ32"/>
  <c r="AH17"/>
  <c r="AH47"/>
  <c r="AF17"/>
  <c r="AF47"/>
  <c r="AD17"/>
  <c r="AD47"/>
  <c r="AB17"/>
  <c r="AB47"/>
  <c r="Z17"/>
  <c r="Z47"/>
  <c r="X17"/>
  <c r="X47"/>
  <c r="V17"/>
  <c r="V47"/>
  <c r="T17"/>
  <c r="T47"/>
  <c r="R17"/>
  <c r="R47"/>
  <c r="N144"/>
  <c r="AB23" i="4"/>
  <c r="M23"/>
  <c r="AG100" i="3"/>
  <c r="AE100"/>
  <c r="AC100"/>
  <c r="AA100"/>
  <c r="Y100"/>
  <c r="W100"/>
  <c r="U100"/>
  <c r="S100"/>
  <c r="P100"/>
  <c r="Q38"/>
  <c r="S23"/>
  <c r="U8"/>
  <c r="Y38"/>
  <c r="AA23"/>
  <c r="AA98" s="1"/>
  <c r="AC8"/>
  <c r="AG38"/>
  <c r="Q25"/>
  <c r="S10"/>
  <c r="W40"/>
  <c r="Y25"/>
  <c r="AA10"/>
  <c r="AE40"/>
  <c r="AG25"/>
  <c r="AG98" s="1"/>
  <c r="T43"/>
  <c r="AB43"/>
  <c r="R44"/>
  <c r="Z44"/>
  <c r="AH44"/>
  <c r="R48"/>
  <c r="T48"/>
  <c r="V48"/>
  <c r="X48"/>
  <c r="AA27" i="4" s="1"/>
  <c r="Z48" i="3"/>
  <c r="AB48"/>
  <c r="AE27" i="4" s="1"/>
  <c r="AD48" i="3"/>
  <c r="AF48"/>
  <c r="AH48"/>
  <c r="AL27" i="4" s="1"/>
  <c r="R11" i="3"/>
  <c r="V11"/>
  <c r="Z11"/>
  <c r="AD11"/>
  <c r="AH11"/>
  <c r="T12"/>
  <c r="X12"/>
  <c r="AB12"/>
  <c r="AF12"/>
  <c r="R13"/>
  <c r="V13"/>
  <c r="Z13"/>
  <c r="AD13"/>
  <c r="AH13"/>
  <c r="T14"/>
  <c r="X14"/>
  <c r="AB14"/>
  <c r="AF14"/>
  <c r="R18"/>
  <c r="V33"/>
  <c r="Z33"/>
  <c r="AD33"/>
  <c r="AH33"/>
  <c r="P29"/>
  <c r="AH32"/>
  <c r="AF32"/>
  <c r="AD32"/>
  <c r="AB32"/>
  <c r="Z32"/>
  <c r="X32"/>
  <c r="V32"/>
  <c r="T32"/>
  <c r="R32"/>
  <c r="AM27" i="4"/>
  <c r="AR47" i="3"/>
  <c r="AP47"/>
  <c r="AN47"/>
  <c r="AL47"/>
  <c r="AJ47"/>
  <c r="AR44"/>
  <c r="AP44"/>
  <c r="AN44"/>
  <c r="AL44"/>
  <c r="AJ44"/>
  <c r="AR43"/>
  <c r="AP43"/>
  <c r="AN43"/>
  <c r="AL43"/>
  <c r="AJ43"/>
  <c r="AR42"/>
  <c r="AP42"/>
  <c r="AQ100"/>
  <c r="E73"/>
  <c r="E77"/>
  <c r="E64"/>
  <c r="I27" i="4"/>
  <c r="F77" i="3"/>
  <c r="H77"/>
  <c r="J77"/>
  <c r="L77"/>
  <c r="F79"/>
  <c r="H79"/>
  <c r="J79"/>
  <c r="L79"/>
  <c r="E72"/>
  <c r="E74"/>
  <c r="E76"/>
  <c r="G64"/>
  <c r="I64"/>
  <c r="K64"/>
  <c r="E58"/>
  <c r="E60"/>
  <c r="E62"/>
  <c r="E102"/>
  <c r="V27" i="4"/>
  <c r="Y27"/>
  <c r="AC27"/>
  <c r="AI27"/>
  <c r="AJ27"/>
  <c r="AE98" i="3"/>
  <c r="T23" i="4"/>
  <c r="U23"/>
  <c r="AF23"/>
  <c r="X23"/>
  <c r="AG23"/>
  <c r="Y23"/>
  <c r="Q23"/>
  <c r="I23"/>
  <c r="J23"/>
  <c r="P23"/>
  <c r="K115" i="3"/>
  <c r="O115"/>
  <c r="L115"/>
  <c r="J115"/>
  <c r="I115"/>
  <c r="M115"/>
  <c r="N115"/>
  <c r="AO100"/>
  <c r="AD23" i="4"/>
  <c r="Z23"/>
  <c r="V23"/>
  <c r="R23"/>
  <c r="AE23"/>
  <c r="AA23"/>
  <c r="W23"/>
  <c r="S23"/>
  <c r="O23"/>
  <c r="K23"/>
  <c r="G23"/>
  <c r="N23"/>
  <c r="AK27"/>
  <c r="AK100" i="3"/>
  <c r="AN23" i="4"/>
  <c r="G6" i="6"/>
  <c r="H6" s="1"/>
  <c r="I6" s="1"/>
  <c r="F8"/>
  <c r="G6" i="8"/>
  <c r="H6" s="1"/>
  <c r="I6" s="1"/>
  <c r="F8"/>
  <c r="AI23" i="4"/>
  <c r="L123" i="3"/>
  <c r="AQ27" i="4"/>
  <c r="AN27"/>
  <c r="AO23"/>
  <c r="D134" i="3"/>
  <c r="F23" i="4"/>
  <c r="AR23"/>
  <c r="AJ23"/>
  <c r="E23"/>
  <c r="AP27"/>
  <c r="AO27"/>
  <c r="O101" i="3"/>
  <c r="J35" i="6"/>
  <c r="D20" i="4"/>
  <c r="D35" s="1"/>
  <c r="E32" s="1"/>
  <c r="AP23"/>
  <c r="AL23"/>
  <c r="AQ23"/>
  <c r="AK23"/>
  <c r="T27"/>
  <c r="W27"/>
  <c r="X27"/>
  <c r="M101" i="3"/>
  <c r="N101"/>
  <c r="H102"/>
  <c r="K102"/>
  <c r="I102"/>
  <c r="G102"/>
  <c r="Q15" i="4"/>
  <c r="F26" i="6"/>
  <c r="G26" s="1"/>
  <c r="H26" s="1"/>
  <c r="I26" s="1"/>
  <c r="J26" s="1"/>
  <c r="K26" s="1"/>
  <c r="L26" s="1"/>
  <c r="M26" s="1"/>
  <c r="N26" s="1"/>
  <c r="O26" s="1"/>
  <c r="P26" s="1"/>
  <c r="Q26" s="1"/>
  <c r="R26" s="1"/>
  <c r="S26" s="1"/>
  <c r="T26" s="1"/>
  <c r="U26" s="1"/>
  <c r="V26" s="1"/>
  <c r="AM23" i="4"/>
  <c r="U98" i="3" l="1"/>
  <c r="AM99"/>
  <c r="P97"/>
  <c r="AC98"/>
  <c r="Y98"/>
  <c r="Q97"/>
  <c r="R27" i="17"/>
  <c r="R44" s="1"/>
  <c r="O102" i="3"/>
  <c r="I101"/>
  <c r="J102"/>
  <c r="E25" i="4"/>
  <c r="G101" i="3"/>
  <c r="F14" i="4"/>
  <c r="F15" s="1"/>
  <c r="N14"/>
  <c r="N15" s="1"/>
  <c r="N100" i="3"/>
  <c r="F27" i="4"/>
  <c r="K101" i="3"/>
  <c r="L102"/>
  <c r="S98"/>
  <c r="AC99"/>
  <c r="G27" i="4"/>
  <c r="P12" i="17"/>
  <c r="T12"/>
  <c r="Q12"/>
  <c r="U12"/>
  <c r="S12"/>
  <c r="AI99" i="3"/>
  <c r="M27" i="4"/>
  <c r="N102" i="3"/>
  <c r="N27" i="4"/>
  <c r="I100" i="3"/>
  <c r="E27" i="4"/>
  <c r="H27"/>
  <c r="Y97" i="3"/>
  <c r="O9" i="4"/>
  <c r="G24" i="8"/>
  <c r="G24" i="6"/>
  <c r="G25"/>
  <c r="E14" i="4"/>
  <c r="E15" s="1"/>
  <c r="M14"/>
  <c r="M15" s="1"/>
  <c r="AH27"/>
  <c r="AD27"/>
  <c r="Z27"/>
  <c r="U27"/>
  <c r="AR27"/>
  <c r="Q34" i="8"/>
  <c r="AC33" i="4"/>
  <c r="AA34" i="8"/>
  <c r="W34"/>
  <c r="K14" i="4"/>
  <c r="K15" s="1"/>
  <c r="AG27"/>
  <c r="AB27"/>
  <c r="AF27"/>
  <c r="S99" i="3"/>
  <c r="AA99"/>
  <c r="AK33" i="4"/>
  <c r="AL33"/>
  <c r="AR33"/>
  <c r="P99" i="3"/>
  <c r="Q34" i="6"/>
  <c r="Z97" i="3"/>
  <c r="M102"/>
  <c r="F102"/>
  <c r="L100"/>
  <c r="H100"/>
  <c r="AK98"/>
  <c r="U46" i="17"/>
  <c r="S46"/>
  <c r="Q46"/>
  <c r="T46"/>
  <c r="AG97" i="3"/>
  <c r="W33" i="4"/>
  <c r="AH97" i="3"/>
  <c r="W99"/>
  <c r="AK99"/>
  <c r="AQ99"/>
  <c r="AJ98"/>
  <c r="AJ99"/>
  <c r="U99"/>
  <c r="AR99"/>
  <c r="T97"/>
  <c r="AD99"/>
  <c r="S97"/>
  <c r="AM97"/>
  <c r="AJ97"/>
  <c r="AN97"/>
  <c r="AL99"/>
  <c r="AP98"/>
  <c r="AE99"/>
  <c r="AO33" i="4"/>
  <c r="AQ33"/>
  <c r="AI97" i="3"/>
  <c r="AH33" i="4"/>
  <c r="AP33"/>
  <c r="J14"/>
  <c r="J15" s="1"/>
  <c r="Y99" i="3"/>
  <c r="J100"/>
  <c r="F100"/>
  <c r="G100"/>
  <c r="Q99"/>
  <c r="K100"/>
  <c r="AF99"/>
  <c r="AG99"/>
  <c r="AO98"/>
  <c r="AQ97"/>
  <c r="I14" i="4"/>
  <c r="I15" s="1"/>
  <c r="J35" i="8"/>
  <c r="Z99" i="3"/>
  <c r="AC97"/>
  <c r="P98"/>
  <c r="AL97"/>
  <c r="AN98"/>
  <c r="AR97"/>
  <c r="AL98"/>
  <c r="AN99"/>
  <c r="T98"/>
  <c r="X98"/>
  <c r="AB98"/>
  <c r="AF98"/>
  <c r="AR98"/>
  <c r="AP99"/>
  <c r="AB97"/>
  <c r="AD97"/>
  <c r="AF97"/>
  <c r="X97"/>
  <c r="R97"/>
  <c r="AB99"/>
  <c r="T99"/>
  <c r="U97"/>
  <c r="V99"/>
  <c r="AK97"/>
  <c r="AM98"/>
  <c r="R98"/>
  <c r="V98"/>
  <c r="Z98"/>
  <c r="AD98"/>
  <c r="AH98"/>
  <c r="S33" i="4"/>
  <c r="V97" i="3"/>
  <c r="Q98"/>
  <c r="AA97"/>
  <c r="AI98"/>
  <c r="AO99"/>
  <c r="AO97"/>
  <c r="AQ98"/>
  <c r="R99"/>
  <c r="AP97"/>
  <c r="AH99"/>
  <c r="X99"/>
  <c r="F25" i="4"/>
  <c r="M25"/>
  <c r="K25"/>
  <c r="L25"/>
  <c r="AI33"/>
  <c r="I25"/>
  <c r="J25"/>
  <c r="N25"/>
  <c r="G25"/>
  <c r="H25"/>
  <c r="AM33"/>
  <c r="F101" i="3"/>
  <c r="O24" i="4"/>
  <c r="P24"/>
  <c r="J24"/>
  <c r="Y24"/>
  <c r="Z24"/>
  <c r="AP24"/>
  <c r="AK24"/>
  <c r="Q24"/>
  <c r="L101" i="3"/>
  <c r="H101"/>
  <c r="J101"/>
  <c r="E24" i="4"/>
  <c r="M24"/>
  <c r="F24"/>
  <c r="E100" i="3"/>
  <c r="E101"/>
  <c r="T33" i="4"/>
  <c r="G8" i="8"/>
  <c r="F7"/>
  <c r="G8" i="6"/>
  <c r="F7"/>
  <c r="AE33" i="4"/>
  <c r="AG33"/>
  <c r="U33"/>
  <c r="Q33"/>
  <c r="K35" i="6"/>
  <c r="J33" i="4"/>
  <c r="R28"/>
  <c r="N33" l="1"/>
  <c r="S27" i="17"/>
  <c r="S44" s="1"/>
  <c r="U27"/>
  <c r="U44" s="1"/>
  <c r="Q27"/>
  <c r="Q44" s="1"/>
  <c r="T27"/>
  <c r="T44" s="1"/>
  <c r="P27"/>
  <c r="P44" s="1"/>
  <c r="M33" i="4"/>
  <c r="K33"/>
  <c r="H24" i="8"/>
  <c r="H24" i="6"/>
  <c r="H25"/>
  <c r="Y33" i="4"/>
  <c r="V33"/>
  <c r="V34" i="6"/>
  <c r="F34"/>
  <c r="J34"/>
  <c r="H34"/>
  <c r="N34"/>
  <c r="T34"/>
  <c r="E34"/>
  <c r="S34"/>
  <c r="Z34" i="8"/>
  <c r="I34" i="6"/>
  <c r="Y34" i="8"/>
  <c r="Z33" i="4"/>
  <c r="AK26"/>
  <c r="AL26"/>
  <c r="AQ26"/>
  <c r="AR26"/>
  <c r="AD26"/>
  <c r="P14"/>
  <c r="AA33"/>
  <c r="G34" i="6"/>
  <c r="AG26" i="4"/>
  <c r="AH26"/>
  <c r="AM26"/>
  <c r="AN26"/>
  <c r="L34" i="6"/>
  <c r="AC34" i="8"/>
  <c r="P34" i="6"/>
  <c r="AD34" i="8"/>
  <c r="AB34"/>
  <c r="U34" i="6"/>
  <c r="M34"/>
  <c r="R34"/>
  <c r="AF34" i="8"/>
  <c r="X34"/>
  <c r="AE34"/>
  <c r="K34" i="6"/>
  <c r="AF33" i="4"/>
  <c r="AI26"/>
  <c r="AJ26"/>
  <c r="O34" i="6"/>
  <c r="AP26" i="4"/>
  <c r="AO26"/>
  <c r="AE26"/>
  <c r="AF26"/>
  <c r="H24"/>
  <c r="AJ24"/>
  <c r="AD24"/>
  <c r="AG24"/>
  <c r="S24"/>
  <c r="R24"/>
  <c r="AH24"/>
  <c r="T24"/>
  <c r="AQ24"/>
  <c r="K24"/>
  <c r="L24"/>
  <c r="AB24"/>
  <c r="U24"/>
  <c r="AA24"/>
  <c r="V24"/>
  <c r="N24"/>
  <c r="X24"/>
  <c r="AR24"/>
  <c r="AO24"/>
  <c r="G33"/>
  <c r="G24"/>
  <c r="AL24"/>
  <c r="AM24"/>
  <c r="AE24"/>
  <c r="AF24"/>
  <c r="W24"/>
  <c r="AC24"/>
  <c r="AN24"/>
  <c r="AI24"/>
  <c r="I24"/>
  <c r="I33"/>
  <c r="K35" i="8"/>
  <c r="K26" i="4"/>
  <c r="G26"/>
  <c r="N26"/>
  <c r="F26"/>
  <c r="F29" s="1"/>
  <c r="F34" s="1"/>
  <c r="E26"/>
  <c r="E29" s="1"/>
  <c r="E34" s="1"/>
  <c r="L26"/>
  <c r="M26"/>
  <c r="M29" s="1"/>
  <c r="H26"/>
  <c r="I26"/>
  <c r="J26"/>
  <c r="J29" s="1"/>
  <c r="J34" s="1"/>
  <c r="L14"/>
  <c r="L15" s="1"/>
  <c r="H14"/>
  <c r="H15" s="1"/>
  <c r="H8" i="6"/>
  <c r="G7"/>
  <c r="G7" i="8"/>
  <c r="H8"/>
  <c r="L35" i="6"/>
  <c r="S28" i="4"/>
  <c r="P15" l="1"/>
  <c r="I24" i="8"/>
  <c r="I24" i="6"/>
  <c r="I25"/>
  <c r="G29" i="4"/>
  <c r="G34" s="1"/>
  <c r="R46" i="17"/>
  <c r="R33" i="4"/>
  <c r="AD33"/>
  <c r="D34" i="6"/>
  <c r="I73"/>
  <c r="M34" i="8"/>
  <c r="U34"/>
  <c r="AJ33" i="4"/>
  <c r="G34" i="8"/>
  <c r="P46" i="17"/>
  <c r="P33" i="4"/>
  <c r="N34" i="8"/>
  <c r="H34"/>
  <c r="V34"/>
  <c r="AN33" i="4"/>
  <c r="O34" i="8"/>
  <c r="D34"/>
  <c r="K34"/>
  <c r="R34"/>
  <c r="P34"/>
  <c r="L34"/>
  <c r="AB33" i="4"/>
  <c r="X33"/>
  <c r="I34" i="8"/>
  <c r="S34"/>
  <c r="E34"/>
  <c r="T34"/>
  <c r="J34"/>
  <c r="F34"/>
  <c r="L29" i="4"/>
  <c r="L34" s="1"/>
  <c r="I29"/>
  <c r="I34" s="1"/>
  <c r="N29"/>
  <c r="N34" s="1"/>
  <c r="H29"/>
  <c r="H34" s="1"/>
  <c r="K29"/>
  <c r="K34" s="1"/>
  <c r="L35" i="8"/>
  <c r="F33" i="4"/>
  <c r="L33"/>
  <c r="M124" i="3"/>
  <c r="M34" i="4"/>
  <c r="E33"/>
  <c r="E35" s="1"/>
  <c r="F32" s="1"/>
  <c r="H33"/>
  <c r="I8" i="8"/>
  <c r="H7"/>
  <c r="I8" i="6"/>
  <c r="H7"/>
  <c r="M35"/>
  <c r="T28" i="4"/>
  <c r="J24" i="8" l="1"/>
  <c r="J24" i="6"/>
  <c r="J25"/>
  <c r="N124" i="3"/>
  <c r="F35" i="4"/>
  <c r="G32" s="1"/>
  <c r="G35" s="1"/>
  <c r="H32" s="1"/>
  <c r="H35" s="1"/>
  <c r="I32" s="1"/>
  <c r="I35" s="1"/>
  <c r="J32" s="1"/>
  <c r="J35" s="1"/>
  <c r="K32" s="1"/>
  <c r="K35" s="1"/>
  <c r="L32" s="1"/>
  <c r="L35" s="1"/>
  <c r="M35" i="8"/>
  <c r="J8" i="6"/>
  <c r="I7"/>
  <c r="J8" i="8"/>
  <c r="I7"/>
  <c r="N35" i="6"/>
  <c r="U28" i="4"/>
  <c r="K24" i="8" l="1"/>
  <c r="K24" i="6"/>
  <c r="K25"/>
  <c r="N35" i="8"/>
  <c r="M32" i="4"/>
  <c r="M35" s="1"/>
  <c r="N32" s="1"/>
  <c r="N35" s="1"/>
  <c r="O32" s="1"/>
  <c r="L118" i="3"/>
  <c r="L128" s="1"/>
  <c r="K8" i="8"/>
  <c r="J7"/>
  <c r="K8" i="6"/>
  <c r="J7"/>
  <c r="O35"/>
  <c r="V28" i="4"/>
  <c r="L24" i="8" l="1"/>
  <c r="L24" i="6"/>
  <c r="L25"/>
  <c r="O35" i="8"/>
  <c r="K7" i="6"/>
  <c r="L8"/>
  <c r="K7" i="8"/>
  <c r="L8"/>
  <c r="P35" i="6"/>
  <c r="W28" i="4"/>
  <c r="M24" i="8" l="1"/>
  <c r="M24" i="6"/>
  <c r="M25"/>
  <c r="P35" i="8"/>
  <c r="M8"/>
  <c r="L7"/>
  <c r="L7" i="6"/>
  <c r="M8"/>
  <c r="Q35"/>
  <c r="X28" i="4"/>
  <c r="N24" i="8" l="1"/>
  <c r="N24" i="6"/>
  <c r="N25"/>
  <c r="Q35" i="8"/>
  <c r="N8" i="6"/>
  <c r="M7"/>
  <c r="M7" i="8"/>
  <c r="N8"/>
  <c r="R35" i="6"/>
  <c r="Y28" i="4"/>
  <c r="O24" i="8" l="1"/>
  <c r="O24" i="6"/>
  <c r="O25"/>
  <c r="R35" i="8"/>
  <c r="O8"/>
  <c r="N7"/>
  <c r="O8" i="6"/>
  <c r="N7"/>
  <c r="S35"/>
  <c r="Z28" i="4"/>
  <c r="P24" i="8" l="1"/>
  <c r="P24" i="6"/>
  <c r="P25"/>
  <c r="S35" i="8"/>
  <c r="O7" i="6"/>
  <c r="P8"/>
  <c r="P8" i="8"/>
  <c r="O7"/>
  <c r="T35" i="6"/>
  <c r="AA28" i="4"/>
  <c r="Q24" i="8" l="1"/>
  <c r="Q24" i="6"/>
  <c r="Q25"/>
  <c r="T35" i="8"/>
  <c r="P7" i="6"/>
  <c r="Q8"/>
  <c r="P7" i="8"/>
  <c r="Q8"/>
  <c r="U35" i="6"/>
  <c r="AB28" i="4"/>
  <c r="R24" i="8" l="1"/>
  <c r="R24" i="6"/>
  <c r="R25"/>
  <c r="U35" i="8"/>
  <c r="R8"/>
  <c r="Q7"/>
  <c r="R8" i="6"/>
  <c r="Q7"/>
  <c r="V35"/>
  <c r="AC28" i="4"/>
  <c r="S24" i="8" l="1"/>
  <c r="S24" i="6"/>
  <c r="S25"/>
  <c r="V35" i="8"/>
  <c r="S8" i="6"/>
  <c r="R7"/>
  <c r="R7" i="8"/>
  <c r="S8"/>
  <c r="AD28" i="4"/>
  <c r="T24" i="8" l="1"/>
  <c r="T24" i="6"/>
  <c r="T25"/>
  <c r="W35" i="8"/>
  <c r="T8"/>
  <c r="S7"/>
  <c r="S7" i="6"/>
  <c r="T8"/>
  <c r="AE28" i="4"/>
  <c r="U24" i="8" l="1"/>
  <c r="U24" i="6"/>
  <c r="U25"/>
  <c r="X35" i="8"/>
  <c r="U8" i="6"/>
  <c r="T7"/>
  <c r="T7" i="8"/>
  <c r="U8"/>
  <c r="AF28" i="4"/>
  <c r="V24" i="8" l="1"/>
  <c r="V24" i="6"/>
  <c r="V25"/>
  <c r="Y35" i="8"/>
  <c r="V8"/>
  <c r="U7"/>
  <c r="V8" i="6"/>
  <c r="V7" s="1"/>
  <c r="U7"/>
  <c r="AG28" i="4"/>
  <c r="W24" i="8" l="1"/>
  <c r="Z35"/>
  <c r="V7"/>
  <c r="W8"/>
  <c r="AH28" i="4"/>
  <c r="X24" i="8" l="1"/>
  <c r="AA35"/>
  <c r="W7"/>
  <c r="X8"/>
  <c r="AI28" i="4"/>
  <c r="Y24" i="8" l="1"/>
  <c r="AB35"/>
  <c r="X7"/>
  <c r="Y8"/>
  <c r="AJ28" i="4"/>
  <c r="Z24" i="8" l="1"/>
  <c r="AC35"/>
  <c r="Y7"/>
  <c r="Z8"/>
  <c r="AK28" i="4"/>
  <c r="AA24" i="8" l="1"/>
  <c r="AD35"/>
  <c r="Z7"/>
  <c r="AA8"/>
  <c r="AL28" i="4"/>
  <c r="AB24" i="8" l="1"/>
  <c r="AE35"/>
  <c r="AF35"/>
  <c r="AB8"/>
  <c r="AA7"/>
  <c r="AM28" i="4"/>
  <c r="AC24" i="8" l="1"/>
  <c r="AC8"/>
  <c r="AB7"/>
  <c r="AN28" i="4"/>
  <c r="AD24" i="8" l="1"/>
  <c r="AD8"/>
  <c r="AC7"/>
  <c r="AO28" i="4"/>
  <c r="AE24" i="8" l="1"/>
  <c r="AE8"/>
  <c r="AD7"/>
  <c r="AP28" i="4"/>
  <c r="AF24" i="8" l="1"/>
  <c r="AF8"/>
  <c r="AF7" s="1"/>
  <c r="AE7"/>
  <c r="AQ28" i="4"/>
  <c r="AR28" l="1"/>
  <c r="D33" i="8" l="1"/>
  <c r="D16"/>
  <c r="D16" i="6"/>
  <c r="D33"/>
  <c r="D37" s="1"/>
  <c r="P10" i="17" l="1"/>
  <c r="D37" i="8"/>
  <c r="E16" i="6"/>
  <c r="E33"/>
  <c r="E37" s="1"/>
  <c r="D41"/>
  <c r="D63"/>
  <c r="E33" i="8"/>
  <c r="E16"/>
  <c r="P42" i="17" l="1"/>
  <c r="P25"/>
  <c r="Q10"/>
  <c r="E37" i="8"/>
  <c r="F16" i="6"/>
  <c r="F33"/>
  <c r="F37" s="1"/>
  <c r="G16"/>
  <c r="G33"/>
  <c r="G37" s="1"/>
  <c r="F16" i="8"/>
  <c r="F33"/>
  <c r="E63" i="6"/>
  <c r="E41"/>
  <c r="D63" i="8"/>
  <c r="D41"/>
  <c r="C6" i="18"/>
  <c r="C7" s="1"/>
  <c r="C9" s="1"/>
  <c r="G33" i="8"/>
  <c r="G16"/>
  <c r="Q42" i="17" l="1"/>
  <c r="Q25"/>
  <c r="D74" i="8"/>
  <c r="D5" i="18"/>
  <c r="H33" i="8"/>
  <c r="H16"/>
  <c r="S10" i="17"/>
  <c r="G37" i="8"/>
  <c r="R10" i="17"/>
  <c r="F37" i="8"/>
  <c r="G63" i="6"/>
  <c r="G41"/>
  <c r="F41"/>
  <c r="F63"/>
  <c r="D6" i="18"/>
  <c r="D7" s="1"/>
  <c r="E63" i="8"/>
  <c r="E41"/>
  <c r="H33" i="6"/>
  <c r="H37" s="1"/>
  <c r="H16"/>
  <c r="R42" i="17" l="1"/>
  <c r="S42"/>
  <c r="R25"/>
  <c r="S25"/>
  <c r="H63" i="6"/>
  <c r="H41"/>
  <c r="F41" i="8"/>
  <c r="E6" i="18"/>
  <c r="E7" s="1"/>
  <c r="F63" i="8"/>
  <c r="G41"/>
  <c r="F6" i="18"/>
  <c r="F7" s="1"/>
  <c r="G63" i="8"/>
  <c r="T10" i="17"/>
  <c r="H37" i="8"/>
  <c r="I16"/>
  <c r="I33"/>
  <c r="D8" i="18"/>
  <c r="D9" s="1"/>
  <c r="I16" i="6"/>
  <c r="I33"/>
  <c r="I37" s="1"/>
  <c r="T42" i="17" l="1"/>
  <c r="T25"/>
  <c r="E74" i="8"/>
  <c r="E5" i="18"/>
  <c r="E8" s="1"/>
  <c r="E9" s="1"/>
  <c r="I37" i="8"/>
  <c r="U10" i="17"/>
  <c r="I63" i="6"/>
  <c r="I41"/>
  <c r="G6" i="18"/>
  <c r="G7" s="1"/>
  <c r="H63" i="8"/>
  <c r="H41"/>
  <c r="U42" i="17" l="1"/>
  <c r="U25"/>
  <c r="I41" i="8"/>
  <c r="H6" i="18"/>
  <c r="H7" s="1"/>
  <c r="I63" i="8"/>
  <c r="F74"/>
  <c r="F5" i="18"/>
  <c r="F8" s="1"/>
  <c r="F9" s="1"/>
  <c r="G74" i="8" l="1"/>
  <c r="G5" i="18"/>
  <c r="G8" s="1"/>
  <c r="G9" s="1"/>
  <c r="H5" l="1"/>
  <c r="H8" s="1"/>
  <c r="H9" s="1"/>
  <c r="I74" i="8" s="1"/>
  <c r="H74"/>
  <c r="P115" i="3" l="1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AL115"/>
  <c r="AM115"/>
  <c r="AN115"/>
  <c r="AO115"/>
  <c r="AP115" l="1"/>
  <c r="AQ115" l="1"/>
  <c r="AR115" l="1"/>
  <c r="J33" i="6" l="1"/>
  <c r="J37" s="1"/>
  <c r="J16"/>
  <c r="K16" i="8"/>
  <c r="K33"/>
  <c r="J33"/>
  <c r="J16"/>
  <c r="K16" i="6"/>
  <c r="K33"/>
  <c r="K37" s="1"/>
  <c r="K63" l="1"/>
  <c r="K41"/>
  <c r="L16" i="8"/>
  <c r="L33"/>
  <c r="J37"/>
  <c r="K37"/>
  <c r="J41" i="6"/>
  <c r="J63"/>
  <c r="L16"/>
  <c r="L33"/>
  <c r="L37" s="1"/>
  <c r="L41" l="1"/>
  <c r="L63"/>
  <c r="M33"/>
  <c r="M37" s="1"/>
  <c r="M16"/>
  <c r="L37" i="8"/>
  <c r="K63"/>
  <c r="K41"/>
  <c r="J63"/>
  <c r="J41"/>
  <c r="M33"/>
  <c r="M16"/>
  <c r="M37" l="1"/>
  <c r="N33" i="6"/>
  <c r="N37" s="1"/>
  <c r="N16"/>
  <c r="L41" i="8"/>
  <c r="L63"/>
  <c r="M41" i="6"/>
  <c r="M63"/>
  <c r="N16" i="8"/>
  <c r="N33"/>
  <c r="O16" l="1"/>
  <c r="O33"/>
  <c r="N37"/>
  <c r="O33" i="6"/>
  <c r="O37" s="1"/>
  <c r="O16"/>
  <c r="N63"/>
  <c r="N41"/>
  <c r="M41" i="8"/>
  <c r="M63"/>
  <c r="O41" i="6" l="1"/>
  <c r="O63"/>
  <c r="N63" i="8"/>
  <c r="N41"/>
  <c r="P16" i="6"/>
  <c r="P33"/>
  <c r="P37" s="1"/>
  <c r="O37" i="8"/>
  <c r="P33"/>
  <c r="P16"/>
  <c r="P37" l="1"/>
  <c r="Q16"/>
  <c r="Q33"/>
  <c r="O63"/>
  <c r="O41"/>
  <c r="Q16" i="6"/>
  <c r="Q33"/>
  <c r="Q37" s="1"/>
  <c r="P41"/>
  <c r="P63"/>
  <c r="Q41" l="1"/>
  <c r="Q63"/>
  <c r="R33" i="8"/>
  <c r="R16"/>
  <c r="P41"/>
  <c r="P63"/>
  <c r="Q37"/>
  <c r="R16" i="6"/>
  <c r="R33"/>
  <c r="R37" s="1"/>
  <c r="R37" i="8" l="1"/>
  <c r="S33"/>
  <c r="S16"/>
  <c r="R41" i="6"/>
  <c r="R63"/>
  <c r="Q41" i="8"/>
  <c r="Q63"/>
  <c r="S16" i="6"/>
  <c r="S33"/>
  <c r="S37" s="1"/>
  <c r="R41" i="8" l="1"/>
  <c r="R63"/>
  <c r="T16"/>
  <c r="T33"/>
  <c r="S41" i="6"/>
  <c r="S63"/>
  <c r="S37" i="8"/>
  <c r="T33" i="6"/>
  <c r="T37" s="1"/>
  <c r="T16"/>
  <c r="T37" i="8" l="1"/>
  <c r="U16"/>
  <c r="U33"/>
  <c r="T41" i="6"/>
  <c r="T63"/>
  <c r="S41" i="8"/>
  <c r="S63"/>
  <c r="U33" i="6"/>
  <c r="U37" s="1"/>
  <c r="U16"/>
  <c r="W33" i="8" l="1"/>
  <c r="W16"/>
  <c r="U63" i="6"/>
  <c r="U41"/>
  <c r="U37" i="8"/>
  <c r="T41"/>
  <c r="T63"/>
  <c r="V16" i="6"/>
  <c r="V33"/>
  <c r="V37" s="1"/>
  <c r="V33" i="8"/>
  <c r="V16"/>
  <c r="V63" i="6" l="1"/>
  <c r="V41"/>
  <c r="C41" s="1"/>
  <c r="U41" i="8"/>
  <c r="U63"/>
  <c r="W37"/>
  <c r="X33"/>
  <c r="X16"/>
  <c r="V37"/>
  <c r="X37" l="1"/>
  <c r="W63"/>
  <c r="W41"/>
  <c r="Y33"/>
  <c r="Y16"/>
  <c r="V41"/>
  <c r="V63"/>
  <c r="X41" l="1"/>
  <c r="X63"/>
  <c r="Z16"/>
  <c r="Z33"/>
  <c r="Y37"/>
  <c r="AA33" l="1"/>
  <c r="AA16"/>
  <c r="Y63"/>
  <c r="Y41"/>
  <c r="Z37"/>
  <c r="Z63" l="1"/>
  <c r="Z41"/>
  <c r="AA37"/>
  <c r="AB33"/>
  <c r="AB16"/>
  <c r="AC33" l="1"/>
  <c r="AC16"/>
  <c r="AB37"/>
  <c r="AA41"/>
  <c r="AA63"/>
  <c r="AD33" l="1"/>
  <c r="AD16"/>
  <c r="AC37"/>
  <c r="AB63"/>
  <c r="AB41"/>
  <c r="AD37" l="1"/>
  <c r="AE33"/>
  <c r="AE16"/>
  <c r="AC41"/>
  <c r="AC63"/>
  <c r="AF33" l="1"/>
  <c r="AF16"/>
  <c r="AD41"/>
  <c r="AD63"/>
  <c r="AE37"/>
  <c r="AE63" l="1"/>
  <c r="AE41"/>
  <c r="AF37"/>
  <c r="AF41" l="1"/>
  <c r="C41" s="1"/>
  <c r="AF63"/>
  <c r="O12" i="4" l="1"/>
  <c r="S27" l="1"/>
  <c r="Q27"/>
  <c r="O27"/>
  <c r="P27"/>
  <c r="R27"/>
  <c r="O122" i="3"/>
  <c r="O123" s="1"/>
  <c r="O11" i="4" l="1"/>
  <c r="AA26" l="1"/>
  <c r="AB26"/>
  <c r="R26"/>
  <c r="Q26"/>
  <c r="Y26"/>
  <c r="X26"/>
  <c r="W26"/>
  <c r="AC26"/>
  <c r="T26"/>
  <c r="O26"/>
  <c r="S26"/>
  <c r="P26"/>
  <c r="Z26"/>
  <c r="U26"/>
  <c r="V26"/>
  <c r="O10" l="1"/>
  <c r="O144" i="3"/>
  <c r="AI25" i="4" l="1"/>
  <c r="AI29" s="1"/>
  <c r="V25"/>
  <c r="V29" s="1"/>
  <c r="AR25"/>
  <c r="AR29" s="1"/>
  <c r="AC25"/>
  <c r="AC29" s="1"/>
  <c r="AM25"/>
  <c r="AM29" s="1"/>
  <c r="AQ25"/>
  <c r="AQ29" s="1"/>
  <c r="P25"/>
  <c r="P29" s="1"/>
  <c r="AA25"/>
  <c r="AA29" s="1"/>
  <c r="U25"/>
  <c r="U29" s="1"/>
  <c r="AG25"/>
  <c r="AG29" s="1"/>
  <c r="AJ25"/>
  <c r="AJ29" s="1"/>
  <c r="AL25"/>
  <c r="AL29" s="1"/>
  <c r="AE25"/>
  <c r="AE29" s="1"/>
  <c r="R25"/>
  <c r="R29" s="1"/>
  <c r="AB25"/>
  <c r="AB29" s="1"/>
  <c r="S25"/>
  <c r="S29" s="1"/>
  <c r="Z25"/>
  <c r="Z29" s="1"/>
  <c r="AP25"/>
  <c r="AP29" s="1"/>
  <c r="AH25"/>
  <c r="AH29" s="1"/>
  <c r="AO25"/>
  <c r="AO29" s="1"/>
  <c r="AF25"/>
  <c r="AF29" s="1"/>
  <c r="T25"/>
  <c r="T29" s="1"/>
  <c r="Q25"/>
  <c r="Q29" s="1"/>
  <c r="O14"/>
  <c r="AD25"/>
  <c r="AD29" s="1"/>
  <c r="AN25"/>
  <c r="AN29" s="1"/>
  <c r="X25"/>
  <c r="X29" s="1"/>
  <c r="AK25"/>
  <c r="AK29" s="1"/>
  <c r="W25"/>
  <c r="W29" s="1"/>
  <c r="O25"/>
  <c r="O29" s="1"/>
  <c r="Y25"/>
  <c r="Y29" s="1"/>
  <c r="O34" l="1"/>
  <c r="O124" i="3"/>
  <c r="O126" s="1"/>
  <c r="AK34" i="4"/>
  <c r="AN34"/>
  <c r="O15"/>
  <c r="O33"/>
  <c r="T34"/>
  <c r="T14" i="17"/>
  <c r="AO34" i="4"/>
  <c r="AP34"/>
  <c r="S14" i="17"/>
  <c r="S34" i="4"/>
  <c r="R14" i="17"/>
  <c r="R34" i="4"/>
  <c r="AL34"/>
  <c r="AG34"/>
  <c r="AA34"/>
  <c r="AQ34"/>
  <c r="AC34"/>
  <c r="V34"/>
  <c r="Y34"/>
  <c r="W34"/>
  <c r="X34"/>
  <c r="AD34"/>
  <c r="Q14" i="17"/>
  <c r="Q34" i="4"/>
  <c r="AF34"/>
  <c r="AH34"/>
  <c r="Z34"/>
  <c r="AB34"/>
  <c r="AE34"/>
  <c r="AJ34"/>
  <c r="U14" i="17"/>
  <c r="U34" i="4"/>
  <c r="P14" i="17"/>
  <c r="P34" i="4"/>
  <c r="AM34"/>
  <c r="AR34"/>
  <c r="AI34"/>
  <c r="O35" l="1"/>
  <c r="P32" s="1"/>
  <c r="P35" s="1"/>
  <c r="P29" i="17"/>
  <c r="U29"/>
  <c r="Q29"/>
  <c r="R29"/>
  <c r="S29"/>
  <c r="T29"/>
  <c r="O118" i="3" l="1"/>
  <c r="O128" s="1"/>
  <c r="C65" i="6" s="1"/>
  <c r="D45" i="8"/>
  <c r="D76" s="1"/>
  <c r="D45" i="6"/>
  <c r="Q32" i="4"/>
  <c r="Q35" s="1"/>
  <c r="C65" i="8" l="1"/>
  <c r="E75" s="1"/>
  <c r="I65" i="6"/>
  <c r="C49"/>
  <c r="R32" i="4"/>
  <c r="R35" s="1"/>
  <c r="E45" i="8"/>
  <c r="E76" s="1"/>
  <c r="E45" i="6"/>
  <c r="D75" i="8"/>
  <c r="D79" s="1"/>
  <c r="D81" s="1"/>
  <c r="F75"/>
  <c r="I65"/>
  <c r="G75"/>
  <c r="C49"/>
  <c r="C81" l="1"/>
  <c r="P41" i="17" s="1"/>
  <c r="I75" i="8"/>
  <c r="H75"/>
  <c r="E79"/>
  <c r="Q15" i="17" s="1"/>
  <c r="C79" i="8"/>
  <c r="P15" i="17" s="1"/>
  <c r="P54"/>
  <c r="P55"/>
  <c r="Q54"/>
  <c r="F45" i="6"/>
  <c r="S32" i="4"/>
  <c r="S35" s="1"/>
  <c r="F45" i="8"/>
  <c r="F76" s="1"/>
  <c r="P56" i="17" l="1"/>
  <c r="E81" i="8"/>
  <c r="R54" i="17" s="1"/>
  <c r="P36"/>
  <c r="P37" s="1"/>
  <c r="Q55"/>
  <c r="Q56" s="1"/>
  <c r="G45" i="8"/>
  <c r="G76" s="1"/>
  <c r="G45" i="6"/>
  <c r="T32" i="4"/>
  <c r="T35" s="1"/>
  <c r="P17" i="17"/>
  <c r="F79" i="8"/>
  <c r="P57" i="17" l="1"/>
  <c r="Q36"/>
  <c r="R36" s="1"/>
  <c r="S36" s="1"/>
  <c r="U32" i="4"/>
  <c r="U35" s="1"/>
  <c r="H45" i="8"/>
  <c r="H76" s="1"/>
  <c r="H45" i="6"/>
  <c r="G79" i="8"/>
  <c r="G81" s="1"/>
  <c r="R15" i="17"/>
  <c r="P21"/>
  <c r="F81" i="8"/>
  <c r="P22" i="17" l="1"/>
  <c r="P38" s="1"/>
  <c r="R55"/>
  <c r="R56" s="1"/>
  <c r="S54"/>
  <c r="S15"/>
  <c r="I45" i="8"/>
  <c r="V32" i="4"/>
  <c r="V35" s="1"/>
  <c r="I45" i="6"/>
  <c r="I67" s="1"/>
  <c r="T36" i="17"/>
  <c r="T54"/>
  <c r="S55"/>
  <c r="H79" i="8"/>
  <c r="H81" s="1"/>
  <c r="S56" i="17" l="1"/>
  <c r="Q37"/>
  <c r="P48"/>
  <c r="P49" s="1"/>
  <c r="U54"/>
  <c r="T55"/>
  <c r="T56" s="1"/>
  <c r="U36"/>
  <c r="P50"/>
  <c r="I69" i="6"/>
  <c r="I57" s="1"/>
  <c r="I67" i="8"/>
  <c r="I76"/>
  <c r="T15" i="17"/>
  <c r="W32" i="4"/>
  <c r="W35" s="1"/>
  <c r="J45" i="8"/>
  <c r="J45" i="6"/>
  <c r="I70" l="1"/>
  <c r="N65"/>
  <c r="I74"/>
  <c r="I76" s="1"/>
  <c r="I78" s="1"/>
  <c r="I80" s="1"/>
  <c r="I82"/>
  <c r="K45"/>
  <c r="K45" i="8"/>
  <c r="X32" i="4"/>
  <c r="X35" s="1"/>
  <c r="I69" i="8"/>
  <c r="I57" s="1"/>
  <c r="N65" s="1"/>
  <c r="P64" i="17"/>
  <c r="Q41"/>
  <c r="P52"/>
  <c r="I79" i="8"/>
  <c r="I81" s="1"/>
  <c r="P63" i="17"/>
  <c r="P28"/>
  <c r="P30" s="1"/>
  <c r="P31" s="1"/>
  <c r="P32" s="1"/>
  <c r="Q47" s="1"/>
  <c r="Q16" s="1"/>
  <c r="P62"/>
  <c r="P19"/>
  <c r="I83" i="6" l="1"/>
  <c r="U55" i="17"/>
  <c r="U56" s="1"/>
  <c r="Y32" i="4"/>
  <c r="Y35" s="1"/>
  <c r="L45" i="6"/>
  <c r="L45" i="8"/>
  <c r="Q17" i="17"/>
  <c r="U15"/>
  <c r="P61"/>
  <c r="P58"/>
  <c r="I70" i="8"/>
  <c r="Q57" i="17" l="1"/>
  <c r="Q21"/>
  <c r="M45" i="6"/>
  <c r="Z32" i="4"/>
  <c r="Z35" s="1"/>
  <c r="M45" i="8"/>
  <c r="Q22" i="17" l="1"/>
  <c r="Q38" s="1"/>
  <c r="N45" i="8"/>
  <c r="N67" s="1"/>
  <c r="N45" i="6"/>
  <c r="N67" s="1"/>
  <c r="AA32" i="4"/>
  <c r="AA35" s="1"/>
  <c r="R37" i="17" l="1"/>
  <c r="Q48"/>
  <c r="Q49" s="1"/>
  <c r="Q50" s="1"/>
  <c r="AB32" i="4"/>
  <c r="AB35" s="1"/>
  <c r="O45" i="8"/>
  <c r="O45" i="6"/>
  <c r="N69" i="8"/>
  <c r="N57" s="1"/>
  <c r="S65" s="1"/>
  <c r="N69" i="6"/>
  <c r="N57" s="1"/>
  <c r="S65" s="1"/>
  <c r="N70" l="1"/>
  <c r="Q64" i="17"/>
  <c r="R41"/>
  <c r="Q52"/>
  <c r="Q61" s="1"/>
  <c r="N70" i="8"/>
  <c r="P45"/>
  <c r="P45" i="6"/>
  <c r="AC32" i="4"/>
  <c r="AC35" s="1"/>
  <c r="Q28" i="17"/>
  <c r="Q30" s="1"/>
  <c r="Q31" s="1"/>
  <c r="Q32" s="1"/>
  <c r="R47" s="1"/>
  <c r="R16" s="1"/>
  <c r="Q63"/>
  <c r="Q62"/>
  <c r="Q19"/>
  <c r="R17" l="1"/>
  <c r="Q45" i="6"/>
  <c r="AD32" i="4"/>
  <c r="AD35" s="1"/>
  <c r="Q45" i="8"/>
  <c r="Q58" i="17"/>
  <c r="R45" i="6" l="1"/>
  <c r="R45" i="8"/>
  <c r="AE32" i="4"/>
  <c r="AE35" s="1"/>
  <c r="R21" i="17"/>
  <c r="R57"/>
  <c r="R22" l="1"/>
  <c r="R38" s="1"/>
  <c r="S45" i="8"/>
  <c r="S67" s="1"/>
  <c r="S45" i="6"/>
  <c r="S67" s="1"/>
  <c r="AF32" i="4"/>
  <c r="AF35" s="1"/>
  <c r="R48" i="17" l="1"/>
  <c r="R49" s="1"/>
  <c r="S37"/>
  <c r="T45" i="8"/>
  <c r="AG32" i="4"/>
  <c r="AG35" s="1"/>
  <c r="T45" i="6"/>
  <c r="S69" i="8"/>
  <c r="S57" s="1"/>
  <c r="X65" s="1"/>
  <c r="S69" i="6"/>
  <c r="S70" s="1"/>
  <c r="S57" l="1"/>
  <c r="V65" s="1"/>
  <c r="R28" i="17"/>
  <c r="R30" s="1"/>
  <c r="R31" s="1"/>
  <c r="R32" s="1"/>
  <c r="S47" s="1"/>
  <c r="S16" s="1"/>
  <c r="R62"/>
  <c r="R63"/>
  <c r="R19"/>
  <c r="S70" i="8"/>
  <c r="AH32" i="4"/>
  <c r="AH35" s="1"/>
  <c r="U45" i="8"/>
  <c r="U45" i="6"/>
  <c r="R50" i="17"/>
  <c r="R64" l="1"/>
  <c r="R52"/>
  <c r="S41"/>
  <c r="V45" i="6"/>
  <c r="AI32" i="4"/>
  <c r="AI35" s="1"/>
  <c r="V45" i="8"/>
  <c r="S17" i="17"/>
  <c r="V67" i="6" l="1"/>
  <c r="C50"/>
  <c r="C51" s="1"/>
  <c r="R61" i="17"/>
  <c r="R58"/>
  <c r="S57"/>
  <c r="S21"/>
  <c r="AJ32" i="4"/>
  <c r="AJ35" s="1"/>
  <c r="W45" i="8"/>
  <c r="S22" i="17" l="1"/>
  <c r="S38" s="1"/>
  <c r="S48" s="1"/>
  <c r="S49" s="1"/>
  <c r="X45" i="8"/>
  <c r="X67" s="1"/>
  <c r="AK32" i="4"/>
  <c r="AK35" s="1"/>
  <c r="V69" i="6"/>
  <c r="V57" s="1"/>
  <c r="T37" i="17" l="1"/>
  <c r="V70" i="6"/>
  <c r="AL32" i="4"/>
  <c r="AL35" s="1"/>
  <c r="Y45" i="8"/>
  <c r="S50" i="17"/>
  <c r="X69" i="8"/>
  <c r="X57" s="1"/>
  <c r="AC65" s="1"/>
  <c r="X70" l="1"/>
  <c r="S28" i="17"/>
  <c r="S30" s="1"/>
  <c r="S31" s="1"/>
  <c r="S32" s="1"/>
  <c r="T47" s="1"/>
  <c r="T16" s="1"/>
  <c r="S63"/>
  <c r="S62"/>
  <c r="S19"/>
  <c r="AM32" i="4"/>
  <c r="AM35" s="1"/>
  <c r="Z45" i="8"/>
  <c r="S64" i="17"/>
  <c r="S52"/>
  <c r="T41"/>
  <c r="S61" l="1"/>
  <c r="S58"/>
  <c r="AA45" i="8"/>
  <c r="AN32" i="4"/>
  <c r="AN35" s="1"/>
  <c r="T17" i="17"/>
  <c r="T21" l="1"/>
  <c r="T57"/>
  <c r="AB45" i="8"/>
  <c r="AO32" i="4"/>
  <c r="AO35" s="1"/>
  <c r="T22" i="17" l="1"/>
  <c r="T38" s="1"/>
  <c r="AC45" i="8"/>
  <c r="AC67" s="1"/>
  <c r="AP32" i="4"/>
  <c r="AP35" s="1"/>
  <c r="T48" i="17" l="1"/>
  <c r="T49" s="1"/>
  <c r="U37"/>
  <c r="AQ32" i="4"/>
  <c r="AQ35" s="1"/>
  <c r="AD45" i="8"/>
  <c r="AC69"/>
  <c r="AC57" s="1"/>
  <c r="AF65" s="1"/>
  <c r="AC70" l="1"/>
  <c r="T28" i="17"/>
  <c r="T30" s="1"/>
  <c r="T31" s="1"/>
  <c r="T32" s="1"/>
  <c r="U47" s="1"/>
  <c r="U16" s="1"/>
  <c r="T63"/>
  <c r="T62"/>
  <c r="T19"/>
  <c r="T50"/>
  <c r="AR32" i="4"/>
  <c r="AR35" s="1"/>
  <c r="AF45" i="8" s="1"/>
  <c r="AE45"/>
  <c r="C50" l="1"/>
  <c r="C51" s="1"/>
  <c r="AF67"/>
  <c r="T64" i="17"/>
  <c r="T52"/>
  <c r="U41"/>
  <c r="U17"/>
  <c r="T61" l="1"/>
  <c r="T58"/>
  <c r="AF69" i="8"/>
  <c r="AF57" s="1"/>
  <c r="U21" i="17"/>
  <c r="U57"/>
  <c r="U22" l="1"/>
  <c r="U38" s="1"/>
  <c r="U48" s="1"/>
  <c r="U49" s="1"/>
  <c r="AF70" i="8"/>
  <c r="U50" i="17" l="1"/>
  <c r="U64" l="1"/>
  <c r="U52"/>
  <c r="U28"/>
  <c r="U30" s="1"/>
  <c r="U31" s="1"/>
  <c r="U32" s="1"/>
  <c r="U63"/>
  <c r="U62"/>
  <c r="U19"/>
  <c r="U61" l="1"/>
  <c r="U58"/>
</calcChain>
</file>

<file path=xl/sharedStrings.xml><?xml version="1.0" encoding="utf-8"?>
<sst xmlns="http://schemas.openxmlformats.org/spreadsheetml/2006/main" count="557" uniqueCount="222">
  <si>
    <t>Actual</t>
  </si>
  <si>
    <t>Int</t>
  </si>
  <si>
    <t>Large Firm</t>
  </si>
  <si>
    <t>Large Firm CHP</t>
  </si>
  <si>
    <t>Opex</t>
  </si>
  <si>
    <t>Forecast</t>
  </si>
  <si>
    <t>Capex 40 Yr Life</t>
  </si>
  <si>
    <t>Capex 15 Yr Life</t>
  </si>
  <si>
    <t>Capex 5 Yr Life</t>
  </si>
  <si>
    <t>Total Retrospective Adjustments</t>
  </si>
  <si>
    <t>Domestic</t>
  </si>
  <si>
    <t>Small IC</t>
  </si>
  <si>
    <t>Medium IC</t>
  </si>
  <si>
    <t>Other</t>
  </si>
  <si>
    <t>P1</t>
  </si>
  <si>
    <t>P5</t>
  </si>
  <si>
    <t>Inputs</t>
  </si>
  <si>
    <t>Source</t>
  </si>
  <si>
    <r>
      <t xml:space="preserve">Capex - </t>
    </r>
    <r>
      <rPr>
        <b/>
        <sz val="10"/>
        <color rgb="FFFF0000"/>
        <rFont val="Calibri"/>
        <family val="2"/>
      </rPr>
      <t>Subtotals in £2006</t>
    </r>
  </si>
  <si>
    <t>Figures from updated capex performance model</t>
  </si>
  <si>
    <t>MP</t>
  </si>
  <si>
    <t>4 bar main</t>
  </si>
  <si>
    <t>Letter 16 Feb 2011</t>
  </si>
  <si>
    <t>Governors</t>
  </si>
  <si>
    <t>PI's model V1.1</t>
  </si>
  <si>
    <t>LP</t>
  </si>
  <si>
    <t>Services</t>
  </si>
  <si>
    <t>Meters</t>
  </si>
  <si>
    <t>IC</t>
  </si>
  <si>
    <t>Large loads</t>
  </si>
  <si>
    <t>Telemetry</t>
  </si>
  <si>
    <t>Other capex</t>
  </si>
  <si>
    <t>IT &amp; office</t>
  </si>
  <si>
    <t>Capex not started (Foyle river crossing)</t>
  </si>
  <si>
    <t>Capex</t>
  </si>
  <si>
    <t>Volumes (Therms)</t>
  </si>
  <si>
    <t>P6</t>
  </si>
  <si>
    <t>P4</t>
  </si>
  <si>
    <t>P3</t>
  </si>
  <si>
    <t>P2</t>
  </si>
  <si>
    <r>
      <t>PA</t>
    </r>
    <r>
      <rPr>
        <sz val="7"/>
        <rFont val="Calibri"/>
        <family val="2"/>
        <scheme val="minor"/>
      </rPr>
      <t>B</t>
    </r>
    <r>
      <rPr>
        <sz val="5.5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determination</t>
    </r>
  </si>
  <si>
    <t>Opex adjustment MDR</t>
  </si>
  <si>
    <t>Opex Adjustment OAV &amp; PCR02 Retro Opex Adj</t>
  </si>
  <si>
    <r>
      <t>Adjusted PA</t>
    </r>
    <r>
      <rPr>
        <b/>
        <sz val="6"/>
        <rFont val="Calibri"/>
        <family val="2"/>
        <scheme val="minor"/>
      </rPr>
      <t>B</t>
    </r>
  </si>
  <si>
    <t>Actual Depreciation</t>
  </si>
  <si>
    <t>Determined Depreciation (per V7 PH Model)</t>
  </si>
  <si>
    <r>
      <t>DA</t>
    </r>
    <r>
      <rPr>
        <b/>
        <sz val="5"/>
        <color theme="1"/>
        <rFont val="Calibri"/>
        <family val="2"/>
      </rPr>
      <t xml:space="preserve">B </t>
    </r>
    <r>
      <rPr>
        <b/>
        <sz val="10"/>
        <color theme="1"/>
        <rFont val="Calibri"/>
        <family val="2"/>
      </rPr>
      <t>Adjustment</t>
    </r>
  </si>
  <si>
    <t>Opening TRV Value</t>
  </si>
  <si>
    <t>PI's model V7</t>
  </si>
  <si>
    <t>Mains</t>
  </si>
  <si>
    <t>Other Capex</t>
  </si>
  <si>
    <t>Total OAV</t>
  </si>
  <si>
    <t>Condition 2.3.17 Calculation of DAV</t>
  </si>
  <si>
    <t xml:space="preserve">Annual Capex </t>
  </si>
  <si>
    <t>Total capex</t>
  </si>
  <si>
    <t>Check</t>
  </si>
  <si>
    <t>Opening DAV (Capex Only)</t>
  </si>
  <si>
    <t>Depreciation</t>
  </si>
  <si>
    <t>Useful Life</t>
  </si>
  <si>
    <t>Opening DAV</t>
  </si>
  <si>
    <t>Meters, PRS, Telemetry</t>
  </si>
  <si>
    <t>Total depreciation</t>
  </si>
  <si>
    <t>DAV</t>
  </si>
  <si>
    <t>Opening balance</t>
  </si>
  <si>
    <t>Closing balance</t>
  </si>
  <si>
    <t>Firmus Energy P Tariff Model - Calculation of Pi tariffs, Allowed Revenues, PA and TRV</t>
  </si>
  <si>
    <t>Return</t>
  </si>
  <si>
    <t>£'000</t>
  </si>
  <si>
    <t>Real Return pa</t>
  </si>
  <si>
    <t>Discount Factor (Mid Yr)</t>
  </si>
  <si>
    <t>Discount Factor (Yr End)</t>
  </si>
  <si>
    <t>Volumes (therms '000)</t>
  </si>
  <si>
    <t>£/therm</t>
  </si>
  <si>
    <t>Conditions 4.6 and 4.6.6 Establishing Best Available Revenue Per Unit and Calculating Cashflow</t>
  </si>
  <si>
    <t>Allowed Revenue</t>
  </si>
  <si>
    <t>Cashflows</t>
  </si>
  <si>
    <t>Discounted Cashflow</t>
  </si>
  <si>
    <t>Closing DAV</t>
  </si>
  <si>
    <t>TRV</t>
  </si>
  <si>
    <t>Discounted DAV2035</t>
  </si>
  <si>
    <r>
      <t xml:space="preserve">Backsolve to 0 by running Macro </t>
    </r>
    <r>
      <rPr>
        <b/>
        <sz val="10"/>
        <color rgb="FFFF0000"/>
        <rFont val="Calibri"/>
        <family val="2"/>
        <scheme val="minor"/>
      </rPr>
      <t>Ctrl + q</t>
    </r>
  </si>
  <si>
    <t>Condition 4.6.8 Calculating TRV</t>
  </si>
  <si>
    <t>Total Regulatory Value (TRV)</t>
  </si>
  <si>
    <t>Condition 4.6.9 Calculating Profile Adjustment</t>
  </si>
  <si>
    <t>Adjusted Cashflows</t>
  </si>
  <si>
    <t>Closing TRV (Incl Return)</t>
  </si>
  <si>
    <t>Calculated PA</t>
  </si>
  <si>
    <t>2006 to 2012</t>
  </si>
  <si>
    <t>2012 to 2014</t>
  </si>
  <si>
    <r>
      <t xml:space="preserve">Capex - </t>
    </r>
    <r>
      <rPr>
        <b/>
        <sz val="10"/>
        <color rgb="FFFF0000"/>
        <rFont val="Calibri"/>
        <family val="2"/>
      </rPr>
      <t>Subtotals in £2012 Av</t>
    </r>
  </si>
  <si>
    <t>Dec</t>
  </si>
  <si>
    <t>Total Capex - £2006</t>
  </si>
  <si>
    <t>Total Capex - £2012</t>
  </si>
  <si>
    <t>n/a</t>
  </si>
  <si>
    <t>GD14 Uncertainty Mechanism Adj</t>
  </si>
  <si>
    <t>PCR02 Det</t>
  </si>
  <si>
    <t>GD14 Det</t>
  </si>
  <si>
    <t>Uncertainty Mechanism Adjustment Categories</t>
  </si>
  <si>
    <t>GD17</t>
  </si>
  <si>
    <t>Post GD17</t>
  </si>
  <si>
    <t>£2014</t>
  </si>
  <si>
    <t>x</t>
  </si>
  <si>
    <t>TRV Opening Value (£2014)</t>
  </si>
  <si>
    <t>UM ADJUSTMENTS UPDATE BY FORMULA YEAR (£2014)</t>
  </si>
  <si>
    <t>PCR02</t>
  </si>
  <si>
    <t>GD14</t>
  </si>
  <si>
    <t>Opening Asset Value (£2014)</t>
  </si>
  <si>
    <t>Total Capex - DEC £2014</t>
  </si>
  <si>
    <t>Capitalised Under-recoveries</t>
  </si>
  <si>
    <t>30 yr Rec Period</t>
  </si>
  <si>
    <t>40 yr Rec Period</t>
  </si>
  <si>
    <t>Exclude</t>
  </si>
  <si>
    <r>
      <t xml:space="preserve">Capex - </t>
    </r>
    <r>
      <rPr>
        <b/>
        <sz val="10"/>
        <color rgb="FFFF0000"/>
        <rFont val="Calibri"/>
        <family val="2"/>
      </rPr>
      <t>Subtotals in £2014 Av - GD17 Submission</t>
    </r>
  </si>
  <si>
    <t>Linked to UM Model</t>
  </si>
  <si>
    <t>Total Capex - Av £2014 - FE GD17 Submission</t>
  </si>
  <si>
    <t>Total Capex - Av £2014 - UR Draft Det</t>
  </si>
  <si>
    <t>Total Capex - Av £2014 - UR Final Det</t>
  </si>
  <si>
    <t>Total Opex - Av £2014 - UR Final Det</t>
  </si>
  <si>
    <t>GD17 onward</t>
  </si>
  <si>
    <r>
      <t xml:space="preserve">Capex - </t>
    </r>
    <r>
      <rPr>
        <b/>
        <sz val="10"/>
        <color rgb="FFFF0000"/>
        <rFont val="Calibri"/>
        <family val="2"/>
      </rPr>
      <t>Subtotals in Av £2014 - UR Draft Det</t>
    </r>
  </si>
  <si>
    <r>
      <t xml:space="preserve">Capex - </t>
    </r>
    <r>
      <rPr>
        <b/>
        <sz val="10"/>
        <color rgb="FFFF0000"/>
        <rFont val="Calibri"/>
        <family val="2"/>
      </rPr>
      <t>Subtotals in Av £2014 - UR Final Det</t>
    </r>
  </si>
  <si>
    <t>Meters/Tele</t>
  </si>
  <si>
    <r>
      <t xml:space="preserve">Capex - </t>
    </r>
    <r>
      <rPr>
        <b/>
        <sz val="10"/>
        <color rgb="FFFF0000"/>
        <rFont val="Calibri"/>
        <family val="2"/>
      </rPr>
      <t>Subtotals in DEC £2014  - GD17 Submission</t>
    </r>
  </si>
  <si>
    <r>
      <t xml:space="preserve">4 bar main - </t>
    </r>
    <r>
      <rPr>
        <sz val="10"/>
        <color rgb="FFFF0000"/>
        <rFont val="Calibri"/>
        <family val="2"/>
      </rPr>
      <t>Non LP Infill!!</t>
    </r>
  </si>
  <si>
    <t>Total Volume (Therms) - UR Final Det</t>
  </si>
  <si>
    <t>GD17 FD</t>
  </si>
  <si>
    <t>Infill &amp;TMA from 2017</t>
  </si>
  <si>
    <t>PRS from 2017</t>
  </si>
  <si>
    <t>Average Totex</t>
  </si>
  <si>
    <t>Average TRV</t>
  </si>
  <si>
    <t>Ratio</t>
  </si>
  <si>
    <t>Include - In Full</t>
  </si>
  <si>
    <t>Include - Discounted</t>
  </si>
  <si>
    <t>Infill &amp; TMA from 2017</t>
  </si>
  <si>
    <t>Linked to Capex DD 04.00 Final Issued to AC Post RPE 04-03-16 All - Converted to Av £2014</t>
  </si>
  <si>
    <t>Post GD17 Linked to Capex DD 04.00 Final Issued to AC Post RPE 04-03-16 All - Converted to Av £2014</t>
  </si>
  <si>
    <t>Annual Basis</t>
  </si>
  <si>
    <t>Cashflow</t>
  </si>
  <si>
    <t>Opening TRV incl. return</t>
  </si>
  <si>
    <t xml:space="preserve">DAV </t>
  </si>
  <si>
    <t>Q</t>
  </si>
  <si>
    <t>CC</t>
  </si>
  <si>
    <t xml:space="preserve">PA </t>
  </si>
  <si>
    <t>FE</t>
  </si>
  <si>
    <t>Debt</t>
  </si>
  <si>
    <t>Generic assumptions</t>
  </si>
  <si>
    <t>Rolling incentive period</t>
  </si>
  <si>
    <t>Forward inflation rate</t>
  </si>
  <si>
    <t>Prospective tax rate</t>
  </si>
  <si>
    <t>Year dividends can start</t>
  </si>
  <si>
    <t>CAs as % of core depreciation</t>
  </si>
  <si>
    <t>Threshold PMICR</t>
  </si>
  <si>
    <t>Outturn and financial assumptions</t>
  </si>
  <si>
    <t>Initial debt as % of TRV</t>
  </si>
  <si>
    <t>Nominal interest rate</t>
  </si>
  <si>
    <t>Year tax payments start</t>
  </si>
  <si>
    <t>note: to reflect approximate time when tax losses are fully utilised</t>
  </si>
  <si>
    <t>Tax</t>
  </si>
  <si>
    <t>Financeability analysis (nominal)</t>
  </si>
  <si>
    <t>RPI factor</t>
  </si>
  <si>
    <t>Revenues</t>
  </si>
  <si>
    <t>Movements in working capital</t>
  </si>
  <si>
    <t>Core asset depreciation</t>
  </si>
  <si>
    <t>Profile adjustment</t>
  </si>
  <si>
    <t>Tax (prior year)</t>
  </si>
  <si>
    <t>Post-maintenance FFO</t>
  </si>
  <si>
    <t>PMICR</t>
  </si>
  <si>
    <t>Maximum interest consistent with dividends</t>
  </si>
  <si>
    <t>Implied maximum debt level (pre interest)</t>
  </si>
  <si>
    <t>Interest</t>
  </si>
  <si>
    <t>Capital allowances</t>
  </si>
  <si>
    <t>Losses</t>
  </si>
  <si>
    <t>Taxable profits</t>
  </si>
  <si>
    <t>Tax payable</t>
  </si>
  <si>
    <t>Dividends</t>
  </si>
  <si>
    <t>Maximum dividend payout (% of initial equity)</t>
  </si>
  <si>
    <t>Allowed dividend in year</t>
  </si>
  <si>
    <t>Dividend available</t>
  </si>
  <si>
    <t>Dividend Paid</t>
  </si>
  <si>
    <t>Debt at the start of the year</t>
  </si>
  <si>
    <t>Investment</t>
  </si>
  <si>
    <t>Debt at the end of the year</t>
  </si>
  <si>
    <t>Average debt</t>
  </si>
  <si>
    <t>TRV at start of year (mid-year RPI)</t>
  </si>
  <si>
    <t>TRV at end of year (mid-year RPI)</t>
  </si>
  <si>
    <t>PM-FFO as % TRV</t>
  </si>
  <si>
    <t>Gearing ratio</t>
  </si>
  <si>
    <t>Building Block Method</t>
  </si>
  <si>
    <t>Year:</t>
  </si>
  <si>
    <t>Opening:</t>
  </si>
  <si>
    <t>Cshflow:</t>
  </si>
  <si>
    <t>Return on in year cashflow:</t>
  </si>
  <si>
    <t>Return on in year opening:</t>
  </si>
  <si>
    <t>Closing:</t>
  </si>
  <si>
    <r>
      <t xml:space="preserve">P </t>
    </r>
    <r>
      <rPr>
        <sz val="7"/>
        <color theme="1"/>
        <rFont val="Calibri"/>
        <family val="2"/>
      </rPr>
      <t>Small/Med Tariff IC (2,500 - 25k tpa)</t>
    </r>
    <r>
      <rPr>
        <sz val="10"/>
        <color theme="1"/>
        <rFont val="Calibri"/>
        <family val="2"/>
      </rPr>
      <t xml:space="preserve"> (P2)</t>
    </r>
  </si>
  <si>
    <r>
      <t xml:space="preserve">P </t>
    </r>
    <r>
      <rPr>
        <sz val="7"/>
        <color theme="1"/>
        <rFont val="Calibri"/>
        <family val="2"/>
      </rPr>
      <t>Dom/Very Small IC Tariff (&lt;2,500 tpa)</t>
    </r>
    <r>
      <rPr>
        <sz val="10"/>
        <color theme="1"/>
        <rFont val="Calibri"/>
        <family val="2"/>
      </rPr>
      <t xml:space="preserve"> (P1)</t>
    </r>
  </si>
  <si>
    <r>
      <t xml:space="preserve">P </t>
    </r>
    <r>
      <rPr>
        <sz val="7"/>
        <color theme="1"/>
        <rFont val="Calibri"/>
        <family val="2"/>
      </rPr>
      <t>Large Tariff IC (25k - 75k tpa)</t>
    </r>
    <r>
      <rPr>
        <sz val="10"/>
        <color theme="1"/>
        <rFont val="Calibri"/>
        <family val="2"/>
      </rPr>
      <t xml:space="preserve"> (P3)</t>
    </r>
  </si>
  <si>
    <r>
      <t xml:space="preserve">P </t>
    </r>
    <r>
      <rPr>
        <sz val="7"/>
        <color theme="1"/>
        <rFont val="Calibri"/>
        <family val="2"/>
      </rPr>
      <t>CHP Contract (&gt;75k tpa)</t>
    </r>
    <r>
      <rPr>
        <sz val="10"/>
        <color theme="1"/>
        <rFont val="Calibri"/>
        <family val="2"/>
      </rPr>
      <t xml:space="preserve"> (P4)</t>
    </r>
  </si>
  <si>
    <r>
      <t xml:space="preserve">P </t>
    </r>
    <r>
      <rPr>
        <sz val="7"/>
        <color theme="1"/>
        <rFont val="Calibri"/>
        <family val="2"/>
      </rPr>
      <t>Firm Contract (&gt;75k tpa)</t>
    </r>
    <r>
      <rPr>
        <sz val="10"/>
        <color theme="1"/>
        <rFont val="Calibri"/>
        <family val="2"/>
      </rPr>
      <t xml:space="preserve"> (P5)</t>
    </r>
  </si>
  <si>
    <r>
      <t xml:space="preserve">P </t>
    </r>
    <r>
      <rPr>
        <sz val="7"/>
        <color theme="1"/>
        <rFont val="Calibri"/>
        <family val="2"/>
      </rPr>
      <t>Int Contract (&gt;75k tpa)</t>
    </r>
    <r>
      <rPr>
        <sz val="10"/>
        <color theme="1"/>
        <rFont val="Calibri"/>
        <family val="2"/>
      </rPr>
      <t xml:space="preserve"> (P6)</t>
    </r>
  </si>
  <si>
    <r>
      <t xml:space="preserve">V </t>
    </r>
    <r>
      <rPr>
        <sz val="7"/>
        <color theme="1"/>
        <rFont val="Calibri"/>
        <family val="2"/>
      </rPr>
      <t>Dom/Very Small IC Tariff (&lt;2,500 tpa)</t>
    </r>
    <r>
      <rPr>
        <sz val="10"/>
        <color theme="1"/>
        <rFont val="Calibri"/>
        <family val="2"/>
      </rPr>
      <t xml:space="preserve"> (P1)</t>
    </r>
  </si>
  <si>
    <r>
      <t xml:space="preserve">V </t>
    </r>
    <r>
      <rPr>
        <sz val="7"/>
        <color theme="1"/>
        <rFont val="Calibri"/>
        <family val="2"/>
      </rPr>
      <t>Small/Med Tariff IC (2,500 - 25k tpa)</t>
    </r>
    <r>
      <rPr>
        <sz val="10"/>
        <color theme="1"/>
        <rFont val="Calibri"/>
        <family val="2"/>
      </rPr>
      <t xml:space="preserve"> (P2)</t>
    </r>
  </si>
  <si>
    <r>
      <t xml:space="preserve">V </t>
    </r>
    <r>
      <rPr>
        <sz val="7"/>
        <color theme="1"/>
        <rFont val="Calibri"/>
        <family val="2"/>
      </rPr>
      <t>Large Tariff IC (25k - 75k tpa)</t>
    </r>
    <r>
      <rPr>
        <sz val="10"/>
        <color theme="1"/>
        <rFont val="Calibri"/>
        <family val="2"/>
      </rPr>
      <t xml:space="preserve"> (P3)</t>
    </r>
  </si>
  <si>
    <r>
      <t xml:space="preserve">V </t>
    </r>
    <r>
      <rPr>
        <sz val="7"/>
        <color theme="1"/>
        <rFont val="Calibri"/>
        <family val="2"/>
      </rPr>
      <t>CHP Contract (&gt;75k tpa)</t>
    </r>
    <r>
      <rPr>
        <sz val="10"/>
        <color theme="1"/>
        <rFont val="Calibri"/>
        <family val="2"/>
      </rPr>
      <t xml:space="preserve"> (P4)</t>
    </r>
  </si>
  <si>
    <r>
      <t xml:space="preserve">V </t>
    </r>
    <r>
      <rPr>
        <sz val="7"/>
        <color theme="1"/>
        <rFont val="Calibri"/>
        <family val="2"/>
      </rPr>
      <t>Firm Contract (&gt;75k tpa)</t>
    </r>
    <r>
      <rPr>
        <sz val="10"/>
        <color theme="1"/>
        <rFont val="Calibri"/>
        <family val="2"/>
      </rPr>
      <t xml:space="preserve"> (P5)</t>
    </r>
  </si>
  <si>
    <r>
      <t xml:space="preserve">V </t>
    </r>
    <r>
      <rPr>
        <sz val="7"/>
        <color theme="1"/>
        <rFont val="Calibri"/>
        <family val="2"/>
      </rPr>
      <t>Int Contract (&gt;75k tpa)</t>
    </r>
    <r>
      <rPr>
        <sz val="10"/>
        <color theme="1"/>
        <rFont val="Calibri"/>
        <family val="2"/>
      </rPr>
      <t xml:space="preserve"> (P6)</t>
    </r>
  </si>
  <si>
    <t>Per GD14 Split - Needs Confirmed</t>
  </si>
  <si>
    <t>DAV (Incl Uncertainty Mechanism Capex Adjustments)</t>
  </si>
  <si>
    <t>Underrecoveries</t>
  </si>
  <si>
    <t>Include</t>
  </si>
  <si>
    <t>Other relevant metrics</t>
  </si>
  <si>
    <t>FFO Interest Cover</t>
  </si>
  <si>
    <t>FFO/Net Debt</t>
  </si>
  <si>
    <t>RCF/Capex</t>
  </si>
  <si>
    <t xml:space="preserve">FE PMICR </t>
  </si>
  <si>
    <t>Financial Year Corporation Tax Rate</t>
  </si>
  <si>
    <t>Calendar Year Corporation Tax Rate</t>
  </si>
  <si>
    <t>Firmus: Financeability Model</t>
  </si>
  <si>
    <t>Av. £k's 2014 RPI and nominal</t>
  </si>
  <si>
    <t>Under Recoveries</t>
  </si>
  <si>
    <r>
      <t>Discounted DAV</t>
    </r>
    <r>
      <rPr>
        <sz val="6"/>
        <color theme="1"/>
        <rFont val="Calibri"/>
        <family val="2"/>
      </rPr>
      <t>2045</t>
    </r>
  </si>
  <si>
    <t>IMPORTANT NOTE:  Values from 2023 Onwards are forecasts and will be determined as part of the Next Price Control.  This Model is re-run at each Price Control Period, to calculate allowed Revenues.</t>
  </si>
</sst>
</file>

<file path=xl/styles.xml><?xml version="1.0" encoding="utf-8"?>
<styleSheet xmlns="http://schemas.openxmlformats.org/spreadsheetml/2006/main">
  <numFmts count="194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00000;[Red]\(#,##0.0000000\)"/>
    <numFmt numFmtId="165" formatCode="#,##0;[Red]\(#,##0\)"/>
    <numFmt numFmtId="166" formatCode="0.0"/>
    <numFmt numFmtId="167" formatCode="0.000"/>
    <numFmt numFmtId="168" formatCode="_(* #,##0.00_);_(* \(#,##0.00\);_(* &quot;-&quot;??_);_(@_)"/>
    <numFmt numFmtId="169" formatCode="_(* #,##0_);_(* \(#,##0\);_(* &quot;-&quot;??_);_(@_)"/>
    <numFmt numFmtId="170" formatCode="#,##0;\(#,##0\)"/>
    <numFmt numFmtId="171" formatCode="_(&quot;£&quot;* #,##0.00_);_(&quot;£&quot;* \(#,##0.00\);_(&quot;£&quot;* &quot;-&quot;??_);_(@_)"/>
    <numFmt numFmtId="172" formatCode="_-[$€-2]* #,##0.00_-;\-[$€-2]* #,##0.00_-;_-[$€-2]* &quot;-&quot;??_-"/>
    <numFmt numFmtId="173" formatCode="0.0000"/>
    <numFmt numFmtId="174" formatCode="#,##0.0"/>
    <numFmt numFmtId="175" formatCode="[$$-409]#,##0.00"/>
    <numFmt numFmtId="176" formatCode="#,##0.0\ ;\(#,##0.0\)"/>
    <numFmt numFmtId="177" formatCode="&quot;$&quot;#,##0.00_);[Red]\(&quot;$&quot;#,##0.00\)"/>
    <numFmt numFmtId="178" formatCode="#,##0_);[Red]\(#,##0\);&quot;-&quot;"/>
    <numFmt numFmtId="179" formatCode="mmmm\ d\,\ yyyy"/>
    <numFmt numFmtId="180" formatCode="_(&quot;$&quot;#,##0_)&quot;millions&quot;;\(&quot;$&quot;#,##0\)&quot; millions&quot;"/>
    <numFmt numFmtId="181" formatCode="&quot;$&quot;#,##0.00_)\ \ \ ;\(&quot;$&quot;#,##0.00\)\ \ \ "/>
    <numFmt numFmtId="182" formatCode="&quot;$&quot;#,##0.00&quot;*&quot;\ \ ;\(&quot;$&quot;#,##0.00\)&quot;*&quot;\ \ "/>
    <numFmt numFmtId="183" formatCode="&quot;$&quot;#,##0.00\A_)\ ;\(&quot;$&quot;#,##0.00\A\)\ \ "/>
    <numFmt numFmtId="184" formatCode="&quot;$&quot;@\ "/>
    <numFmt numFmtId="185" formatCode="[$-809]d\ mmmm\ yyyy;@"/>
    <numFmt numFmtId="186" formatCode="000\-00\-0000\ "/>
    <numFmt numFmtId="187" formatCode="0.0%"/>
    <numFmt numFmtId="188" formatCode="_(* #,##0_);_(* \(#,##0\);_(* &quot;-&quot;_);_(@_)"/>
    <numFmt numFmtId="189" formatCode="_(* #,##0_);_(* \(#,##0\);_(* &quot;0&quot;_);_(@_)"/>
    <numFmt numFmtId="190" formatCode="#,##0.0_);\(#,##0.0\)"/>
    <numFmt numFmtId="191" formatCode="&quot;$&quot;_(#,##0.00_);&quot;$&quot;\(#,##0.00\)"/>
    <numFmt numFmtId="192" formatCode="_-&quot;$&quot;* #,##0.0_-;\-&quot;$&quot;* #,##0.0_-;_-&quot;$&quot;* &quot;-&quot;??_-;_-@_-"/>
    <numFmt numFmtId="193" formatCode="#,##0_);\(#,##0\);&quot;-  &quot;;&quot; &quot;@&quot; &quot;"/>
    <numFmt numFmtId="194" formatCode="#,##0.0_)\x;\(#,##0.0\)\x"/>
    <numFmt numFmtId="195" formatCode="&quot;$&quot;#,##0"/>
    <numFmt numFmtId="196" formatCode="#,##0.0_)_x;\(#,##0.0\)_x"/>
    <numFmt numFmtId="197" formatCode="_(&quot;$&quot;* #,##0_);_(&quot;$&quot;* \(#,##0\);_(&quot;$&quot;* &quot;-&quot;??_);_(@_)"/>
    <numFmt numFmtId="198" formatCode="0.0_)\%;\(0.0\)\%"/>
    <numFmt numFmtId="199" formatCode="_-* #,##0.000_-;\-* #,##0.000_-;_-* &quot;-&quot;??_-;_-@_-"/>
    <numFmt numFmtId="200" formatCode="#,##0.0_)_%;\(#,##0.0\)_%"/>
    <numFmt numFmtId="201" formatCode="_(&quot;$&quot;* #,##0.0_);_(&quot;$&quot;* \(#,##0.0\);_(&quot;$&quot;* &quot;-&quot;?_);_(@_)"/>
    <numFmt numFmtId="202" formatCode="#,##0.0_);[Red]\(#,##0.0\)"/>
    <numFmt numFmtId="203" formatCode="_-&quot;£&quot;* #,##0.0_-;_-&quot;£&quot;* \(#,##0.0\)"/>
    <numFmt numFmtId="204" formatCode="\£\ #,##0_);[Red]\(\£\ #,##0\)"/>
    <numFmt numFmtId="205" formatCode="#,##0.00;[Red]\(#,##0.00\);\-"/>
    <numFmt numFmtId="206" formatCode="\¥\ #,##0_);[Red]\(\¥\ #,##0\)"/>
    <numFmt numFmtId="207" formatCode="_-\€* #,##0.0_-;_-\€* \(#,##0.0\)"/>
    <numFmt numFmtId="208" formatCode="0;[Red]\(0\);\-"/>
    <numFmt numFmtId="209" formatCode="#,##0;[Red]\(#,##0\);\-"/>
    <numFmt numFmtId="210" formatCode="#,##0,_);[Red]\(#,##0,\)"/>
    <numFmt numFmtId="211" formatCode="0.0;\(0.0\);\-"/>
    <numFmt numFmtId="212" formatCode="0.00;\(0.00\);\-"/>
    <numFmt numFmtId="213" formatCode="0.00;[Red]\(0.00\);\-"/>
    <numFmt numFmtId="214" formatCode="0.000;\(0.000\);\-"/>
    <numFmt numFmtId="215" formatCode="_-&quot;£&quot;* #,##0.000_-;\-&quot;£&quot;* #,##0.000_-;_-&quot;£&quot;* &quot;-&quot;??_-;_-@_-"/>
    <numFmt numFmtId="216" formatCode="0\A"/>
    <numFmt numFmtId="217" formatCode="m\-d\-yy"/>
    <numFmt numFmtId="218" formatCode="0.0_)"/>
    <numFmt numFmtId="219" formatCode="#,##0;[Red]\-#,##0;\-"/>
    <numFmt numFmtId="220" formatCode="_ &quot;R&quot;\ * #,##0_ ;_ &quot;R&quot;\ * \-#,##0_ ;_ &quot;R&quot;\ * &quot;-&quot;_ ;_ @_ "/>
    <numFmt numFmtId="221" formatCode="0.00\ "/>
    <numFmt numFmtId="222" formatCode="#,##0.0,,,&quot;bn&quot;"/>
    <numFmt numFmtId="223" formatCode="0.0%_);[Red]\(0.0%\)"/>
    <numFmt numFmtId="224" formatCode="0.0%;\(0.0\)%"/>
    <numFmt numFmtId="225" formatCode="0&quot; bp&quot;"/>
    <numFmt numFmtId="226" formatCode="#,##0;&quot;(&quot;#,##0&quot;)&quot;;&quot;-&quot;"/>
    <numFmt numFmtId="227" formatCode="_(* #,##0.0_);_(* \(#,##0.0\);_(* &quot;-&quot;?_);@_)"/>
    <numFmt numFmtId="228" formatCode="\•\ \ @"/>
    <numFmt numFmtId="229" formatCode="#,##0_);[Red]\(#,##0\);&quot;-&quot;_);[Blue]&quot;Error-&quot;@"/>
    <numFmt numFmtId="230" formatCode="#,##0.0_);[Red]\(#,##0.0\);&quot;-&quot;_);[Blue]&quot;Error-&quot;@"/>
    <numFmt numFmtId="231" formatCode="#,##0.00_);[Red]\(#,##0.00\);&quot;-&quot;_);[Blue]&quot;Error-&quot;@"/>
    <numFmt numFmtId="232" formatCode="&quot;£&quot;* #,##0_);[Red]&quot;£&quot;* \(#,##0\);&quot;£&quot;* &quot;-&quot;_);[Blue]&quot;Error-&quot;@"/>
    <numFmt numFmtId="233" formatCode="&quot;£&quot;* #,##0.0_);[Red]&quot;£&quot;* \(#,##0.0\);&quot;£&quot;* &quot;-&quot;_);[Blue]&quot;Error-&quot;@"/>
    <numFmt numFmtId="234" formatCode="&quot;£&quot;* #,##0.00_);[Red]&quot;£&quot;* \(#,##0.00\);&quot;£&quot;* &quot;-&quot;_);[Blue]&quot;Error-&quot;@"/>
    <numFmt numFmtId="235" formatCode="dd\ mmm\ yyyy_)"/>
    <numFmt numFmtId="236" formatCode="dd/mm/yy_)"/>
    <numFmt numFmtId="237" formatCode="0%_);[Red]\-0%_);0%_);[Blue]&quot;Error-&quot;@"/>
    <numFmt numFmtId="238" formatCode="0.0%_);[Red]\-0.0%_);0.0%_);[Blue]&quot;Error-&quot;@"/>
    <numFmt numFmtId="239" formatCode="0.00%_);[Red]\-0.00%_);0.00%_);[Blue]&quot;Error-&quot;@"/>
    <numFmt numFmtId="240" formatCode="_-* #,##0_-;* \(#,##0\)_-;_-@_-"/>
    <numFmt numFmtId="241" formatCode="dd\-mmm\-yyyy"/>
    <numFmt numFmtId="242" formatCode="&quot;£&quot;#,###_);[Red]\(&quot;£&quot;#,###\);&quot;£&quot;0"/>
    <numFmt numFmtId="243" formatCode="&quot;£&quot;#,###_);[Red]\(&quot;£&quot;#,###\);"/>
    <numFmt numFmtId="244" formatCode="&quot;£&quot;#,##0.00_);[Red]\(&quot;£&quot;#,##0.00\);&quot;£&quot;0.00"/>
    <numFmt numFmtId="245" formatCode="&quot;£&quot;#,##0.00_);[Red]\(&quot;£&quot;#,##0.00\);"/>
    <numFmt numFmtId="246" formatCode="0.000_)"/>
    <numFmt numFmtId="247" formatCode="#,###_);[Red]\(#,###\);0"/>
    <numFmt numFmtId="248" formatCode="#,###_);[Red]\(#,###\);"/>
    <numFmt numFmtId="249" formatCode="##,##0.00_);[Red]\(##,##0.00\);0.00"/>
    <numFmt numFmtId="250" formatCode="#,##0.00_);[Red]\(#,##0.00\);&quot;- &quot;"/>
    <numFmt numFmtId="251" formatCode="#,##0.00_);[Red]\(#,##0.00\);&quot;Nil &quot;"/>
    <numFmt numFmtId="252" formatCode="#,##0.00_);[Red]\(#,##0.00\);"/>
    <numFmt numFmtId="253" formatCode="#,##0_);[Red]\(#,##0\);"/>
    <numFmt numFmtId="254" formatCode="#,##0.000;[Red]\(#,##0.000\);\-"/>
    <numFmt numFmtId="255" formatCode="#,##0_%_);\(#,##0\)_%;**;@_%_)"/>
    <numFmt numFmtId="256" formatCode="#,##0.000_ ;\-#,##0.000\ "/>
    <numFmt numFmtId="257" formatCode="\$#,##0.0,,,&quot;bn&quot;"/>
    <numFmt numFmtId="258" formatCode="_-* #,##0.0000_-;\-* #,##0.0000_-;_-* &quot;-&quot;??_-;_-@_-"/>
    <numFmt numFmtId="259" formatCode="0.0_x_)_);&quot;NM&quot;_x_)_);0.0_x_)_);@_%_)"/>
    <numFmt numFmtId="260" formatCode="0.0\ \x;\(0.0\ \x\)"/>
    <numFmt numFmtId="261" formatCode="#,##0_);[Red]\(#,##0\);&quot;- &quot;"/>
    <numFmt numFmtId="262" formatCode="#,##0_);[Red]\(#,##0\);&quot;Nil &quot;"/>
    <numFmt numFmtId="263" formatCode="0.0_ ;\(0.0\)_ \ "/>
    <numFmt numFmtId="264" formatCode="#,##0.0_);\(#,##0.0\);&quot;--&quot;_)"/>
    <numFmt numFmtId="265" formatCode="#,##0.00_);\(#,##0.00\);&quot;--&quot;_)"/>
    <numFmt numFmtId="266" formatCode="General_)"/>
    <numFmt numFmtId="267" formatCode="0.000;[Red]\-0.000;\-"/>
    <numFmt numFmtId="268" formatCode="#&quot; mins&quot;"/>
    <numFmt numFmtId="269" formatCode="&quot;$&quot;#,##0_);[Red]\(&quot;$&quot;#,##0\)"/>
    <numFmt numFmtId="270" formatCode="&quot;£&quot;#,##0.00_);[Red]\(&quot;£&quot;#,##0.00\);&quot;£&quot;0.00_)"/>
    <numFmt numFmtId="271" formatCode="&quot;£&quot;#,##0.00_);[Red]\(&quot;£&quot;#,##0.00\);&quot;- &quot;"/>
    <numFmt numFmtId="272" formatCode="&quot;£&quot;#,##0.00_);[Red]\(&quot;£&quot;#,##0.00\);&quot;Nil &quot;"/>
    <numFmt numFmtId="273" formatCode="&quot;£&quot;#,##0_);[Red]\(&quot;£&quot;#,##0\);"/>
    <numFmt numFmtId="274" formatCode="_(&quot;$&quot;* #,##0_);_(&quot;$&quot;* \(#,##0\);_(&quot;$&quot;* &quot;-&quot;_);_(@_)"/>
    <numFmt numFmtId="275" formatCode="&quot;£&quot;#,##0.00;\(&quot;£&quot;#,##0.00\)"/>
    <numFmt numFmtId="276" formatCode="m/d"/>
    <numFmt numFmtId="277" formatCode="&quot;£&quot;#,##0_);[Red]\(&quot;£&quot;#,##0\);&quot;- &quot;"/>
    <numFmt numFmtId="278" formatCode="&quot;£&quot;#,##0_);[Red]\(&quot;£&quot;#,##0\);&quot;Nil &quot;"/>
    <numFmt numFmtId="279" formatCode="0.0\ \ \x\ ;\(0.0\)\ \ \x\ "/>
    <numFmt numFmtId="280" formatCode="@\ \ \ \ \ "/>
    <numFmt numFmtId="281" formatCode="\ \ _•\–\ \ \ \ @"/>
    <numFmt numFmtId="282" formatCode="0.00_ ;[Red]\-0.00\ "/>
    <numFmt numFmtId="283" formatCode="000"/>
    <numFmt numFmtId="284" formatCode="#,##0.0;[Red]\(#,##0.0\);\-"/>
    <numFmt numFmtId="285" formatCode="d\-mmm\-yyyy"/>
    <numFmt numFmtId="286" formatCode="&quot;$&quot;#,##0.0;[Red]&quot;$&quot;#,##0.0"/>
    <numFmt numFmtId="287" formatCode="dd/mm/yyyy;;&quot;-&quot;"/>
    <numFmt numFmtId="288" formatCode="dd/mmm/yyyy_);;&quot;-  &quot;;&quot; &quot;@"/>
    <numFmt numFmtId="289" formatCode="dd/mmm/yy_);;&quot;-  &quot;;&quot; &quot;@"/>
    <numFmt numFmtId="290" formatCode="0.00,,;[Red]\(0.00,,\);\-"/>
    <numFmt numFmtId="291" formatCode="_-* #,##0\ _D_M_-;\-* #,##0\ _D_M_-;_-* &quot;-&quot;\ _D_M_-;_-@_-"/>
    <numFmt numFmtId="292" formatCode="_-* #,##0.00\ _D_M_-;\-* #,##0.00\ _D_M_-;_-* &quot;-&quot;??\ _D_M_-;_-@_-"/>
    <numFmt numFmtId="293" formatCode="#,##0.00_)\ \ \ \ \ ;\(#,##0.00\)\ \ \ \ \ "/>
    <numFmt numFmtId="294" formatCode="&quot;$&quot;#,##0.00_)\ \ \ \ \ ;\(&quot;$&quot;#,##0.00\)\ \ \ \ \ "/>
    <numFmt numFmtId="295" formatCode="&quot;$&quot;#,##0.00\A\ \ \ \ ;\(&quot;$&quot;#,##0.00\A\)\ \ \ \ "/>
    <numFmt numFmtId="296" formatCode="&quot;$&quot;#,##0.00&quot;E&quot;\ \ \ \ ;\(&quot;$&quot;#,##0.00&quot;E&quot;\)\ \ \ \ "/>
    <numFmt numFmtId="297" formatCode="#,##0.00\A\ \ \ \ ;\(#,##0.00\A\)\ \ \ \ "/>
    <numFmt numFmtId="298" formatCode="#,##0.00&quot;E&quot;\ \ \ \ ;\(#,##0.00&quot;E&quot;\)\ \ \ \ "/>
    <numFmt numFmtId="299" formatCode="\€#,##0.0,,,&quot;bn&quot;"/>
    <numFmt numFmtId="300" formatCode="\€#,##0.0,,&quot;m&quot;"/>
    <numFmt numFmtId="301" formatCode="\€#,##0.0,&quot;k&quot;"/>
    <numFmt numFmtId="302" formatCode="[Magenta]&quot;Err&quot;;[Magenta]&quot;Err&quot;;[Blue]&quot;OK&quot;"/>
    <numFmt numFmtId="303" formatCode="#,##0.0000_);\(#,##0.0000\);&quot;-  &quot;;&quot; &quot;@"/>
    <numFmt numFmtId="304" formatCode="0;0;&quot;&quot;"/>
    <numFmt numFmtId="305" formatCode="\ ;\ ;"/>
    <numFmt numFmtId="306" formatCode="_-#,##0&quot; hours&quot;"/>
    <numFmt numFmtId="307" formatCode="#,##0_);[Red]\(#,##0\);\-_)"/>
    <numFmt numFmtId="308" formatCode="0,&quot; K&quot;_);[Red]\(0,&quot; K&quot;\)"/>
    <numFmt numFmtId="309" formatCode="0.00,&quot; K&quot;_);[Red]\(0.00,&quot; K&quot;\)"/>
    <numFmt numFmtId="310" formatCode="0,,&quot; M&quot;_);[Red]\(0,,&quot; M&quot;\)"/>
    <numFmt numFmtId="311" formatCode="0.00,,&quot; M&quot;_);[Red]\(0.00,,&quot; M&quot;\)"/>
    <numFmt numFmtId="312" formatCode="_-#,##0.0&quot; max&quot;"/>
    <numFmt numFmtId="313" formatCode="_ * #,##0_ ;_ * \-#,##0_ ;_ * &quot;-&quot;_ ;_ @_ "/>
    <numFmt numFmtId="314" formatCode="_ * #,##0.00_ ;_ * \-#,##0.00_ ;_ * &quot;-&quot;??_ ;_ @_ "/>
    <numFmt numFmtId="315" formatCode="&quot;£&quot;#,##0,,&quot;M&quot;_);[Red]\(&quot;£&quot;#,##0,,&quot;M&quot;\);&quot;£&quot;0,,&quot;M&quot;_)"/>
    <numFmt numFmtId="316" formatCode="&quot;£&quot;#,##0.00,,&quot;M&quot;_);[Red]\(&quot;£&quot;#,##0.00,,&quot;M&quot;\);&quot;£&quot;0.00,,&quot;M&quot;_)"/>
    <numFmt numFmtId="317" formatCode="_ &quot;R&quot;\ * #,##0.00_ ;_ &quot;R&quot;\ * \-#,##0.00_ ;_ &quot;R&quot;\ * &quot;-&quot;??_ ;_ @_ "/>
    <numFmt numFmtId="318" formatCode="_-#,##0&quot; months&quot;"/>
    <numFmt numFmtId="319" formatCode="_-#,##0&quot;MW&quot;"/>
    <numFmt numFmtId="320" formatCode="_-#,##0&quot;MWth&quot;"/>
    <numFmt numFmtId="321" formatCode="0.00_)"/>
    <numFmt numFmtId="322" formatCode="##_);[Red]\(##\);0"/>
    <numFmt numFmtId="323" formatCode="##_);[Red]\(##\);"/>
    <numFmt numFmtId="324" formatCode="##0.00_);[Red]\(##0.00\);0.00"/>
    <numFmt numFmtId="325" formatCode="###0.00_);[Red]\(###0.00\);"/>
    <numFmt numFmtId="326" formatCode="_-* #,##0\ ;* \(#,##0\);_-* &quot;-&quot;_-;_-@_-"/>
    <numFmt numFmtId="327" formatCode="_-* #,##0_-;\-* #,##0_-;_-* &quot;-&quot;??_-;_-@_-"/>
    <numFmt numFmtId="328" formatCode="#,##0_);[Red]\(#,##0\);\-_0_)"/>
    <numFmt numFmtId="329" formatCode="d\ mmm\ yy"/>
    <numFmt numFmtId="330" formatCode="#,##0.0,,_);[Red]\(#,##0.0,,\);\-_0_)"/>
    <numFmt numFmtId="331" formatCode="&quot;£&quot;#,##0.0,,_)&quot;m&quot;;[Red]\(&quot;£&quot;#,##0.0,,_)&quot;m&quot;\);&quot;£&quot;\-_0_)\ &quot;m&quot;"/>
    <numFmt numFmtId="332" formatCode="#,##0.000,,_);[Red]\(#,##0.000,,\);\-_0_)"/>
    <numFmt numFmtId="333" formatCode="#,##0.0,_);[Red]\(#,##0.0,\);\-_0_)"/>
    <numFmt numFmtId="334" formatCode="dd\ mmm\ yy"/>
    <numFmt numFmtId="335" formatCode="mmm\ yy"/>
    <numFmt numFmtId="336" formatCode="#,##0.0,;\(#,##0.0,\);\-_)_0"/>
    <numFmt numFmtId="337" formatCode="0.00%;\(0.00%\)"/>
    <numFmt numFmtId="338" formatCode="0%;\-0%;&quot;-&quot;"/>
    <numFmt numFmtId="339" formatCode="#,##0.00\x_);\(#,##0.00\x\);&quot;-  &quot;;&quot;  &quot;@"/>
    <numFmt numFmtId="340" formatCode="0.0000%"/>
    <numFmt numFmtId="341" formatCode="m/d/yy\ h:mm:ss"/>
    <numFmt numFmtId="342" formatCode="_(* #,##0.00%_);_(* \(#,##0.00%\);_(* #,##0.00%_);_(@_)"/>
    <numFmt numFmtId="343" formatCode="_-#,##0&quot; t&quot;"/>
    <numFmt numFmtId="344" formatCode="&quot;£&quot;#,##0,&quot;K&quot;_);[Red]\(&quot;£&quot;#,##0,&quot;K&quot;\);&quot;£&quot;0,&quot;K&quot;_)"/>
    <numFmt numFmtId="345" formatCode="&quot;£&quot;#,##0.00,&quot;K&quot;_);[Red]\(&quot;£&quot;#,##0.00,&quot;K&quot;\);&quot;£&quot;0.00,&quot;K&quot;_)"/>
    <numFmt numFmtId="346" formatCode="_-* #,##0\ &quot;TL&quot;_-;\-* #,##0\ &quot;TL&quot;_-;_-* &quot;-&quot;\ &quot;TL&quot;_-;_-@_-"/>
    <numFmt numFmtId="347" formatCode="_-* #,##0.00\ &quot;TL&quot;_-;\-* #,##0.00\ &quot;TL&quot;_-;_-* &quot;-&quot;??\ &quot;TL&quot;_-;_-@_-"/>
    <numFmt numFmtId="348" formatCode="0.00%;[Red]\-0.00%;0.00%"/>
    <numFmt numFmtId="349" formatCode="yyyy"/>
    <numFmt numFmtId="350" formatCode="_-#,##0&quot; years&quot;"/>
    <numFmt numFmtId="351" formatCode="&quot;yes&quot;;&quot;ERROR&quot;;&quot;no&quot;"/>
    <numFmt numFmtId="352" formatCode="#,##0.0000"/>
    <numFmt numFmtId="353" formatCode="#,##0.0000000"/>
    <numFmt numFmtId="354" formatCode="#,##0.000000"/>
  </numFmts>
  <fonts count="2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Arial"/>
      <family val="2"/>
    </font>
    <font>
      <sz val="10"/>
      <color rgb="FF00B05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sz val="11"/>
      <color indexed="8"/>
      <name val="Calibri"/>
      <family val="2"/>
    </font>
    <font>
      <i/>
      <sz val="10"/>
      <color rgb="FFFF0000"/>
      <name val="Calibri"/>
      <family val="2"/>
      <scheme val="minor"/>
    </font>
    <font>
      <sz val="10"/>
      <color rgb="FF000000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0"/>
      <name val="Tms Rmn"/>
    </font>
    <font>
      <sz val="10"/>
      <name val="GillSans"/>
      <family val="2"/>
    </font>
    <font>
      <sz val="10"/>
      <name val="Times New Roman"/>
      <family val="1"/>
    </font>
    <font>
      <sz val="11"/>
      <name val="CG Omega"/>
      <family val="2"/>
    </font>
    <font>
      <sz val="10"/>
      <color indexed="8"/>
      <name val="MS Sans Serif"/>
      <family val="2"/>
    </font>
    <font>
      <sz val="12"/>
      <name val="Times New Roman"/>
      <family val="1"/>
    </font>
    <font>
      <b/>
      <sz val="10"/>
      <name val="Garamond"/>
      <family val="1"/>
    </font>
    <font>
      <sz val="9"/>
      <name val="Times"/>
      <family val="1"/>
    </font>
    <font>
      <sz val="10"/>
      <name val="Helv"/>
      <charset val="204"/>
    </font>
    <font>
      <sz val="10"/>
      <name val="MS Sans Serif"/>
      <family val="2"/>
    </font>
    <font>
      <sz val="10"/>
      <name val="Geneva"/>
      <family val="2"/>
    </font>
    <font>
      <sz val="11"/>
      <name val="Arial"/>
      <family val="2"/>
    </font>
    <font>
      <sz val="10"/>
      <name val="Helv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0"/>
      <name val="Trebuchet MS"/>
      <family val="2"/>
    </font>
    <font>
      <sz val="10"/>
      <color indexed="12"/>
      <name val="Tms Rmn"/>
    </font>
    <font>
      <b/>
      <sz val="10"/>
      <color indexed="12"/>
      <name val="Tms Rmn"/>
    </font>
    <font>
      <b/>
      <sz val="12"/>
      <name val="Arial"/>
      <family val="2"/>
    </font>
    <font>
      <b/>
      <sz val="14"/>
      <name val="Arial"/>
      <family val="2"/>
    </font>
    <font>
      <sz val="10"/>
      <name val="Tms Rmn"/>
    </font>
    <font>
      <sz val="10"/>
      <name val="Times"/>
      <family val="1"/>
    </font>
    <font>
      <sz val="10"/>
      <color indexed="8"/>
      <name val="Arial"/>
      <family val="2"/>
    </font>
    <font>
      <sz val="10"/>
      <color indexed="8"/>
      <name val="Trebuchet MS"/>
      <family val="2"/>
    </font>
    <font>
      <sz val="10"/>
      <color indexed="12"/>
      <name val="Times"/>
      <family val="1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9"/>
      <name val="Trebuchet MS"/>
      <family val="2"/>
    </font>
    <font>
      <b/>
      <sz val="8"/>
      <name val="Tms Rmn"/>
    </font>
    <font>
      <b/>
      <sz val="10"/>
      <name val="Arial"/>
      <family val="2"/>
    </font>
    <font>
      <sz val="8"/>
      <name val="Trebuchet MS"/>
      <family val="2"/>
    </font>
    <font>
      <sz val="10"/>
      <name val="Courier New"/>
      <family val="3"/>
    </font>
    <font>
      <b/>
      <sz val="9"/>
      <name val="Helv"/>
    </font>
    <font>
      <sz val="11"/>
      <name val="Times New Roman"/>
      <family val="1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rgb="FF9C0006"/>
      <name val="Verdana"/>
      <family val="2"/>
    </font>
    <font>
      <sz val="10"/>
      <color indexed="20"/>
      <name val="Verdana"/>
      <family val="2"/>
    </font>
    <font>
      <sz val="10"/>
      <color indexed="20"/>
      <name val="Trebuchet MS"/>
      <family val="2"/>
    </font>
    <font>
      <b/>
      <sz val="12"/>
      <color indexed="13"/>
      <name val="Arial"/>
      <family val="2"/>
    </font>
    <font>
      <sz val="8"/>
      <color indexed="13"/>
      <name val="Arial"/>
      <family val="2"/>
    </font>
    <font>
      <b/>
      <sz val="8"/>
      <color indexed="9"/>
      <name val="Arial"/>
      <family val="2"/>
    </font>
    <font>
      <sz val="8"/>
      <color indexed="12"/>
      <name val="Trebuchet MS"/>
      <family val="2"/>
    </font>
    <font>
      <b/>
      <sz val="9"/>
      <color indexed="12"/>
      <name val="Arial"/>
      <family val="2"/>
    </font>
    <font>
      <sz val="12"/>
      <name val="Tms Rmn"/>
    </font>
    <font>
      <b/>
      <sz val="12"/>
      <name val="Times New Roman"/>
      <family val="1"/>
    </font>
    <font>
      <i/>
      <sz val="8"/>
      <color indexed="12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b/>
      <sz val="10"/>
      <color indexed="8"/>
      <name val="Times New Roman"/>
      <family val="1"/>
    </font>
    <font>
      <sz val="12"/>
      <name val="±¼¸²Ã¼"/>
      <charset val="129"/>
    </font>
    <font>
      <b/>
      <sz val="11"/>
      <color indexed="53"/>
      <name val="Calibri"/>
      <family val="2"/>
    </font>
    <font>
      <b/>
      <sz val="11"/>
      <color indexed="52"/>
      <name val="Calibri"/>
      <family val="2"/>
    </font>
    <font>
      <sz val="6"/>
      <color indexed="10"/>
      <name val="Trebuchet MS"/>
      <family val="2"/>
    </font>
    <font>
      <b/>
      <sz val="11"/>
      <color indexed="9"/>
      <name val="Calibri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sz val="8"/>
      <name val="Palatino"/>
      <family val="1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"/>
      <color indexed="8"/>
      <name val="Courier"/>
      <family val="3"/>
    </font>
    <font>
      <i/>
      <sz val="9"/>
      <name val="MS Sans Serif"/>
      <family val="2"/>
    </font>
    <font>
      <sz val="10"/>
      <name val="MS Serif"/>
      <family val="1"/>
    </font>
    <font>
      <b/>
      <sz val="14"/>
      <color indexed="8"/>
      <name val="Arial"/>
      <family val="2"/>
    </font>
    <font>
      <sz val="10"/>
      <color indexed="10"/>
      <name val="Arial"/>
      <family val="2"/>
    </font>
    <font>
      <sz val="10"/>
      <color indexed="62"/>
      <name val="Arial"/>
      <family val="2"/>
    </font>
    <font>
      <sz val="10"/>
      <color indexed="62"/>
      <name val="Book Antiqua"/>
      <family val="1"/>
    </font>
    <font>
      <sz val="10"/>
      <color indexed="18"/>
      <name val="Arial"/>
      <family val="2"/>
    </font>
    <font>
      <b/>
      <sz val="12"/>
      <color indexed="18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sz val="10"/>
      <name val="Palatino"/>
      <family val="1"/>
    </font>
    <font>
      <sz val="10"/>
      <name val="Times New Roman CE"/>
    </font>
    <font>
      <b/>
      <sz val="11"/>
      <color indexed="8"/>
      <name val="Calibri"/>
      <family val="2"/>
    </font>
    <font>
      <sz val="10"/>
      <color indexed="16"/>
      <name val="MS Serif"/>
      <family val="1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b/>
      <sz val="10"/>
      <color indexed="43"/>
      <name val="Times New Roman"/>
      <family val="1"/>
    </font>
    <font>
      <sz val="10"/>
      <color indexed="62"/>
      <name val="Times New Roman"/>
      <family val="1"/>
    </font>
    <font>
      <sz val="10"/>
      <color indexed="12"/>
      <name val="Times New Roman"/>
      <family val="1"/>
    </font>
    <font>
      <b/>
      <sz val="12"/>
      <color indexed="9"/>
      <name val="Trebuchet MS"/>
      <family val="2"/>
    </font>
    <font>
      <b/>
      <sz val="10"/>
      <color indexed="9"/>
      <name val="Arial"/>
      <family val="2"/>
    </font>
    <font>
      <b/>
      <sz val="14"/>
      <name val="Times New Roman"/>
      <family val="1"/>
    </font>
    <font>
      <b/>
      <sz val="10"/>
      <color indexed="9"/>
      <name val="Times New Roman"/>
      <family val="1"/>
    </font>
    <font>
      <b/>
      <sz val="11"/>
      <color indexed="9"/>
      <name val="Arial"/>
      <family val="2"/>
    </font>
    <font>
      <sz val="10"/>
      <color indexed="20"/>
      <name val="Times New Roman"/>
      <family val="1"/>
    </font>
    <font>
      <sz val="10"/>
      <name val="Stone Sans"/>
      <family val="2"/>
    </font>
    <font>
      <sz val="10"/>
      <name val="Optima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62"/>
      <name val="Arial"/>
      <family val="2"/>
    </font>
    <font>
      <sz val="8"/>
      <color indexed="20"/>
      <name val="Arial"/>
      <family val="2"/>
    </font>
    <font>
      <sz val="8"/>
      <color indexed="56"/>
      <name val="Arial"/>
      <family val="2"/>
    </font>
    <font>
      <b/>
      <sz val="8"/>
      <name val="Times New Roman"/>
      <family val="1"/>
    </font>
    <font>
      <b/>
      <sz val="18"/>
      <color indexed="18"/>
      <name val="Arial"/>
      <family val="2"/>
    </font>
    <font>
      <sz val="12"/>
      <name val="Optima"/>
      <family val="2"/>
    </font>
    <font>
      <b/>
      <i/>
      <sz val="16"/>
      <name val="Helv"/>
    </font>
    <font>
      <sz val="10"/>
      <color indexed="14"/>
      <name val="Arial"/>
      <family val="2"/>
    </font>
    <font>
      <b/>
      <sz val="12"/>
      <name val="Stone Sans"/>
      <family val="2"/>
    </font>
    <font>
      <b/>
      <sz val="18"/>
      <name val="Arial"/>
      <family val="2"/>
    </font>
    <font>
      <b/>
      <sz val="14"/>
      <name val="Stone Sans"/>
      <family val="2"/>
    </font>
    <font>
      <sz val="10"/>
      <name val="Stone Sans"/>
    </font>
    <font>
      <b/>
      <sz val="10"/>
      <name val="Antique Olive"/>
      <family val="2"/>
    </font>
    <font>
      <sz val="10"/>
      <name val="Antique Olive"/>
      <family val="2"/>
    </font>
    <font>
      <b/>
      <sz val="14"/>
      <name val="Antique Olive"/>
      <family val="2"/>
    </font>
    <font>
      <i/>
      <sz val="10"/>
      <name val="Antique Olive"/>
      <family val="2"/>
    </font>
    <font>
      <b/>
      <sz val="18"/>
      <name val="Antique Olive"/>
      <family val="2"/>
    </font>
    <font>
      <sz val="10"/>
      <color indexed="12"/>
      <name val="Arial"/>
      <family val="2"/>
    </font>
    <font>
      <b/>
      <sz val="10"/>
      <color indexed="32"/>
      <name val="Palatino"/>
      <family val="1"/>
    </font>
    <font>
      <i/>
      <sz val="8"/>
      <color indexed="60"/>
      <name val="Times New Roman"/>
      <family val="1"/>
    </font>
    <font>
      <sz val="12"/>
      <color indexed="8"/>
      <name val="Times New Roman"/>
      <family val="1"/>
    </font>
    <font>
      <sz val="14"/>
      <name val="Arial"/>
      <family val="2"/>
    </font>
    <font>
      <sz val="18"/>
      <name val="Arial"/>
      <family val="2"/>
    </font>
    <font>
      <b/>
      <sz val="14"/>
      <color indexed="9"/>
      <name val="Book Antiqua"/>
      <family val="1"/>
    </font>
    <font>
      <b/>
      <sz val="18"/>
      <color indexed="62"/>
      <name val="Cambria"/>
      <family val="2"/>
    </font>
    <font>
      <b/>
      <sz val="20"/>
      <color indexed="10"/>
      <name val="Arial"/>
      <family val="2"/>
    </font>
    <font>
      <sz val="12"/>
      <color indexed="10"/>
      <name val="Times New Roman"/>
      <family val="1"/>
    </font>
    <font>
      <b/>
      <sz val="10"/>
      <color indexed="62"/>
      <name val="Arial"/>
      <family val="2"/>
    </font>
    <font>
      <b/>
      <sz val="12"/>
      <color indexed="12"/>
      <name val="Arial"/>
      <family val="2"/>
    </font>
    <font>
      <sz val="11"/>
      <color indexed="17"/>
      <name val="Arial"/>
      <family val="2"/>
    </font>
    <font>
      <b/>
      <sz val="10"/>
      <color indexed="9"/>
      <name val="Book Antiqua"/>
      <family val="1"/>
    </font>
    <font>
      <b/>
      <i/>
      <sz val="10"/>
      <name val="Arial"/>
      <family val="2"/>
    </font>
    <font>
      <i/>
      <sz val="10"/>
      <color indexed="62"/>
      <name val="Arial"/>
      <family val="2"/>
    </font>
    <font>
      <b/>
      <sz val="11"/>
      <name val="Arial"/>
      <family val="2"/>
    </font>
    <font>
      <sz val="9"/>
      <color indexed="8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b/>
      <sz val="16"/>
      <color indexed="9"/>
      <name val="Arial"/>
      <family val="2"/>
    </font>
    <font>
      <b/>
      <sz val="14"/>
      <color indexed="32"/>
      <name val="Arial"/>
      <family val="2"/>
    </font>
    <font>
      <b/>
      <sz val="10"/>
      <name val="Helv"/>
    </font>
    <font>
      <b/>
      <sz val="10"/>
      <color indexed="41"/>
      <name val="Arial"/>
      <family val="2"/>
    </font>
    <font>
      <sz val="10"/>
      <name val="Arial"/>
      <family val="2"/>
    </font>
    <font>
      <sz val="11"/>
      <color rgb="FF3F3F76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0"/>
      <color rgb="FFFF0000"/>
      <name val="Calibri"/>
      <family val="2"/>
    </font>
    <font>
      <b/>
      <i/>
      <sz val="10"/>
      <name val="Calibri"/>
      <family val="2"/>
      <scheme val="minor"/>
    </font>
    <font>
      <i/>
      <sz val="10"/>
      <color rgb="FF3F3F76"/>
      <name val="Calibri"/>
      <family val="2"/>
      <scheme val="minor"/>
    </font>
    <font>
      <sz val="7"/>
      <name val="Calibri"/>
      <family val="2"/>
      <scheme val="minor"/>
    </font>
    <font>
      <sz val="5.5"/>
      <name val="Calibri"/>
      <family val="2"/>
      <scheme val="minor"/>
    </font>
    <font>
      <b/>
      <sz val="6"/>
      <name val="Calibri"/>
      <family val="2"/>
      <scheme val="minor"/>
    </font>
    <font>
      <b/>
      <sz val="5"/>
      <color theme="1"/>
      <name val="Calibri"/>
      <family val="2"/>
    </font>
    <font>
      <sz val="10"/>
      <color rgb="FF0000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0505FF"/>
      <name val="Calibri"/>
      <family val="2"/>
      <scheme val="minor"/>
    </font>
    <font>
      <b/>
      <sz val="10"/>
      <color rgb="FF0505FF"/>
      <name val="Calibri"/>
      <family val="2"/>
      <scheme val="minor"/>
    </font>
    <font>
      <i/>
      <sz val="10"/>
      <color rgb="FF3366FF"/>
      <name val="Calibri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color theme="0"/>
      <name val="Calibri"/>
      <family val="2"/>
      <scheme val="minor"/>
    </font>
    <font>
      <sz val="10"/>
      <color rgb="FFFF0000"/>
      <name val="Arial"/>
      <family val="2"/>
    </font>
    <font>
      <sz val="7"/>
      <color theme="1"/>
      <name val="Calibri"/>
      <family val="2"/>
    </font>
    <font>
      <b/>
      <sz val="10"/>
      <color rgb="FF00B050"/>
      <name val="Calibri"/>
      <family val="2"/>
    </font>
    <font>
      <sz val="10"/>
      <color rgb="FF00B050"/>
      <name val="Calibri"/>
      <family val="2"/>
    </font>
    <font>
      <b/>
      <u/>
      <sz val="10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6"/>
      <color theme="1"/>
      <name val="Calibri"/>
      <family val="2"/>
    </font>
    <font>
      <b/>
      <sz val="16"/>
      <color rgb="FFFFFFFF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 val="singleAccounting"/>
      <sz val="11"/>
      <color rgb="FFFF0000"/>
      <name val="Calibri"/>
      <family val="2"/>
      <scheme val="minor"/>
    </font>
    <font>
      <sz val="10"/>
      <name val="Arial"/>
      <family val="2"/>
    </font>
  </fonts>
  <fills count="8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1"/>
        <bgColor indexed="21"/>
      </patternFill>
    </fill>
    <fill>
      <patternFill patternType="solid">
        <fgColor indexed="22"/>
        <bgColor indexed="64"/>
      </patternFill>
    </fill>
    <fill>
      <patternFill patternType="solid">
        <fgColor indexed="40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1"/>
        <bgColor indexed="61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44"/>
      </patternFill>
    </fill>
    <fill>
      <patternFill patternType="solid">
        <fgColor indexed="48"/>
        <bgColor indexed="48"/>
      </patternFill>
    </fill>
    <fill>
      <patternFill patternType="solid">
        <fgColor indexed="62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10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23"/>
        <bgColor indexed="23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3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38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3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8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rgb="FFA6A6A6"/>
      </bottom>
      <diagonal/>
    </border>
    <border>
      <left style="medium">
        <color theme="0" tint="-0.34998626667073579"/>
      </left>
      <right style="medium">
        <color rgb="FFA6A6A6"/>
      </right>
      <top/>
      <bottom style="medium">
        <color rgb="FFA6A6A6"/>
      </bottom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rgb="FFA6A6A6"/>
      </right>
      <top style="medium">
        <color theme="0" tint="-0.34998626667073579"/>
      </top>
      <bottom/>
      <diagonal/>
    </border>
    <border>
      <left/>
      <right style="medium">
        <color rgb="FFA6A6A6"/>
      </right>
      <top/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24"/>
      </bottom>
      <diagonal/>
    </border>
    <border>
      <left/>
      <right/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 style="double">
        <color indexed="57"/>
      </left>
      <right style="double">
        <color indexed="57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/>
      <diagonal/>
    </border>
    <border>
      <left/>
      <right/>
      <top style="medium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3"/>
      </top>
      <bottom/>
      <diagonal/>
    </border>
    <border>
      <left/>
      <right/>
      <top style="thin">
        <color indexed="64"/>
      </top>
      <bottom/>
      <diagonal/>
    </border>
    <border>
      <left style="medium">
        <color theme="0" tint="-0.34998626667073579"/>
      </left>
      <right style="medium">
        <color rgb="FFA6A6A6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/>
      <bottom style="medium">
        <color rgb="FFA6A6A6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rgb="FFA6A6A6"/>
      </bottom>
      <diagonal/>
    </border>
    <border>
      <left/>
      <right/>
      <top style="medium">
        <color theme="0" tint="-0.34998626667073579"/>
      </top>
      <bottom style="medium">
        <color rgb="FFA6A6A6"/>
      </bottom>
      <diagonal/>
    </border>
    <border>
      <left/>
      <right style="medium">
        <color rgb="FFA6A6A6"/>
      </right>
      <top style="medium">
        <color theme="0" tint="-0.34998626667073579"/>
      </top>
      <bottom style="medium">
        <color rgb="FFA6A6A6"/>
      </bottom>
      <diagonal/>
    </border>
    <border>
      <left style="medium">
        <color rgb="FFA6A6A6"/>
      </left>
      <right/>
      <top style="medium">
        <color theme="0" tint="-0.34998626667073579"/>
      </top>
      <bottom style="medium">
        <color rgb="FFA6A6A6"/>
      </bottom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rgb="FFA6A6A6"/>
      </top>
      <bottom style="medium">
        <color rgb="FFA6A6A6"/>
      </bottom>
      <diagonal/>
    </border>
    <border>
      <left style="medium">
        <color indexed="64"/>
      </left>
      <right style="medium">
        <color rgb="FFA6A6A6"/>
      </right>
      <top/>
      <bottom style="medium">
        <color rgb="FFA6A6A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A6A6A6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A6A6A6"/>
      </top>
      <bottom style="medium">
        <color rgb="FFA6A6A6"/>
      </bottom>
      <diagonal/>
    </border>
    <border>
      <left style="medium">
        <color indexed="64"/>
      </left>
      <right/>
      <top style="medium">
        <color indexed="64"/>
      </top>
      <bottom style="medium">
        <color rgb="FFA6A6A6"/>
      </bottom>
      <diagonal/>
    </border>
    <border>
      <left/>
      <right/>
      <top style="medium">
        <color indexed="64"/>
      </top>
      <bottom style="medium">
        <color rgb="FFA6A6A6"/>
      </bottom>
      <diagonal/>
    </border>
    <border>
      <left/>
      <right style="medium">
        <color rgb="FFA6A6A6"/>
      </right>
      <top style="medium">
        <color indexed="64"/>
      </top>
      <bottom style="medium">
        <color rgb="FFA6A6A6"/>
      </bottom>
      <diagonal/>
    </border>
    <border>
      <left style="medium">
        <color rgb="FFA6A6A6"/>
      </left>
      <right/>
      <top style="medium">
        <color indexed="64"/>
      </top>
      <bottom style="medium">
        <color rgb="FFA6A6A6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theme="0" tint="-0.34998626667073579"/>
      </right>
      <top/>
      <bottom/>
      <diagonal/>
    </border>
    <border>
      <left/>
      <right style="medium">
        <color indexed="64"/>
      </right>
      <top/>
      <bottom style="medium">
        <color rgb="FFA6A6A6"/>
      </bottom>
      <diagonal/>
    </border>
    <border>
      <left style="medium">
        <color indexed="64"/>
      </left>
      <right/>
      <top/>
      <bottom style="medium">
        <color rgb="FFA6A6A6"/>
      </bottom>
      <diagonal/>
    </border>
    <border>
      <left style="medium">
        <color indexed="64"/>
      </left>
      <right style="medium">
        <color rgb="FFA6A6A6"/>
      </right>
      <top/>
      <bottom/>
      <diagonal/>
    </border>
    <border>
      <left style="medium">
        <color indexed="64"/>
      </left>
      <right/>
      <top style="medium">
        <color rgb="FFA6A6A6"/>
      </top>
      <bottom/>
      <diagonal/>
    </border>
    <border>
      <left/>
      <right style="medium">
        <color indexed="64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theme="0" tint="-0.34998626667073579"/>
      </left>
      <right style="medium">
        <color rgb="FFA6A6A6"/>
      </right>
      <top style="medium">
        <color rgb="FFA6A6A6"/>
      </top>
      <bottom style="medium">
        <color rgb="FFA6A6A6"/>
      </bottom>
      <diagonal/>
    </border>
  </borders>
  <cellStyleXfs count="4671">
    <xf numFmtId="0" fontId="0" fillId="0" borderId="0"/>
    <xf numFmtId="9" fontId="17" fillId="0" borderId="0" applyFont="0" applyFill="0" applyBorder="0" applyAlignment="0" applyProtection="0"/>
    <xf numFmtId="0" fontId="11" fillId="3" borderId="0" applyNumberFormat="0" applyBorder="0" applyAlignment="0" applyProtection="0"/>
    <xf numFmtId="0" fontId="17" fillId="0" borderId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171" fontId="17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8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0" fontId="30" fillId="0" borderId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5" fontId="17" fillId="0" borderId="0">
      <alignment vertical="top"/>
    </xf>
    <xf numFmtId="175" fontId="17" fillId="0" borderId="0">
      <alignment vertical="top"/>
    </xf>
    <xf numFmtId="176" fontId="31" fillId="0" borderId="0"/>
    <xf numFmtId="177" fontId="36" fillId="9" borderId="11">
      <alignment horizontal="center"/>
      <protection locked="0"/>
    </xf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5" fontId="37" fillId="0" borderId="0"/>
    <xf numFmtId="176" fontId="31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8" fontId="17" fillId="0" borderId="0"/>
    <xf numFmtId="179" fontId="38" fillId="0" borderId="0" applyFont="0" applyFill="0" applyBorder="0" applyAlignment="0" applyProtection="0">
      <protection locked="0"/>
    </xf>
    <xf numFmtId="180" fontId="37" fillId="0" borderId="0">
      <alignment horizontal="right"/>
    </xf>
    <xf numFmtId="181" fontId="37" fillId="10" borderId="0"/>
    <xf numFmtId="182" fontId="37" fillId="10" borderId="0"/>
    <xf numFmtId="183" fontId="37" fillId="10" borderId="0"/>
    <xf numFmtId="184" fontId="37" fillId="10" borderId="0">
      <alignment horizontal="right"/>
    </xf>
    <xf numFmtId="0" fontId="17" fillId="0" borderId="0"/>
    <xf numFmtId="0" fontId="39" fillId="0" borderId="0"/>
    <xf numFmtId="185" fontId="39" fillId="0" borderId="0"/>
    <xf numFmtId="185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7" fillId="0" borderId="0"/>
    <xf numFmtId="172" fontId="17" fillId="0" borderId="0"/>
    <xf numFmtId="172" fontId="17" fillId="0" borderId="0"/>
    <xf numFmtId="0" fontId="17" fillId="0" borderId="0"/>
    <xf numFmtId="176" fontId="17" fillId="0" borderId="0"/>
    <xf numFmtId="182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39" fillId="0" borderId="0"/>
    <xf numFmtId="175" fontId="17" fillId="0" borderId="0"/>
    <xf numFmtId="0" fontId="17" fillId="0" borderId="0"/>
    <xf numFmtId="175" fontId="39" fillId="0" borderId="0"/>
    <xf numFmtId="175" fontId="17" fillId="0" borderId="0"/>
    <xf numFmtId="175" fontId="17" fillId="0" borderId="0"/>
    <xf numFmtId="175" fontId="17" fillId="0" borderId="0"/>
    <xf numFmtId="175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9" fontId="34" fillId="7" borderId="0" applyBorder="0">
      <alignment vertical="center"/>
    </xf>
    <xf numFmtId="0" fontId="17" fillId="0" borderId="0"/>
    <xf numFmtId="0" fontId="17" fillId="0" borderId="0"/>
    <xf numFmtId="175" fontId="39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39" fillId="0" borderId="0"/>
    <xf numFmtId="0" fontId="39" fillId="0" borderId="0"/>
    <xf numFmtId="175" fontId="39" fillId="0" borderId="0"/>
    <xf numFmtId="0" fontId="17" fillId="0" borderId="0"/>
    <xf numFmtId="0" fontId="17" fillId="0" borderId="0"/>
    <xf numFmtId="0" fontId="17" fillId="0" borderId="0"/>
    <xf numFmtId="186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175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5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175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175" fontId="17" fillId="0" borderId="0" applyBorder="0"/>
    <xf numFmtId="187" fontId="34" fillId="7" borderId="0" applyBorder="0">
      <alignment vertical="center"/>
    </xf>
    <xf numFmtId="175" fontId="40" fillId="0" borderId="0" applyNumberFormat="0" applyFont="0" applyFill="0" applyBorder="0" applyAlignment="0" applyProtection="0"/>
    <xf numFmtId="9" fontId="17" fillId="0" borderId="0">
      <alignment horizontal="center"/>
    </xf>
    <xf numFmtId="188" fontId="17" fillId="0" borderId="0" applyFont="0" applyFill="0" applyBorder="0" applyAlignment="0" applyProtection="0"/>
    <xf numFmtId="175" fontId="41" fillId="0" borderId="0" applyNumberFormat="0" applyFill="0" applyBorder="0" applyAlignment="0" applyProtection="0">
      <alignment vertical="top"/>
      <protection locked="0"/>
    </xf>
    <xf numFmtId="168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189" fontId="43" fillId="0" borderId="0">
      <alignment horizontal="right"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7" fillId="0" borderId="0"/>
    <xf numFmtId="0" fontId="17" fillId="0" borderId="0"/>
    <xf numFmtId="0" fontId="1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75" fontId="44" fillId="0" borderId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175" fontId="44" fillId="0" borderId="0"/>
    <xf numFmtId="175" fontId="17" fillId="0" borderId="0" applyFont="0" applyFill="0" applyBorder="0" applyAlignment="0" applyProtection="0"/>
    <xf numFmtId="175" fontId="44" fillId="0" borderId="0"/>
    <xf numFmtId="175" fontId="44" fillId="0" borderId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4" fillId="0" borderId="0"/>
    <xf numFmtId="0" fontId="17" fillId="0" borderId="0" applyFont="0" applyFill="0" applyBorder="0" applyAlignment="0" applyProtection="0"/>
    <xf numFmtId="0" fontId="44" fillId="0" borderId="0"/>
    <xf numFmtId="175" fontId="17" fillId="0" borderId="0"/>
    <xf numFmtId="175" fontId="17" fillId="0" borderId="0"/>
    <xf numFmtId="17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8" fontId="45" fillId="0" borderId="0" applyFont="0" applyFill="0" applyBorder="0" applyAlignment="0" applyProtection="0"/>
    <xf numFmtId="190" fontId="17" fillId="0" borderId="0" applyFont="0" applyFill="0" applyBorder="0" applyAlignment="0" applyProtection="0"/>
    <xf numFmtId="175" fontId="31" fillId="0" borderId="0" applyFont="0" applyFill="0" applyBorder="0" applyAlignment="0" applyProtection="0"/>
    <xf numFmtId="190" fontId="17" fillId="0" borderId="0" applyFont="0" applyFill="0" applyBorder="0" applyAlignment="0" applyProtection="0"/>
    <xf numFmtId="175" fontId="17" fillId="0" borderId="0"/>
    <xf numFmtId="175" fontId="17" fillId="0" borderId="0"/>
    <xf numFmtId="0" fontId="17" fillId="0" borderId="0"/>
    <xf numFmtId="175" fontId="44" fillId="0" borderId="0"/>
    <xf numFmtId="0" fontId="17" fillId="0" borderId="0"/>
    <xf numFmtId="0" fontId="17" fillId="0" borderId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6" fillId="0" borderId="0"/>
    <xf numFmtId="0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75" fontId="31" fillId="0" borderId="0" applyFont="0" applyFill="0" applyBorder="0" applyAlignment="0" applyProtection="0"/>
    <xf numFmtId="19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192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175" fontId="31" fillId="0" borderId="0" applyFont="0" applyFill="0" applyBorder="0" applyAlignment="0" applyProtection="0"/>
    <xf numFmtId="39" fontId="17" fillId="0" borderId="0" applyFont="0" applyFill="0" applyBorder="0" applyAlignment="0" applyProtection="0"/>
    <xf numFmtId="175" fontId="17" fillId="0" borderId="0"/>
    <xf numFmtId="0" fontId="17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4" fillId="0" borderId="0"/>
    <xf numFmtId="175" fontId="44" fillId="0" borderId="0"/>
    <xf numFmtId="175" fontId="41" fillId="0" borderId="0"/>
    <xf numFmtId="175" fontId="41" fillId="0" borderId="0"/>
    <xf numFmtId="38" fontId="45" fillId="0" borderId="0" applyAlignment="0" applyProtection="0"/>
    <xf numFmtId="38" fontId="45" fillId="0" borderId="0" applyFont="0" applyBorder="0" applyAlignment="0" applyProtection="0"/>
    <xf numFmtId="193" fontId="17" fillId="0" borderId="0" applyFont="0" applyFill="0" applyBorder="0" applyProtection="0">
      <alignment vertical="top"/>
    </xf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5" fontId="44" fillId="0" borderId="0"/>
    <xf numFmtId="17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44" fillId="0" borderId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175" fontId="44" fillId="0" borderId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7" fillId="0" borderId="0"/>
    <xf numFmtId="38" fontId="47" fillId="0" borderId="0" applyAlignment="0" applyProtection="0"/>
    <xf numFmtId="0" fontId="17" fillId="0" borderId="0" applyFont="0" applyFill="0" applyBorder="0" applyAlignment="0" applyProtection="0"/>
    <xf numFmtId="193" fontId="17" fillId="0" borderId="0" applyFont="0" applyFill="0" applyBorder="0" applyProtection="0">
      <alignment vertical="top"/>
    </xf>
    <xf numFmtId="38" fontId="47" fillId="0" borderId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75" fontId="17" fillId="0" borderId="0"/>
    <xf numFmtId="175" fontId="17" fillId="0" borderId="0"/>
    <xf numFmtId="175" fontId="17" fillId="0" borderId="0"/>
    <xf numFmtId="175" fontId="17" fillId="0" borderId="0"/>
    <xf numFmtId="175" fontId="17" fillId="0" borderId="0"/>
    <xf numFmtId="175" fontId="17" fillId="0" borderId="0"/>
    <xf numFmtId="0" fontId="17" fillId="0" borderId="0"/>
    <xf numFmtId="175" fontId="44" fillId="0" borderId="0"/>
    <xf numFmtId="194" fontId="17" fillId="0" borderId="0" applyFont="0" applyFill="0" applyBorder="0" applyAlignment="0" applyProtection="0"/>
    <xf numFmtId="175" fontId="31" fillId="0" borderId="0" applyFont="0" applyFill="0" applyBorder="0" applyAlignment="0" applyProtection="0"/>
    <xf numFmtId="195" fontId="17" fillId="0" borderId="0" applyFont="0" applyFill="0" applyBorder="0" applyAlignment="0" applyProtection="0"/>
    <xf numFmtId="194" fontId="17" fillId="0" borderId="0" applyFont="0" applyFill="0" applyBorder="0" applyAlignment="0" applyProtection="0"/>
    <xf numFmtId="195" fontId="17" fillId="0" borderId="0" applyFont="0" applyFill="0" applyBorder="0" applyAlignment="0" applyProtection="0"/>
    <xf numFmtId="196" fontId="17" fillId="0" borderId="0" applyFont="0" applyFill="0" applyBorder="0" applyAlignment="0" applyProtection="0"/>
    <xf numFmtId="175" fontId="31" fillId="0" borderId="0" applyFont="0" applyFill="0" applyBorder="0" applyAlignment="0" applyProtection="0"/>
    <xf numFmtId="197" fontId="17" fillId="0" borderId="0" applyFont="0" applyFill="0" applyBorder="0" applyAlignment="0" applyProtection="0"/>
    <xf numFmtId="196" fontId="17" fillId="0" borderId="0" applyFont="0" applyFill="0" applyBorder="0" applyAlignment="0" applyProtection="0"/>
    <xf numFmtId="197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5" fontId="44" fillId="0" borderId="0"/>
    <xf numFmtId="175" fontId="44" fillId="0" borderId="0"/>
    <xf numFmtId="175" fontId="17" fillId="0" borderId="0"/>
    <xf numFmtId="0" fontId="17" fillId="0" borderId="0" applyFont="0" applyFill="0" applyBorder="0" applyAlignment="0" applyProtection="0"/>
    <xf numFmtId="175" fontId="44" fillId="0" borderId="0"/>
    <xf numFmtId="38" fontId="47" fillId="0" borderId="0" applyAlignment="0" applyProtection="0"/>
    <xf numFmtId="0" fontId="46" fillId="0" borderId="0"/>
    <xf numFmtId="0" fontId="46" fillId="0" borderId="0"/>
    <xf numFmtId="175" fontId="17" fillId="0" borderId="0"/>
    <xf numFmtId="175" fontId="17" fillId="0" borderId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198" fontId="17" fillId="0" borderId="0" applyFont="0" applyFill="0" applyBorder="0" applyAlignment="0" applyProtection="0"/>
    <xf numFmtId="175" fontId="31" fillId="0" borderId="0" applyFont="0" applyFill="0" applyBorder="0" applyAlignment="0" applyProtection="0"/>
    <xf numFmtId="199" fontId="17" fillId="0" borderId="0" applyFont="0" applyFill="0" applyBorder="0" applyAlignment="0" applyProtection="0"/>
    <xf numFmtId="198" fontId="17" fillId="0" borderId="0" applyFont="0" applyFill="0" applyBorder="0" applyAlignment="0" applyProtection="0"/>
    <xf numFmtId="199" fontId="17" fillId="0" borderId="0" applyFont="0" applyFill="0" applyBorder="0" applyAlignment="0" applyProtection="0"/>
    <xf numFmtId="200" fontId="17" fillId="0" borderId="0" applyFont="0" applyFill="0" applyBorder="0" applyAlignment="0" applyProtection="0"/>
    <xf numFmtId="175" fontId="31" fillId="0" borderId="0" applyFont="0" applyFill="0" applyBorder="0" applyAlignment="0" applyProtection="0"/>
    <xf numFmtId="201" fontId="17" fillId="0" borderId="0" applyFont="0" applyFill="0" applyBorder="0" applyAlignment="0" applyProtection="0"/>
    <xf numFmtId="200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175" fontId="48" fillId="0" borderId="0"/>
    <xf numFmtId="175" fontId="48" fillId="0" borderId="0"/>
    <xf numFmtId="175" fontId="48" fillId="0" borderId="0"/>
    <xf numFmtId="17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7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175" fontId="17" fillId="0" borderId="0" applyFont="0" applyFill="0" applyBorder="0" applyAlignment="0" applyProtection="0"/>
    <xf numFmtId="0" fontId="17" fillId="0" borderId="0"/>
    <xf numFmtId="0" fontId="17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7" fillId="0" borderId="0"/>
    <xf numFmtId="0" fontId="46" fillId="0" borderId="0"/>
    <xf numFmtId="0" fontId="46" fillId="0" borderId="0"/>
    <xf numFmtId="17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17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8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7" fillId="0" borderId="0" applyFont="0" applyFill="0" applyBorder="0" applyAlignment="0" applyProtection="0"/>
    <xf numFmtId="175" fontId="49" fillId="0" borderId="0" applyNumberFormat="0" applyFill="0" applyBorder="0" applyProtection="0">
      <alignment horizontal="left"/>
    </xf>
    <xf numFmtId="175" fontId="50" fillId="0" borderId="0" applyNumberFormat="0" applyFill="0" applyBorder="0" applyProtection="0">
      <alignment horizontal="centerContinuous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5" fontId="48" fillId="0" borderId="0"/>
    <xf numFmtId="175" fontId="48" fillId="0" borderId="0"/>
    <xf numFmtId="202" fontId="35" fillId="0" borderId="0"/>
    <xf numFmtId="175" fontId="41" fillId="0" borderId="0"/>
    <xf numFmtId="175" fontId="41" fillId="0" borderId="0"/>
    <xf numFmtId="175" fontId="48" fillId="0" borderId="0"/>
    <xf numFmtId="175" fontId="48" fillId="0" borderId="0"/>
    <xf numFmtId="175" fontId="48" fillId="0" borderId="0"/>
    <xf numFmtId="0" fontId="17" fillId="0" borderId="0" applyFont="0" applyFill="0" applyBorder="0" applyAlignment="0" applyProtection="0"/>
    <xf numFmtId="175" fontId="17" fillId="0" borderId="0"/>
    <xf numFmtId="175" fontId="44" fillId="0" borderId="0"/>
    <xf numFmtId="202" fontId="3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203" fontId="51" fillId="0" borderId="0" applyFont="0" applyFill="0" applyBorder="0" applyAlignment="0" applyProtection="0"/>
    <xf numFmtId="204" fontId="41" fillId="0" borderId="0" applyFont="0" applyFill="0" applyBorder="0" applyAlignment="0" applyProtection="0"/>
    <xf numFmtId="205" fontId="52" fillId="0" borderId="0"/>
    <xf numFmtId="206" fontId="41" fillId="0" borderId="0" applyFont="0" applyFill="0" applyBorder="0" applyAlignment="0" applyProtection="0"/>
    <xf numFmtId="207" fontId="51" fillId="0" borderId="0" applyFont="0" applyFill="0" applyBorder="0" applyAlignment="0" applyProtection="0"/>
    <xf numFmtId="0" fontId="39" fillId="0" borderId="0"/>
    <xf numFmtId="0" fontId="17" fillId="0" borderId="0"/>
    <xf numFmtId="0" fontId="17" fillId="0" borderId="0"/>
    <xf numFmtId="0" fontId="17" fillId="0" borderId="0"/>
    <xf numFmtId="172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9" fillId="0" borderId="0"/>
    <xf numFmtId="0" fontId="39" fillId="0" borderId="0"/>
    <xf numFmtId="0" fontId="17" fillId="0" borderId="0"/>
    <xf numFmtId="0" fontId="39" fillId="0" borderId="0"/>
    <xf numFmtId="0" fontId="39" fillId="0" borderId="0"/>
    <xf numFmtId="0" fontId="39" fillId="0" borderId="0"/>
    <xf numFmtId="0" fontId="17" fillId="0" borderId="0"/>
    <xf numFmtId="0" fontId="39" fillId="0" borderId="0"/>
    <xf numFmtId="0" fontId="17" fillId="0" borderId="0"/>
    <xf numFmtId="0" fontId="39" fillId="0" borderId="0"/>
    <xf numFmtId="0" fontId="17" fillId="0" borderId="0"/>
    <xf numFmtId="0" fontId="17" fillId="0" borderId="0"/>
    <xf numFmtId="0" fontId="17" fillId="0" borderId="0"/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0" fontId="39" fillId="0" borderId="0">
      <alignment vertical="justify"/>
    </xf>
    <xf numFmtId="175" fontId="17" fillId="0" borderId="0"/>
    <xf numFmtId="170" fontId="17" fillId="0" borderId="0" applyBorder="0"/>
    <xf numFmtId="0" fontId="17" fillId="0" borderId="0"/>
    <xf numFmtId="0" fontId="17" fillId="0" borderId="0"/>
    <xf numFmtId="175" fontId="17" fillId="0" borderId="0" applyBorder="0"/>
    <xf numFmtId="170" fontId="17" fillId="0" borderId="0" applyBorder="0"/>
    <xf numFmtId="202" fontId="35" fillId="0" borderId="0"/>
    <xf numFmtId="208" fontId="52" fillId="0" borderId="0"/>
    <xf numFmtId="208" fontId="53" fillId="0" borderId="0"/>
    <xf numFmtId="209" fontId="52" fillId="0" borderId="0"/>
    <xf numFmtId="210" fontId="38" fillId="0" borderId="0" applyFont="0" applyFill="0" applyBorder="0" applyAlignment="0" applyProtection="0">
      <protection locked="0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211" fontId="56" fillId="0" borderId="0"/>
    <xf numFmtId="175" fontId="53" fillId="0" borderId="0"/>
    <xf numFmtId="211" fontId="57" fillId="0" borderId="0"/>
    <xf numFmtId="0" fontId="58" fillId="11" borderId="0" applyNumberFormat="0" applyBorder="0" applyAlignment="0" applyProtection="0"/>
    <xf numFmtId="0" fontId="28" fillId="12" borderId="0" applyNumberFormat="0" applyBorder="0" applyAlignment="0" applyProtection="0"/>
    <xf numFmtId="0" fontId="58" fillId="11" borderId="0" applyNumberFormat="0" applyBorder="0" applyAlignment="0" applyProtection="0"/>
    <xf numFmtId="0" fontId="28" fillId="12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28" fillId="12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28" fillId="12" borderId="0" applyNumberFormat="0" applyBorder="0" applyAlignment="0" applyProtection="0"/>
    <xf numFmtId="0" fontId="58" fillId="11" borderId="0" applyNumberFormat="0" applyBorder="0" applyAlignment="0" applyProtection="0"/>
    <xf numFmtId="0" fontId="28" fillId="12" borderId="0" applyNumberFormat="0" applyBorder="0" applyAlignment="0" applyProtection="0"/>
    <xf numFmtId="0" fontId="5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5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5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172" fontId="59" fillId="12" borderId="0" applyNumberFormat="0" applyBorder="0" applyAlignment="0" applyProtection="0"/>
    <xf numFmtId="0" fontId="58" fillId="13" borderId="0" applyNumberFormat="0" applyBorder="0" applyAlignment="0" applyProtection="0"/>
    <xf numFmtId="0" fontId="28" fillId="14" borderId="0" applyNumberFormat="0" applyBorder="0" applyAlignment="0" applyProtection="0"/>
    <xf numFmtId="0" fontId="58" fillId="13" borderId="0" applyNumberFormat="0" applyBorder="0" applyAlignment="0" applyProtection="0"/>
    <xf numFmtId="0" fontId="28" fillId="14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28" fillId="14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28" fillId="14" borderId="0" applyNumberFormat="0" applyBorder="0" applyAlignment="0" applyProtection="0"/>
    <xf numFmtId="0" fontId="58" fillId="13" borderId="0" applyNumberFormat="0" applyBorder="0" applyAlignment="0" applyProtection="0"/>
    <xf numFmtId="0" fontId="28" fillId="14" borderId="0" applyNumberFormat="0" applyBorder="0" applyAlignment="0" applyProtection="0"/>
    <xf numFmtId="0" fontId="5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5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5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172" fontId="59" fillId="14" borderId="0" applyNumberFormat="0" applyBorder="0" applyAlignment="0" applyProtection="0"/>
    <xf numFmtId="0" fontId="58" fillId="15" borderId="0" applyNumberFormat="0" applyBorder="0" applyAlignment="0" applyProtection="0"/>
    <xf numFmtId="0" fontId="28" fillId="16" borderId="0" applyNumberFormat="0" applyBorder="0" applyAlignment="0" applyProtection="0"/>
    <xf numFmtId="0" fontId="58" fillId="15" borderId="0" applyNumberFormat="0" applyBorder="0" applyAlignment="0" applyProtection="0"/>
    <xf numFmtId="0" fontId="28" fillId="16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28" fillId="16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58" fillId="15" borderId="0" applyNumberFormat="0" applyBorder="0" applyAlignment="0" applyProtection="0"/>
    <xf numFmtId="0" fontId="28" fillId="16" borderId="0" applyNumberFormat="0" applyBorder="0" applyAlignment="0" applyProtection="0"/>
    <xf numFmtId="0" fontId="58" fillId="15" borderId="0" applyNumberFormat="0" applyBorder="0" applyAlignment="0" applyProtection="0"/>
    <xf numFmtId="0" fontId="28" fillId="16" borderId="0" applyNumberFormat="0" applyBorder="0" applyAlignment="0" applyProtection="0"/>
    <xf numFmtId="0" fontId="5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5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5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172" fontId="59" fillId="16" borderId="0" applyNumberFormat="0" applyBorder="0" applyAlignment="0" applyProtection="0"/>
    <xf numFmtId="0" fontId="58" fillId="17" borderId="0" applyNumberFormat="0" applyBorder="0" applyAlignment="0" applyProtection="0"/>
    <xf numFmtId="0" fontId="28" fillId="18" borderId="0" applyNumberFormat="0" applyBorder="0" applyAlignment="0" applyProtection="0"/>
    <xf numFmtId="0" fontId="58" fillId="17" borderId="0" applyNumberFormat="0" applyBorder="0" applyAlignment="0" applyProtection="0"/>
    <xf numFmtId="0" fontId="28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28" fillId="18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58" fillId="17" borderId="0" applyNumberFormat="0" applyBorder="0" applyAlignment="0" applyProtection="0"/>
    <xf numFmtId="0" fontId="28" fillId="18" borderId="0" applyNumberFormat="0" applyBorder="0" applyAlignment="0" applyProtection="0"/>
    <xf numFmtId="0" fontId="58" fillId="17" borderId="0" applyNumberFormat="0" applyBorder="0" applyAlignment="0" applyProtection="0"/>
    <xf numFmtId="0" fontId="28" fillId="18" borderId="0" applyNumberFormat="0" applyBorder="0" applyAlignment="0" applyProtection="0"/>
    <xf numFmtId="0" fontId="5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5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5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172" fontId="59" fillId="18" borderId="0" applyNumberFormat="0" applyBorder="0" applyAlignment="0" applyProtection="0"/>
    <xf numFmtId="0" fontId="58" fillId="19" borderId="0" applyNumberFormat="0" applyBorder="0" applyAlignment="0" applyProtection="0"/>
    <xf numFmtId="0" fontId="28" fillId="20" borderId="0" applyNumberFormat="0" applyBorder="0" applyAlignment="0" applyProtection="0"/>
    <xf numFmtId="0" fontId="58" fillId="19" borderId="0" applyNumberFormat="0" applyBorder="0" applyAlignment="0" applyProtection="0"/>
    <xf numFmtId="0" fontId="28" fillId="20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28" fillId="20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58" fillId="19" borderId="0" applyNumberFormat="0" applyBorder="0" applyAlignment="0" applyProtection="0"/>
    <xf numFmtId="0" fontId="28" fillId="20" borderId="0" applyNumberFormat="0" applyBorder="0" applyAlignment="0" applyProtection="0"/>
    <xf numFmtId="0" fontId="58" fillId="19" borderId="0" applyNumberFormat="0" applyBorder="0" applyAlignment="0" applyProtection="0"/>
    <xf numFmtId="0" fontId="28" fillId="20" borderId="0" applyNumberFormat="0" applyBorder="0" applyAlignment="0" applyProtection="0"/>
    <xf numFmtId="0" fontId="5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5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5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172" fontId="59" fillId="20" borderId="0" applyNumberFormat="0" applyBorder="0" applyAlignment="0" applyProtection="0"/>
    <xf numFmtId="0" fontId="58" fillId="14" borderId="0" applyNumberFormat="0" applyBorder="0" applyAlignment="0" applyProtection="0"/>
    <xf numFmtId="0" fontId="28" fillId="21" borderId="0" applyNumberFormat="0" applyBorder="0" applyAlignment="0" applyProtection="0"/>
    <xf numFmtId="0" fontId="58" fillId="14" borderId="0" applyNumberFormat="0" applyBorder="0" applyAlignment="0" applyProtection="0"/>
    <xf numFmtId="0" fontId="2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2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28" fillId="21" borderId="0" applyNumberFormat="0" applyBorder="0" applyAlignment="0" applyProtection="0"/>
    <xf numFmtId="0" fontId="58" fillId="14" borderId="0" applyNumberFormat="0" applyBorder="0" applyAlignment="0" applyProtection="0"/>
    <xf numFmtId="0" fontId="28" fillId="21" borderId="0" applyNumberFormat="0" applyBorder="0" applyAlignment="0" applyProtection="0"/>
    <xf numFmtId="0" fontId="5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5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5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172" fontId="59" fillId="21" borderId="0" applyNumberFormat="0" applyBorder="0" applyAlignment="0" applyProtection="0"/>
    <xf numFmtId="212" fontId="52" fillId="0" borderId="0"/>
    <xf numFmtId="213" fontId="53" fillId="0" borderId="0"/>
    <xf numFmtId="212" fontId="60" fillId="0" borderId="0"/>
    <xf numFmtId="0" fontId="17" fillId="0" borderId="0"/>
    <xf numFmtId="0" fontId="17" fillId="0" borderId="0"/>
    <xf numFmtId="214" fontId="52" fillId="0" borderId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172" fontId="59" fillId="19" borderId="0" applyNumberFormat="0" applyBorder="0" applyAlignment="0" applyProtection="0"/>
    <xf numFmtId="0" fontId="58" fillId="13" borderId="0" applyNumberFormat="0" applyBorder="0" applyAlignment="0" applyProtection="0"/>
    <xf numFmtId="0" fontId="28" fillId="13" borderId="0" applyNumberFormat="0" applyBorder="0" applyAlignment="0" applyProtection="0"/>
    <xf numFmtId="0" fontId="58" fillId="13" borderId="0" applyNumberFormat="0" applyBorder="0" applyAlignment="0" applyProtection="0"/>
    <xf numFmtId="0" fontId="2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2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58" fillId="13" borderId="0" applyNumberFormat="0" applyBorder="0" applyAlignment="0" applyProtection="0"/>
    <xf numFmtId="0" fontId="28" fillId="13" borderId="0" applyNumberFormat="0" applyBorder="0" applyAlignment="0" applyProtection="0"/>
    <xf numFmtId="0" fontId="58" fillId="13" borderId="0" applyNumberFormat="0" applyBorder="0" applyAlignment="0" applyProtection="0"/>
    <xf numFmtId="0" fontId="28" fillId="13" borderId="0" applyNumberFormat="0" applyBorder="0" applyAlignment="0" applyProtection="0"/>
    <xf numFmtId="0" fontId="5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5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5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172" fontId="59" fillId="13" borderId="0" applyNumberFormat="0" applyBorder="0" applyAlignment="0" applyProtection="0"/>
    <xf numFmtId="0" fontId="58" fillId="23" borderId="0" applyNumberFormat="0" applyBorder="0" applyAlignment="0" applyProtection="0"/>
    <xf numFmtId="0" fontId="28" fillId="24" borderId="0" applyNumberFormat="0" applyBorder="0" applyAlignment="0" applyProtection="0"/>
    <xf numFmtId="0" fontId="58" fillId="23" borderId="0" applyNumberFormat="0" applyBorder="0" applyAlignment="0" applyProtection="0"/>
    <xf numFmtId="0" fontId="28" fillId="24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28" fillId="24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58" fillId="23" borderId="0" applyNumberFormat="0" applyBorder="0" applyAlignment="0" applyProtection="0"/>
    <xf numFmtId="0" fontId="28" fillId="24" borderId="0" applyNumberFormat="0" applyBorder="0" applyAlignment="0" applyProtection="0"/>
    <xf numFmtId="0" fontId="58" fillId="23" borderId="0" applyNumberFormat="0" applyBorder="0" applyAlignment="0" applyProtection="0"/>
    <xf numFmtId="0" fontId="28" fillId="24" borderId="0" applyNumberFormat="0" applyBorder="0" applyAlignment="0" applyProtection="0"/>
    <xf numFmtId="0" fontId="5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5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5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172" fontId="59" fillId="24" borderId="0" applyNumberFormat="0" applyBorder="0" applyAlignment="0" applyProtection="0"/>
    <xf numFmtId="0" fontId="58" fillId="25" borderId="0" applyNumberFormat="0" applyBorder="0" applyAlignment="0" applyProtection="0"/>
    <xf numFmtId="0" fontId="28" fillId="18" borderId="0" applyNumberFormat="0" applyBorder="0" applyAlignment="0" applyProtection="0"/>
    <xf numFmtId="0" fontId="58" fillId="25" borderId="0" applyNumberFormat="0" applyBorder="0" applyAlignment="0" applyProtection="0"/>
    <xf numFmtId="0" fontId="28" fillId="18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28" fillId="18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58" fillId="25" borderId="0" applyNumberFormat="0" applyBorder="0" applyAlignment="0" applyProtection="0"/>
    <xf numFmtId="0" fontId="28" fillId="18" borderId="0" applyNumberFormat="0" applyBorder="0" applyAlignment="0" applyProtection="0"/>
    <xf numFmtId="0" fontId="58" fillId="25" borderId="0" applyNumberFormat="0" applyBorder="0" applyAlignment="0" applyProtection="0"/>
    <xf numFmtId="0" fontId="28" fillId="18" borderId="0" applyNumberFormat="0" applyBorder="0" applyAlignment="0" applyProtection="0"/>
    <xf numFmtId="0" fontId="5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5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58" fillId="25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172" fontId="59" fillId="18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58" fillId="22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172" fontId="59" fillId="19" borderId="0" applyNumberFormat="0" applyBorder="0" applyAlignment="0" applyProtection="0"/>
    <xf numFmtId="0" fontId="58" fillId="21" borderId="0" applyNumberFormat="0" applyBorder="0" applyAlignment="0" applyProtection="0"/>
    <xf numFmtId="0" fontId="28" fillId="26" borderId="0" applyNumberFormat="0" applyBorder="0" applyAlignment="0" applyProtection="0"/>
    <xf numFmtId="0" fontId="58" fillId="21" borderId="0" applyNumberFormat="0" applyBorder="0" applyAlignment="0" applyProtection="0"/>
    <xf numFmtId="0" fontId="28" fillId="26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28" fillId="26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28" fillId="26" borderId="0" applyNumberFormat="0" applyBorder="0" applyAlignment="0" applyProtection="0"/>
    <xf numFmtId="0" fontId="58" fillId="21" borderId="0" applyNumberFormat="0" applyBorder="0" applyAlignment="0" applyProtection="0"/>
    <xf numFmtId="0" fontId="28" fillId="26" borderId="0" applyNumberFormat="0" applyBorder="0" applyAlignment="0" applyProtection="0"/>
    <xf numFmtId="0" fontId="58" fillId="21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8" fillId="21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58" fillId="21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0" fontId="28" fillId="26" borderId="0" applyNumberFormat="0" applyBorder="0" applyAlignment="0" applyProtection="0"/>
    <xf numFmtId="172" fontId="59" fillId="26" borderId="0" applyNumberFormat="0" applyBorder="0" applyAlignment="0" applyProtection="0"/>
    <xf numFmtId="0" fontId="61" fillId="22" borderId="0" applyNumberFormat="0" applyBorder="0" applyAlignment="0" applyProtection="0"/>
    <xf numFmtId="0" fontId="62" fillId="27" borderId="0" applyNumberFormat="0" applyBorder="0" applyAlignment="0" applyProtection="0"/>
    <xf numFmtId="0" fontId="61" fillId="22" borderId="0" applyNumberFormat="0" applyBorder="0" applyAlignment="0" applyProtection="0"/>
    <xf numFmtId="0" fontId="62" fillId="27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2" fillId="27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2" fillId="27" borderId="0" applyNumberFormat="0" applyBorder="0" applyAlignment="0" applyProtection="0"/>
    <xf numFmtId="0" fontId="61" fillId="22" borderId="0" applyNumberFormat="0" applyBorder="0" applyAlignment="0" applyProtection="0"/>
    <xf numFmtId="0" fontId="62" fillId="27" borderId="0" applyNumberFormat="0" applyBorder="0" applyAlignment="0" applyProtection="0"/>
    <xf numFmtId="0" fontId="61" fillId="22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1" fillId="22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1" fillId="22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0" fontId="62" fillId="27" borderId="0" applyNumberFormat="0" applyBorder="0" applyAlignment="0" applyProtection="0"/>
    <xf numFmtId="172" fontId="63" fillId="27" borderId="0" applyNumberFormat="0" applyBorder="0" applyAlignment="0" applyProtection="0"/>
    <xf numFmtId="0" fontId="61" fillId="13" borderId="0" applyNumberFormat="0" applyBorder="0" applyAlignment="0" applyProtection="0"/>
    <xf numFmtId="0" fontId="62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13" borderId="0" applyNumberFormat="0" applyBorder="0" applyAlignment="0" applyProtection="0"/>
    <xf numFmtId="0" fontId="62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13" borderId="0" applyNumberFormat="0" applyBorder="0" applyAlignment="0" applyProtection="0"/>
    <xf numFmtId="0" fontId="62" fillId="13" borderId="0" applyNumberFormat="0" applyBorder="0" applyAlignment="0" applyProtection="0"/>
    <xf numFmtId="0" fontId="61" fillId="13" borderId="0" applyNumberFormat="0" applyBorder="0" applyAlignment="0" applyProtection="0"/>
    <xf numFmtId="0" fontId="62" fillId="13" borderId="0" applyNumberFormat="0" applyBorder="0" applyAlignment="0" applyProtection="0"/>
    <xf numFmtId="0" fontId="62" fillId="13" borderId="0" applyNumberFormat="0" applyBorder="0" applyAlignment="0" applyProtection="0"/>
    <xf numFmtId="0" fontId="62" fillId="13" borderId="0" applyNumberFormat="0" applyBorder="0" applyAlignment="0" applyProtection="0"/>
    <xf numFmtId="0" fontId="62" fillId="13" borderId="0" applyNumberFormat="0" applyBorder="0" applyAlignment="0" applyProtection="0"/>
    <xf numFmtId="0" fontId="62" fillId="13" borderId="0" applyNumberFormat="0" applyBorder="0" applyAlignment="0" applyProtection="0"/>
    <xf numFmtId="0" fontId="62" fillId="13" borderId="0" applyNumberFormat="0" applyBorder="0" applyAlignment="0" applyProtection="0"/>
    <xf numFmtId="172" fontId="63" fillId="13" borderId="0" applyNumberFormat="0" applyBorder="0" applyAlignment="0" applyProtection="0"/>
    <xf numFmtId="0" fontId="61" fillId="23" borderId="0" applyNumberFormat="0" applyBorder="0" applyAlignment="0" applyProtection="0"/>
    <xf numFmtId="0" fontId="62" fillId="24" borderId="0" applyNumberFormat="0" applyBorder="0" applyAlignment="0" applyProtection="0"/>
    <xf numFmtId="0" fontId="61" fillId="23" borderId="0" applyNumberFormat="0" applyBorder="0" applyAlignment="0" applyProtection="0"/>
    <xf numFmtId="0" fontId="62" fillId="24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2" fillId="24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1" fillId="23" borderId="0" applyNumberFormat="0" applyBorder="0" applyAlignment="0" applyProtection="0"/>
    <xf numFmtId="0" fontId="62" fillId="24" borderId="0" applyNumberFormat="0" applyBorder="0" applyAlignment="0" applyProtection="0"/>
    <xf numFmtId="0" fontId="61" fillId="23" borderId="0" applyNumberFormat="0" applyBorder="0" applyAlignment="0" applyProtection="0"/>
    <xf numFmtId="0" fontId="62" fillId="24" borderId="0" applyNumberFormat="0" applyBorder="0" applyAlignment="0" applyProtection="0"/>
    <xf numFmtId="0" fontId="61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1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1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0" fontId="62" fillId="24" borderId="0" applyNumberFormat="0" applyBorder="0" applyAlignment="0" applyProtection="0"/>
    <xf numFmtId="172" fontId="63" fillId="24" borderId="0" applyNumberFormat="0" applyBorder="0" applyAlignment="0" applyProtection="0"/>
    <xf numFmtId="0" fontId="61" fillId="25" borderId="0" applyNumberFormat="0" applyBorder="0" applyAlignment="0" applyProtection="0"/>
    <xf numFmtId="0" fontId="62" fillId="28" borderId="0" applyNumberFormat="0" applyBorder="0" applyAlignment="0" applyProtection="0"/>
    <xf numFmtId="0" fontId="61" fillId="25" borderId="0" applyNumberFormat="0" applyBorder="0" applyAlignment="0" applyProtection="0"/>
    <xf numFmtId="0" fontId="62" fillId="28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2" fillId="28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1" fillId="25" borderId="0" applyNumberFormat="0" applyBorder="0" applyAlignment="0" applyProtection="0"/>
    <xf numFmtId="0" fontId="62" fillId="28" borderId="0" applyNumberFormat="0" applyBorder="0" applyAlignment="0" applyProtection="0"/>
    <xf numFmtId="0" fontId="61" fillId="25" borderId="0" applyNumberFormat="0" applyBorder="0" applyAlignment="0" applyProtection="0"/>
    <xf numFmtId="0" fontId="62" fillId="28" borderId="0" applyNumberFormat="0" applyBorder="0" applyAlignment="0" applyProtection="0"/>
    <xf numFmtId="0" fontId="61" fillId="25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1" fillId="25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1" fillId="25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172" fontId="63" fillId="28" borderId="0" applyNumberFormat="0" applyBorder="0" applyAlignment="0" applyProtection="0"/>
    <xf numFmtId="0" fontId="61" fillId="22" borderId="0" applyNumberFormat="0" applyBorder="0" applyAlignment="0" applyProtection="0"/>
    <xf numFmtId="0" fontId="62" fillId="29" borderId="0" applyNumberFormat="0" applyBorder="0" applyAlignment="0" applyProtection="0"/>
    <xf numFmtId="0" fontId="61" fillId="22" borderId="0" applyNumberFormat="0" applyBorder="0" applyAlignment="0" applyProtection="0"/>
    <xf numFmtId="0" fontId="62" fillId="29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2" fillId="29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1" fillId="22" borderId="0" applyNumberFormat="0" applyBorder="0" applyAlignment="0" applyProtection="0"/>
    <xf numFmtId="0" fontId="62" fillId="29" borderId="0" applyNumberFormat="0" applyBorder="0" applyAlignment="0" applyProtection="0"/>
    <xf numFmtId="0" fontId="61" fillId="22" borderId="0" applyNumberFormat="0" applyBorder="0" applyAlignment="0" applyProtection="0"/>
    <xf numFmtId="0" fontId="62" fillId="29" borderId="0" applyNumberFormat="0" applyBorder="0" applyAlignment="0" applyProtection="0"/>
    <xf numFmtId="0" fontId="61" fillId="22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1" fillId="22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1" fillId="22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172" fontId="63" fillId="29" borderId="0" applyNumberFormat="0" applyBorder="0" applyAlignment="0" applyProtection="0"/>
    <xf numFmtId="0" fontId="61" fillId="21" borderId="0" applyNumberFormat="0" applyBorder="0" applyAlignment="0" applyProtection="0"/>
    <xf numFmtId="0" fontId="62" fillId="30" borderId="0" applyNumberFormat="0" applyBorder="0" applyAlignment="0" applyProtection="0"/>
    <xf numFmtId="0" fontId="61" fillId="21" borderId="0" applyNumberFormat="0" applyBorder="0" applyAlignment="0" applyProtection="0"/>
    <xf numFmtId="0" fontId="62" fillId="30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2" fillId="30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1" fillId="21" borderId="0" applyNumberFormat="0" applyBorder="0" applyAlignment="0" applyProtection="0"/>
    <xf numFmtId="0" fontId="62" fillId="30" borderId="0" applyNumberFormat="0" applyBorder="0" applyAlignment="0" applyProtection="0"/>
    <xf numFmtId="0" fontId="61" fillId="21" borderId="0" applyNumberFormat="0" applyBorder="0" applyAlignment="0" applyProtection="0"/>
    <xf numFmtId="0" fontId="62" fillId="30" borderId="0" applyNumberFormat="0" applyBorder="0" applyAlignment="0" applyProtection="0"/>
    <xf numFmtId="0" fontId="61" fillId="21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1" fillId="21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1" fillId="21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0" fontId="62" fillId="30" borderId="0" applyNumberFormat="0" applyBorder="0" applyAlignment="0" applyProtection="0"/>
    <xf numFmtId="172" fontId="63" fillId="30" borderId="0" applyNumberFormat="0" applyBorder="0" applyAlignment="0" applyProtection="0"/>
    <xf numFmtId="0" fontId="31" fillId="0" borderId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62" fillId="35" borderId="0" applyNumberFormat="0" applyBorder="0" applyAlignment="0" applyProtection="0"/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6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0" fontId="62" fillId="37" borderId="0" applyNumberFormat="0" applyBorder="0" applyAlignment="0" applyProtection="0"/>
    <xf numFmtId="172" fontId="63" fillId="37" borderId="0" applyNumberFormat="0" applyBorder="0" applyAlignment="0" applyProtection="0"/>
    <xf numFmtId="0" fontId="28" fillId="31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62" fillId="39" borderId="0" applyNumberFormat="0" applyBorder="0" applyAlignment="0" applyProtection="0"/>
    <xf numFmtId="0" fontId="62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0" borderId="0" applyNumberFormat="0" applyBorder="0" applyAlignment="0" applyProtection="0"/>
    <xf numFmtId="0" fontId="62" fillId="40" borderId="0" applyNumberFormat="0" applyBorder="0" applyAlignment="0" applyProtection="0"/>
    <xf numFmtId="0" fontId="62" fillId="40" borderId="0" applyNumberFormat="0" applyBorder="0" applyAlignment="0" applyProtection="0"/>
    <xf numFmtId="0" fontId="62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0" borderId="0" applyNumberFormat="0" applyBorder="0" applyAlignment="0" applyProtection="0"/>
    <xf numFmtId="0" fontId="62" fillId="40" borderId="0" applyNumberFormat="0" applyBorder="0" applyAlignment="0" applyProtection="0"/>
    <xf numFmtId="0" fontId="62" fillId="40" borderId="0" applyNumberFormat="0" applyBorder="0" applyAlignment="0" applyProtection="0"/>
    <xf numFmtId="0" fontId="62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0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0" fontId="62" fillId="41" borderId="0" applyNumberFormat="0" applyBorder="0" applyAlignment="0" applyProtection="0"/>
    <xf numFmtId="172" fontId="63" fillId="41" borderId="0" applyNumberFormat="0" applyBorder="0" applyAlignment="0" applyProtection="0"/>
    <xf numFmtId="0" fontId="28" fillId="31" borderId="0" applyNumberFormat="0" applyBorder="0" applyAlignment="0" applyProtection="0"/>
    <xf numFmtId="0" fontId="28" fillId="42" borderId="0" applyNumberFormat="0" applyBorder="0" applyAlignment="0" applyProtection="0"/>
    <xf numFmtId="0" fontId="28" fillId="31" borderId="0" applyNumberFormat="0" applyBorder="0" applyAlignment="0" applyProtection="0"/>
    <xf numFmtId="0" fontId="28" fillId="43" borderId="0" applyNumberFormat="0" applyBorder="0" applyAlignment="0" applyProtection="0"/>
    <xf numFmtId="0" fontId="62" fillId="34" borderId="0" applyNumberFormat="0" applyBorder="0" applyAlignment="0" applyProtection="0"/>
    <xf numFmtId="0" fontId="62" fillId="39" borderId="0" applyNumberFormat="0" applyBorder="0" applyAlignment="0" applyProtection="0"/>
    <xf numFmtId="0" fontId="62" fillId="23" borderId="0" applyNumberFormat="0" applyBorder="0" applyAlignment="0" applyProtection="0"/>
    <xf numFmtId="0" fontId="62" fillId="39" borderId="0" applyNumberFormat="0" applyBorder="0" applyAlignment="0" applyProtection="0"/>
    <xf numFmtId="0" fontId="62" fillId="23" borderId="0" applyNumberFormat="0" applyBorder="0" applyAlignment="0" applyProtection="0"/>
    <xf numFmtId="0" fontId="62" fillId="39" borderId="0" applyNumberFormat="0" applyBorder="0" applyAlignment="0" applyProtection="0"/>
    <xf numFmtId="0" fontId="62" fillId="39" borderId="0" applyNumberFormat="0" applyBorder="0" applyAlignment="0" applyProtection="0"/>
    <xf numFmtId="0" fontId="62" fillId="39" borderId="0" applyNumberFormat="0" applyBorder="0" applyAlignment="0" applyProtection="0"/>
    <xf numFmtId="0" fontId="62" fillId="39" borderId="0" applyNumberFormat="0" applyBorder="0" applyAlignment="0" applyProtection="0"/>
    <xf numFmtId="0" fontId="62" fillId="23" borderId="0" applyNumberFormat="0" applyBorder="0" applyAlignment="0" applyProtection="0"/>
    <xf numFmtId="0" fontId="62" fillId="39" borderId="0" applyNumberFormat="0" applyBorder="0" applyAlignment="0" applyProtection="0"/>
    <xf numFmtId="0" fontId="62" fillId="39" borderId="0" applyNumberFormat="0" applyBorder="0" applyAlignment="0" applyProtection="0"/>
    <xf numFmtId="0" fontId="62" fillId="39" borderId="0" applyNumberFormat="0" applyBorder="0" applyAlignment="0" applyProtection="0"/>
    <xf numFmtId="0" fontId="62" fillId="39" borderId="0" applyNumberFormat="0" applyBorder="0" applyAlignment="0" applyProtection="0"/>
    <xf numFmtId="0" fontId="62" fillId="23" borderId="0" applyNumberFormat="0" applyBorder="0" applyAlignment="0" applyProtection="0"/>
    <xf numFmtId="0" fontId="62" fillId="39" borderId="0" applyNumberFormat="0" applyBorder="0" applyAlignment="0" applyProtection="0"/>
    <xf numFmtId="0" fontId="62" fillId="23" borderId="0" applyNumberFormat="0" applyBorder="0" applyAlignment="0" applyProtection="0"/>
    <xf numFmtId="0" fontId="62" fillId="39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39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39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0" fontId="62" fillId="23" borderId="0" applyNumberFormat="0" applyBorder="0" applyAlignment="0" applyProtection="0"/>
    <xf numFmtId="172" fontId="63" fillId="23" borderId="0" applyNumberFormat="0" applyBorder="0" applyAlignment="0" applyProtection="0"/>
    <xf numFmtId="0" fontId="28" fillId="31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9" borderId="0" applyNumberFormat="0" applyBorder="0" applyAlignment="0" applyProtection="0"/>
    <xf numFmtId="0" fontId="62" fillId="34" borderId="0" applyNumberFormat="0" applyBorder="0" applyAlignment="0" applyProtection="0"/>
    <xf numFmtId="0" fontId="62" fillId="44" borderId="0" applyNumberFormat="0" applyBorder="0" applyAlignment="0" applyProtection="0"/>
    <xf numFmtId="0" fontId="62" fillId="28" borderId="0" applyNumberFormat="0" applyBorder="0" applyAlignment="0" applyProtection="0"/>
    <xf numFmtId="0" fontId="62" fillId="44" borderId="0" applyNumberFormat="0" applyBorder="0" applyAlignment="0" applyProtection="0"/>
    <xf numFmtId="0" fontId="62" fillId="28" borderId="0" applyNumberFormat="0" applyBorder="0" applyAlignment="0" applyProtection="0"/>
    <xf numFmtId="0" fontId="62" fillId="44" borderId="0" applyNumberFormat="0" applyBorder="0" applyAlignment="0" applyProtection="0"/>
    <xf numFmtId="0" fontId="62" fillId="44" borderId="0" applyNumberFormat="0" applyBorder="0" applyAlignment="0" applyProtection="0"/>
    <xf numFmtId="0" fontId="62" fillId="44" borderId="0" applyNumberFormat="0" applyBorder="0" applyAlignment="0" applyProtection="0"/>
    <xf numFmtId="0" fontId="62" fillId="44" borderId="0" applyNumberFormat="0" applyBorder="0" applyAlignment="0" applyProtection="0"/>
    <xf numFmtId="0" fontId="62" fillId="28" borderId="0" applyNumberFormat="0" applyBorder="0" applyAlignment="0" applyProtection="0"/>
    <xf numFmtId="0" fontId="62" fillId="44" borderId="0" applyNumberFormat="0" applyBorder="0" applyAlignment="0" applyProtection="0"/>
    <xf numFmtId="0" fontId="62" fillId="44" borderId="0" applyNumberFormat="0" applyBorder="0" applyAlignment="0" applyProtection="0"/>
    <xf numFmtId="0" fontId="62" fillId="44" borderId="0" applyNumberFormat="0" applyBorder="0" applyAlignment="0" applyProtection="0"/>
    <xf numFmtId="0" fontId="62" fillId="44" borderId="0" applyNumberFormat="0" applyBorder="0" applyAlignment="0" applyProtection="0"/>
    <xf numFmtId="0" fontId="62" fillId="28" borderId="0" applyNumberFormat="0" applyBorder="0" applyAlignment="0" applyProtection="0"/>
    <xf numFmtId="0" fontId="62" fillId="44" borderId="0" applyNumberFormat="0" applyBorder="0" applyAlignment="0" applyProtection="0"/>
    <xf numFmtId="0" fontId="62" fillId="28" borderId="0" applyNumberFormat="0" applyBorder="0" applyAlignment="0" applyProtection="0"/>
    <xf numFmtId="0" fontId="62" fillId="44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44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44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0" fontId="62" fillId="28" borderId="0" applyNumberFormat="0" applyBorder="0" applyAlignment="0" applyProtection="0"/>
    <xf numFmtId="172" fontId="63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45" borderId="0" applyNumberFormat="0" applyBorder="0" applyAlignment="0" applyProtection="0"/>
    <xf numFmtId="0" fontId="28" fillId="31" borderId="0" applyNumberFormat="0" applyBorder="0" applyAlignment="0" applyProtection="0"/>
    <xf numFmtId="0" fontId="28" fillId="46" borderId="0" applyNumberFormat="0" applyBorder="0" applyAlignment="0" applyProtection="0"/>
    <xf numFmtId="0" fontId="62" fillId="35" borderId="0" applyNumberFormat="0" applyBorder="0" applyAlignment="0" applyProtection="0"/>
    <xf numFmtId="0" fontId="62" fillId="47" borderId="0" applyNumberFormat="0" applyBorder="0" applyAlignment="0" applyProtection="0"/>
    <xf numFmtId="0" fontId="62" fillId="29" borderId="0" applyNumberFormat="0" applyBorder="0" applyAlignment="0" applyProtection="0"/>
    <xf numFmtId="0" fontId="62" fillId="47" borderId="0" applyNumberFormat="0" applyBorder="0" applyAlignment="0" applyProtection="0"/>
    <xf numFmtId="0" fontId="62" fillId="29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29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47" borderId="0" applyNumberFormat="0" applyBorder="0" applyAlignment="0" applyProtection="0"/>
    <xf numFmtId="0" fontId="62" fillId="29" borderId="0" applyNumberFormat="0" applyBorder="0" applyAlignment="0" applyProtection="0"/>
    <xf numFmtId="0" fontId="62" fillId="47" borderId="0" applyNumberFormat="0" applyBorder="0" applyAlignment="0" applyProtection="0"/>
    <xf numFmtId="0" fontId="62" fillId="29" borderId="0" applyNumberFormat="0" applyBorder="0" applyAlignment="0" applyProtection="0"/>
    <xf numFmtId="0" fontId="62" fillId="47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2" fillId="47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2" fillId="47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0" fontId="62" fillId="29" borderId="0" applyNumberFormat="0" applyBorder="0" applyAlignment="0" applyProtection="0"/>
    <xf numFmtId="172" fontId="63" fillId="29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0" fontId="28" fillId="31" borderId="0" applyNumberFormat="0" applyBorder="0" applyAlignment="0" applyProtection="0"/>
    <xf numFmtId="0" fontId="62" fillId="49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0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0" fontId="62" fillId="51" borderId="0" applyNumberFormat="0" applyBorder="0" applyAlignment="0" applyProtection="0"/>
    <xf numFmtId="172" fontId="63" fillId="51" borderId="0" applyNumberFormat="0" applyBorder="0" applyAlignment="0" applyProtection="0"/>
    <xf numFmtId="215" fontId="17" fillId="52" borderId="13" applyFont="0" applyFill="0" applyBorder="0" applyAlignment="0" applyProtection="0"/>
    <xf numFmtId="216" fontId="64" fillId="0" borderId="14">
      <alignment horizontal="centerContinuous"/>
    </xf>
    <xf numFmtId="217" fontId="65" fillId="53" borderId="15">
      <alignment horizontal="center" vertical="center"/>
    </xf>
    <xf numFmtId="170" fontId="38" fillId="0" borderId="0" applyFont="0" applyFill="0" applyBorder="0" applyAlignment="0" applyProtection="0"/>
    <xf numFmtId="175" fontId="38" fillId="0" borderId="0" applyFont="0" applyFill="0" applyBorder="0" applyAlignment="0" applyProtection="0"/>
    <xf numFmtId="0" fontId="46" fillId="0" borderId="0"/>
    <xf numFmtId="202" fontId="66" fillId="0" borderId="0" applyNumberFormat="0" applyFont="0" applyFill="0" applyBorder="0" applyProtection="0">
      <alignment horizontal="center"/>
    </xf>
    <xf numFmtId="218" fontId="67" fillId="0" borderId="0">
      <alignment horizontal="left"/>
    </xf>
    <xf numFmtId="0" fontId="56" fillId="0" borderId="0"/>
    <xf numFmtId="0" fontId="68" fillId="0" borderId="16">
      <alignment horizontal="center" vertical="center"/>
    </xf>
    <xf numFmtId="219" fontId="38" fillId="54" borderId="2" applyNumberFormat="0" applyFont="0" applyAlignment="0" applyProtection="0">
      <alignment vertical="center"/>
    </xf>
    <xf numFmtId="220" fontId="69" fillId="0" borderId="0" applyFont="0" applyFill="0" applyBorder="0" applyAlignment="0" applyProtection="0"/>
    <xf numFmtId="175" fontId="38" fillId="0" borderId="0" applyFont="0" applyFill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1" fillId="14" borderId="0" applyNumberFormat="0" applyBorder="0" applyAlignment="0" applyProtection="0"/>
    <xf numFmtId="0" fontId="70" fillId="55" borderId="0" applyNumberFormat="0" applyBorder="0" applyAlignment="0" applyProtection="0"/>
    <xf numFmtId="0" fontId="71" fillId="14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1" fillId="14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1" fillId="14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1" fillId="14" borderId="0" applyNumberFormat="0" applyBorder="0" applyAlignment="0" applyProtection="0"/>
    <xf numFmtId="0" fontId="70" fillId="55" borderId="0" applyNumberFormat="0" applyBorder="0" applyAlignment="0" applyProtection="0"/>
    <xf numFmtId="0" fontId="71" fillId="14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1" fillId="14" borderId="0" applyNumberFormat="0" applyBorder="0" applyAlignment="0" applyProtection="0"/>
    <xf numFmtId="0" fontId="70" fillId="55" borderId="0" applyNumberFormat="0" applyBorder="0" applyAlignment="0" applyProtection="0"/>
    <xf numFmtId="0" fontId="71" fillId="14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1" fillId="14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0" fillId="55" borderId="0" applyNumberFormat="0" applyBorder="0" applyAlignment="0" applyProtection="0"/>
    <xf numFmtId="0" fontId="72" fillId="2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172" fontId="72" fillId="2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172" fontId="74" fillId="14" borderId="0" applyNumberFormat="0" applyBorder="0" applyAlignment="0" applyProtection="0"/>
    <xf numFmtId="221" fontId="75" fillId="56" borderId="12" applyNumberFormat="0" applyBorder="0" applyAlignment="0">
      <alignment horizontal="centerContinuous" vertical="center"/>
      <protection hidden="1"/>
    </xf>
    <xf numFmtId="1" fontId="76" fillId="57" borderId="13" applyNumberFormat="0" applyBorder="0" applyAlignment="0">
      <alignment horizontal="center" vertical="top" wrapText="1"/>
      <protection hidden="1"/>
    </xf>
    <xf numFmtId="222" fontId="17" fillId="0" borderId="0" applyFont="0" applyFill="0" applyBorder="0" applyAlignment="0" applyProtection="0"/>
    <xf numFmtId="190" fontId="17" fillId="0" borderId="0" applyNumberFormat="0" applyFont="0" applyAlignment="0" applyProtection="0"/>
    <xf numFmtId="219" fontId="38" fillId="58" borderId="17" applyNumberFormat="0" applyFont="0" applyAlignment="0" applyProtection="0">
      <alignment vertical="center"/>
    </xf>
    <xf numFmtId="175" fontId="77" fillId="59" borderId="0">
      <alignment horizontal="left"/>
    </xf>
    <xf numFmtId="223" fontId="78" fillId="0" borderId="0" applyFill="0" applyBorder="0" applyAlignment="0" applyProtection="0"/>
    <xf numFmtId="2" fontId="79" fillId="60" borderId="18" applyProtection="0">
      <alignment horizontal="left"/>
      <protection locked="0"/>
    </xf>
    <xf numFmtId="175" fontId="65" fillId="53" borderId="0" applyNumberFormat="0" applyFont="0" applyAlignment="0">
      <alignment horizontal="center"/>
    </xf>
    <xf numFmtId="224" fontId="54" fillId="53" borderId="0" applyFont="0" applyFill="0" applyBorder="0" applyAlignment="0" applyProtection="0"/>
    <xf numFmtId="175" fontId="80" fillId="0" borderId="0" applyNumberFormat="0" applyFill="0" applyBorder="0" applyAlignment="0" applyProtection="0"/>
    <xf numFmtId="175" fontId="81" fillId="0" borderId="14" applyNumberFormat="0" applyFill="0" applyAlignment="0" applyProtection="0"/>
    <xf numFmtId="175" fontId="52" fillId="0" borderId="0"/>
    <xf numFmtId="225" fontId="82" fillId="7" borderId="0" applyFont="0" applyFill="0" applyBorder="0" applyAlignment="0" applyProtection="0"/>
    <xf numFmtId="226" fontId="17" fillId="0" borderId="0" applyFont="0" applyFill="0" applyBorder="0" applyAlignment="0" applyProtection="0"/>
    <xf numFmtId="227" fontId="31" fillId="0" borderId="0" applyAlignment="0" applyProtection="0"/>
    <xf numFmtId="49" fontId="35" fillId="0" borderId="0" applyNumberFormat="0" applyAlignment="0" applyProtection="0">
      <alignment horizontal="left"/>
    </xf>
    <xf numFmtId="49" fontId="83" fillId="0" borderId="19" applyNumberFormat="0" applyAlignment="0" applyProtection="0">
      <alignment horizontal="left" wrapText="1"/>
    </xf>
    <xf numFmtId="49" fontId="84" fillId="0" borderId="0" applyAlignment="0" applyProtection="0">
      <alignment horizontal="left"/>
    </xf>
    <xf numFmtId="228" fontId="41" fillId="0" borderId="0" applyFont="0" applyFill="0" applyBorder="0" applyAlignment="0" applyProtection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5" fillId="0" borderId="0"/>
    <xf numFmtId="175" fontId="86" fillId="0" borderId="0"/>
    <xf numFmtId="229" fontId="31" fillId="0" borderId="0"/>
    <xf numFmtId="230" fontId="31" fillId="0" borderId="0"/>
    <xf numFmtId="231" fontId="31" fillId="0" borderId="0"/>
    <xf numFmtId="229" fontId="31" fillId="0" borderId="20"/>
    <xf numFmtId="230" fontId="31" fillId="0" borderId="20"/>
    <xf numFmtId="230" fontId="31" fillId="0" borderId="20"/>
    <xf numFmtId="231" fontId="31" fillId="0" borderId="20"/>
    <xf numFmtId="231" fontId="31" fillId="0" borderId="20"/>
    <xf numFmtId="229" fontId="31" fillId="0" borderId="20"/>
    <xf numFmtId="232" fontId="31" fillId="0" borderId="0"/>
    <xf numFmtId="175" fontId="38" fillId="0" borderId="0" applyFill="0" applyBorder="0" applyAlignment="0"/>
    <xf numFmtId="233" fontId="31" fillId="0" borderId="0"/>
    <xf numFmtId="234" fontId="31" fillId="0" borderId="0"/>
    <xf numFmtId="232" fontId="31" fillId="0" borderId="20"/>
    <xf numFmtId="233" fontId="31" fillId="0" borderId="20"/>
    <xf numFmtId="233" fontId="31" fillId="0" borderId="20"/>
    <xf numFmtId="234" fontId="31" fillId="0" borderId="20"/>
    <xf numFmtId="234" fontId="31" fillId="0" borderId="20"/>
    <xf numFmtId="232" fontId="31" fillId="0" borderId="20"/>
    <xf numFmtId="235" fontId="31" fillId="0" borderId="0">
      <alignment horizontal="right"/>
      <protection locked="0"/>
    </xf>
    <xf numFmtId="236" fontId="31" fillId="0" borderId="0">
      <alignment horizontal="right"/>
      <protection locked="0"/>
    </xf>
    <xf numFmtId="237" fontId="31" fillId="0" borderId="0"/>
    <xf numFmtId="238" fontId="31" fillId="0" borderId="0"/>
    <xf numFmtId="239" fontId="31" fillId="0" borderId="0"/>
    <xf numFmtId="237" fontId="31" fillId="0" borderId="20"/>
    <xf numFmtId="238" fontId="31" fillId="0" borderId="20"/>
    <xf numFmtId="238" fontId="31" fillId="0" borderId="20"/>
    <xf numFmtId="239" fontId="31" fillId="0" borderId="20"/>
    <xf numFmtId="239" fontId="31" fillId="0" borderId="20"/>
    <xf numFmtId="237" fontId="31" fillId="0" borderId="20"/>
    <xf numFmtId="0" fontId="17" fillId="0" borderId="0"/>
    <xf numFmtId="0" fontId="17" fillId="0" borderId="0" applyBorder="0"/>
    <xf numFmtId="2" fontId="17" fillId="0" borderId="0"/>
    <xf numFmtId="173" fontId="17" fillId="0" borderId="0"/>
    <xf numFmtId="240" fontId="17" fillId="10" borderId="0"/>
    <xf numFmtId="175" fontId="17" fillId="0" borderId="0">
      <alignment vertical="center"/>
    </xf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7" fillId="61" borderId="21" applyNumberFormat="0" applyAlignment="0" applyProtection="0"/>
    <xf numFmtId="0" fontId="88" fillId="25" borderId="21" applyNumberFormat="0" applyAlignment="0" applyProtection="0"/>
    <xf numFmtId="241" fontId="38" fillId="0" borderId="17" applyAlignment="0">
      <alignment vertical="center"/>
    </xf>
    <xf numFmtId="242" fontId="17" fillId="0" borderId="22" applyFont="0" applyFill="0" applyBorder="0" applyAlignment="0" applyProtection="0"/>
    <xf numFmtId="243" fontId="17" fillId="0" borderId="22" applyFont="0" applyFill="0" applyBorder="0" applyAlignment="0" applyProtection="0"/>
    <xf numFmtId="244" fontId="17" fillId="0" borderId="23" applyFont="0" applyFill="0" applyBorder="0" applyAlignment="0" applyProtection="0"/>
    <xf numFmtId="245" fontId="17" fillId="0" borderId="22" applyFont="0" applyFill="0" applyBorder="0" applyAlignment="0" applyProtection="0"/>
    <xf numFmtId="38" fontId="89" fillId="0" borderId="0" applyNumberFormat="0" applyFill="0" applyBorder="0" applyAlignment="0" applyProtection="0"/>
    <xf numFmtId="0" fontId="90" fillId="39" borderId="24" applyNumberFormat="0" applyAlignment="0" applyProtection="0"/>
    <xf numFmtId="0" fontId="90" fillId="62" borderId="24" applyNumberFormat="0" applyAlignment="0" applyProtection="0"/>
    <xf numFmtId="38" fontId="17" fillId="0" borderId="0" applyNumberFormat="0" applyFill="0" applyBorder="0" applyAlignment="0" applyProtection="0">
      <protection locked="0"/>
    </xf>
    <xf numFmtId="38" fontId="17" fillId="0" borderId="0" applyNumberFormat="0" applyFill="0" applyBorder="0" applyAlignment="0" applyProtection="0">
      <protection locked="0"/>
    </xf>
    <xf numFmtId="38" fontId="17" fillId="0" borderId="0" applyNumberFormat="0" applyFill="0" applyBorder="0" applyAlignment="0" applyProtection="0">
      <protection locked="0"/>
    </xf>
    <xf numFmtId="37" fontId="65" fillId="0" borderId="14">
      <alignment horizontal="center"/>
    </xf>
    <xf numFmtId="37" fontId="65" fillId="0" borderId="0">
      <alignment horizontal="center" vertical="center" wrapText="1"/>
    </xf>
    <xf numFmtId="1" fontId="91" fillId="0" borderId="25">
      <alignment vertical="top"/>
    </xf>
    <xf numFmtId="166" fontId="92" fillId="0" borderId="0" applyBorder="0">
      <alignment horizontal="right"/>
    </xf>
    <xf numFmtId="166" fontId="92" fillId="0" borderId="26" applyAlignment="0">
      <alignment horizontal="right"/>
    </xf>
    <xf numFmtId="246" fontId="41" fillId="0" borderId="0"/>
    <xf numFmtId="246" fontId="41" fillId="0" borderId="0"/>
    <xf numFmtId="246" fontId="41" fillId="0" borderId="0"/>
    <xf numFmtId="246" fontId="41" fillId="0" borderId="0"/>
    <xf numFmtId="246" fontId="41" fillId="0" borderId="0"/>
    <xf numFmtId="246" fontId="41" fillId="0" borderId="0"/>
    <xf numFmtId="246" fontId="41" fillId="0" borderId="0"/>
    <xf numFmtId="246" fontId="41" fillId="0" borderId="0"/>
    <xf numFmtId="38" fontId="17" fillId="0" borderId="0" applyFont="0" applyFill="0" applyBorder="0" applyAlignment="0" applyProtection="0"/>
    <xf numFmtId="247" fontId="17" fillId="0" borderId="22" applyFont="0" applyFill="0" applyBorder="0" applyAlignment="0" applyProtection="0"/>
    <xf numFmtId="248" fontId="17" fillId="0" borderId="22" applyFont="0" applyFill="0" applyBorder="0" applyAlignment="0" applyProtection="0"/>
    <xf numFmtId="202" fontId="38" fillId="0" borderId="0" applyFont="0" applyFill="0" applyBorder="0" applyAlignment="0" applyProtection="0">
      <protection locked="0"/>
    </xf>
    <xf numFmtId="40" fontId="38" fillId="0" borderId="0" applyFont="0" applyFill="0" applyBorder="0" applyAlignment="0" applyProtection="0">
      <protection locked="0"/>
    </xf>
    <xf numFmtId="249" fontId="17" fillId="0" borderId="22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49" fontId="17" fillId="0" borderId="22" applyFont="0" applyFill="0" applyBorder="0" applyAlignment="0" applyProtection="0"/>
    <xf numFmtId="252" fontId="17" fillId="0" borderId="22" applyFont="0" applyFill="0" applyBorder="0" applyAlignment="0" applyProtection="0"/>
    <xf numFmtId="253" fontId="38" fillId="0" borderId="0" applyFont="0" applyFill="0" applyBorder="0" applyAlignment="0" applyProtection="0"/>
    <xf numFmtId="0" fontId="17" fillId="0" borderId="0" applyNumberFormat="0" applyFont="0" applyBorder="0" applyAlignment="0"/>
    <xf numFmtId="205" fontId="52" fillId="0" borderId="0"/>
    <xf numFmtId="254" fontId="56" fillId="0" borderId="0"/>
    <xf numFmtId="175" fontId="93" fillId="0" borderId="0" applyFont="0" applyFill="0" applyBorder="0" applyAlignment="0" applyProtection="0">
      <alignment horizontal="right"/>
    </xf>
    <xf numFmtId="255" fontId="93" fillId="0" borderId="0" applyFont="0" applyFill="0" applyBorder="0" applyAlignment="0" applyProtection="0"/>
    <xf numFmtId="175" fontId="93" fillId="0" borderId="0" applyFont="0" applyFill="0" applyBorder="0" applyAlignment="0" applyProtection="0">
      <alignment horizontal="right"/>
    </xf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254" fontId="39" fillId="0" borderId="0" applyFont="0" applyFill="0" applyBorder="0" applyAlignment="0" applyProtection="0"/>
    <xf numFmtId="185" fontId="39" fillId="0" borderId="0" applyFont="0" applyFill="0" applyBorder="0" applyAlignment="0" applyProtection="0"/>
    <xf numFmtId="190" fontId="39" fillId="0" borderId="0" applyFont="0" applyFill="0" applyBorder="0" applyAlignment="0" applyProtection="0"/>
    <xf numFmtId="18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175" fontId="39" fillId="0" borderId="0" applyFont="0" applyFill="0" applyBorder="0" applyAlignment="0" applyProtection="0"/>
    <xf numFmtId="256" fontId="39" fillId="0" borderId="0" applyFont="0" applyFill="0" applyBorder="0" applyAlignment="0" applyProtection="0"/>
    <xf numFmtId="257" fontId="39" fillId="0" borderId="0" applyFont="0" applyFill="0" applyBorder="0" applyAlignment="0" applyProtection="0"/>
    <xf numFmtId="257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84" fontId="39" fillId="0" borderId="0" applyFont="0" applyFill="0" applyBorder="0" applyAlignment="0" applyProtection="0"/>
    <xf numFmtId="258" fontId="39" fillId="0" borderId="0" applyFont="0" applyFill="0" applyBorder="0" applyAlignment="0" applyProtection="0"/>
    <xf numFmtId="258" fontId="39" fillId="0" borderId="0" applyFont="0" applyFill="0" applyBorder="0" applyAlignment="0" applyProtection="0"/>
    <xf numFmtId="258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187" fontId="39" fillId="0" borderId="0" applyFont="0" applyFill="0" applyBorder="0" applyAlignment="0" applyProtection="0"/>
    <xf numFmtId="259" fontId="1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5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260" fontId="17" fillId="0" borderId="0" applyFont="0" applyFill="0" applyBorder="0" applyAlignment="0" applyProtection="0"/>
    <xf numFmtId="168" fontId="58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95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94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261" fontId="38" fillId="0" borderId="0" applyFont="0" applyFill="0" applyBorder="0" applyAlignment="0" applyProtection="0"/>
    <xf numFmtId="262" fontId="38" fillId="0" borderId="0" applyFont="0" applyFill="0" applyBorder="0" applyAlignment="0" applyProtection="0"/>
    <xf numFmtId="263" fontId="17" fillId="0" borderId="0" applyFont="0" applyFill="0" applyBorder="0" applyAlignment="0" applyProtection="0"/>
    <xf numFmtId="38" fontId="41" fillId="0" borderId="0" applyFill="0" applyBorder="0" applyProtection="0">
      <alignment horizontal="center"/>
    </xf>
    <xf numFmtId="175" fontId="96" fillId="0" borderId="0">
      <protection locked="0"/>
    </xf>
    <xf numFmtId="264" fontId="17" fillId="0" borderId="0" applyBorder="0"/>
    <xf numFmtId="265" fontId="35" fillId="0" borderId="0" applyBorder="0"/>
    <xf numFmtId="175" fontId="97" fillId="0" borderId="0"/>
    <xf numFmtId="266" fontId="17" fillId="0" borderId="0" applyFill="0" applyBorder="0">
      <alignment horizontal="left"/>
    </xf>
    <xf numFmtId="175" fontId="98" fillId="0" borderId="0" applyNumberFormat="0" applyAlignment="0">
      <alignment horizontal="left"/>
    </xf>
    <xf numFmtId="37" fontId="17" fillId="63" borderId="0" applyFont="0" applyBorder="0" applyAlignment="0" applyProtection="0"/>
    <xf numFmtId="190" fontId="48" fillId="63" borderId="0" applyFont="0" applyBorder="0" applyAlignment="0" applyProtection="0"/>
    <xf numFmtId="39" fontId="48" fillId="63" borderId="0" applyFont="0" applyBorder="0" applyAlignment="0" applyProtection="0"/>
    <xf numFmtId="174" fontId="99" fillId="0" borderId="0"/>
    <xf numFmtId="267" fontId="38" fillId="0" borderId="0" applyFont="0" applyFill="0" applyBorder="0" applyProtection="0">
      <alignment horizontal="right" vertical="center"/>
    </xf>
    <xf numFmtId="268" fontId="17" fillId="0" borderId="0" applyFont="0" applyFill="0" applyBorder="0" applyAlignment="0" applyProtection="0"/>
    <xf numFmtId="269" fontId="38" fillId="0" borderId="0" applyFont="0" applyFill="0" applyBorder="0" applyAlignment="0" applyProtection="0">
      <protection locked="0"/>
    </xf>
    <xf numFmtId="177" fontId="38" fillId="0" borderId="0" applyFont="0" applyFill="0" applyBorder="0" applyAlignment="0" applyProtection="0">
      <protection locked="0"/>
    </xf>
    <xf numFmtId="270" fontId="38" fillId="0" borderId="0" applyFont="0" applyFill="0" applyBorder="0" applyAlignment="0" applyProtection="0"/>
    <xf numFmtId="271" fontId="38" fillId="0" borderId="0" applyFont="0" applyFill="0" applyBorder="0" applyAlignment="0" applyProtection="0"/>
    <xf numFmtId="272" fontId="38" fillId="0" borderId="0" applyFont="0" applyFill="0" applyBorder="0" applyAlignment="0" applyProtection="0"/>
    <xf numFmtId="245" fontId="38" fillId="0" borderId="0" applyFont="0" applyFill="0" applyBorder="0" applyAlignment="0" applyProtection="0"/>
    <xf numFmtId="273" fontId="38" fillId="0" borderId="0" applyFont="0" applyFill="0" applyBorder="0" applyAlignment="0" applyProtection="0"/>
    <xf numFmtId="274" fontId="17" fillId="0" borderId="0">
      <alignment horizontal="right"/>
    </xf>
    <xf numFmtId="170" fontId="100" fillId="0" borderId="0" applyFill="0" applyBorder="0">
      <protection locked="0"/>
    </xf>
    <xf numFmtId="275" fontId="17" fillId="0" borderId="0" applyFill="0" applyBorder="0"/>
    <xf numFmtId="275" fontId="100" fillId="0" borderId="0" applyFill="0" applyBorder="0">
      <protection locked="0"/>
    </xf>
    <xf numFmtId="175" fontId="93" fillId="0" borderId="0" applyFont="0" applyFill="0" applyBorder="0" applyAlignment="0" applyProtection="0">
      <alignment horizontal="right"/>
    </xf>
    <xf numFmtId="175" fontId="93" fillId="0" borderId="0" applyFont="0" applyFill="0" applyBorder="0" applyAlignment="0" applyProtection="0">
      <alignment horizontal="right"/>
    </xf>
    <xf numFmtId="276" fontId="17" fillId="0" borderId="0" applyFont="0" applyFill="0" applyBorder="0" applyAlignment="0" applyProtection="0"/>
    <xf numFmtId="175" fontId="93" fillId="0" borderId="0" applyFont="0" applyFill="0" applyBorder="0" applyAlignment="0" applyProtection="0">
      <alignment horizontal="right"/>
    </xf>
    <xf numFmtId="171" fontId="11" fillId="0" borderId="0" applyFont="0" applyFill="0" applyBorder="0" applyAlignment="0" applyProtection="0"/>
    <xf numFmtId="266" fontId="17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77" fontId="38" fillId="0" borderId="0" applyFont="0" applyFill="0" applyBorder="0" applyAlignment="0" applyProtection="0"/>
    <xf numFmtId="278" fontId="38" fillId="0" borderId="0" applyFont="0" applyFill="0" applyBorder="0" applyAlignment="0" applyProtection="0"/>
    <xf numFmtId="279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280" fontId="37" fillId="10" borderId="18">
      <alignment horizontal="right"/>
    </xf>
    <xf numFmtId="281" fontId="41" fillId="0" borderId="0" applyFont="0" applyFill="0" applyBorder="0" applyAlignment="0" applyProtection="0"/>
    <xf numFmtId="229" fontId="31" fillId="7" borderId="16">
      <protection locked="0"/>
    </xf>
    <xf numFmtId="230" fontId="31" fillId="7" borderId="16">
      <protection locked="0"/>
    </xf>
    <xf numFmtId="231" fontId="31" fillId="7" borderId="16">
      <protection locked="0"/>
    </xf>
    <xf numFmtId="232" fontId="31" fillId="7" borderId="16">
      <protection locked="0"/>
    </xf>
    <xf numFmtId="233" fontId="31" fillId="7" borderId="16">
      <protection locked="0"/>
    </xf>
    <xf numFmtId="234" fontId="31" fillId="7" borderId="16">
      <protection locked="0"/>
    </xf>
    <xf numFmtId="235" fontId="31" fillId="64" borderId="16">
      <alignment horizontal="right"/>
      <protection locked="0"/>
    </xf>
    <xf numFmtId="236" fontId="31" fillId="64" borderId="16">
      <alignment horizontal="right"/>
      <protection locked="0"/>
    </xf>
    <xf numFmtId="0" fontId="101" fillId="7" borderId="2">
      <alignment horizontal="right"/>
    </xf>
    <xf numFmtId="282" fontId="31" fillId="65" borderId="16">
      <alignment horizontal="left"/>
      <protection locked="0"/>
    </xf>
    <xf numFmtId="49" fontId="31" fillId="66" borderId="16">
      <alignment horizontal="left" vertical="top" wrapText="1"/>
      <protection locked="0"/>
    </xf>
    <xf numFmtId="237" fontId="31" fillId="7" borderId="16">
      <protection locked="0"/>
    </xf>
    <xf numFmtId="238" fontId="31" fillId="7" borderId="16">
      <protection locked="0"/>
    </xf>
    <xf numFmtId="239" fontId="31" fillId="7" borderId="16">
      <protection locked="0"/>
    </xf>
    <xf numFmtId="0" fontId="54" fillId="0" borderId="0"/>
    <xf numFmtId="49" fontId="31" fillId="66" borderId="16">
      <alignment horizontal="left"/>
      <protection locked="0"/>
    </xf>
    <xf numFmtId="283" fontId="31" fillId="7" borderId="16">
      <alignment horizontal="left" indent="1"/>
      <protection locked="0"/>
    </xf>
    <xf numFmtId="284" fontId="102" fillId="7" borderId="2">
      <protection locked="0"/>
    </xf>
    <xf numFmtId="285" fontId="17" fillId="0" borderId="0" applyFill="0" applyBorder="0"/>
    <xf numFmtId="285" fontId="17" fillId="0" borderId="0" applyFill="0" applyBorder="0"/>
    <xf numFmtId="175" fontId="93" fillId="0" borderId="0" applyFont="0" applyFill="0" applyBorder="0" applyAlignment="0" applyProtection="0"/>
    <xf numFmtId="286" fontId="17" fillId="0" borderId="0" applyFont="0" applyFill="0" applyBorder="0" applyAlignment="0" applyProtection="0"/>
    <xf numFmtId="175" fontId="93" fillId="0" borderId="0" applyFont="0" applyFill="0" applyBorder="0" applyAlignment="0" applyProtection="0"/>
    <xf numFmtId="15" fontId="103" fillId="67" borderId="2">
      <alignment horizontal="center" vertical="center"/>
    </xf>
    <xf numFmtId="175" fontId="92" fillId="60" borderId="0">
      <alignment horizontal="left"/>
    </xf>
    <xf numFmtId="15" fontId="100" fillId="0" borderId="0" applyFill="0" applyBorder="0">
      <protection locked="0"/>
    </xf>
    <xf numFmtId="285" fontId="17" fillId="0" borderId="0" applyFill="0" applyBorder="0"/>
    <xf numFmtId="287" fontId="17" fillId="0" borderId="0" applyFont="0" applyFill="0" applyBorder="0" applyAlignment="0" applyProtection="0"/>
    <xf numFmtId="15" fontId="104" fillId="0" borderId="0"/>
    <xf numFmtId="288" fontId="17" fillId="0" borderId="0" applyFont="0" applyFill="0" applyBorder="0" applyAlignment="0" applyProtection="0"/>
    <xf numFmtId="289" fontId="17" fillId="0" borderId="0" applyFont="0" applyFill="0" applyBorder="0" applyAlignment="0" applyProtection="0"/>
    <xf numFmtId="209" fontId="56" fillId="0" borderId="0">
      <alignment horizontal="right"/>
    </xf>
    <xf numFmtId="205" fontId="56" fillId="0" borderId="0">
      <alignment horizontal="right"/>
      <protection locked="0"/>
    </xf>
    <xf numFmtId="205" fontId="56" fillId="0" borderId="0"/>
    <xf numFmtId="290" fontId="56" fillId="0" borderId="0">
      <alignment horizontal="right"/>
      <protection locked="0"/>
    </xf>
    <xf numFmtId="205" fontId="57" fillId="0" borderId="0"/>
    <xf numFmtId="1" fontId="17" fillId="0" borderId="0" applyFill="0" applyBorder="0">
      <alignment horizontal="right"/>
    </xf>
    <xf numFmtId="2" fontId="17" fillId="0" borderId="0" applyFill="0" applyBorder="0">
      <alignment horizontal="right"/>
    </xf>
    <xf numFmtId="2" fontId="100" fillId="0" borderId="0" applyFill="0" applyBorder="0">
      <protection locked="0"/>
    </xf>
    <xf numFmtId="173" fontId="17" fillId="0" borderId="0" applyFill="0" applyBorder="0">
      <alignment horizontal="right"/>
    </xf>
    <xf numFmtId="173" fontId="100" fillId="0" borderId="0" applyFill="0" applyBorder="0">
      <protection locked="0"/>
    </xf>
    <xf numFmtId="291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02" fontId="66" fillId="10" borderId="0" applyNumberFormat="0" applyFont="0" applyBorder="0" applyAlignment="0" applyProtection="0"/>
    <xf numFmtId="177" fontId="41" fillId="0" borderId="0" applyFill="0" applyBorder="0" applyProtection="0">
      <alignment horizontal="center"/>
    </xf>
    <xf numFmtId="269" fontId="41" fillId="0" borderId="0">
      <alignment horizontal="center"/>
    </xf>
    <xf numFmtId="177" fontId="41" fillId="0" borderId="0" applyFill="0" applyBorder="0" applyProtection="0">
      <alignment horizontal="center"/>
    </xf>
    <xf numFmtId="266" fontId="105" fillId="0" borderId="0">
      <alignment horizontal="center"/>
    </xf>
    <xf numFmtId="175" fontId="93" fillId="0" borderId="27" applyNumberFormat="0" applyFont="0" applyFill="0" applyAlignment="0" applyProtection="0"/>
    <xf numFmtId="170" fontId="106" fillId="0" borderId="20"/>
    <xf numFmtId="208" fontId="56" fillId="0" borderId="0"/>
    <xf numFmtId="9" fontId="107" fillId="7" borderId="23">
      <alignment horizontal="center"/>
    </xf>
    <xf numFmtId="9" fontId="107" fillId="7" borderId="28">
      <alignment horizontal="center"/>
    </xf>
    <xf numFmtId="38" fontId="45" fillId="0" borderId="0" applyFont="0" applyFill="0" applyBorder="0" applyAlignment="0" applyProtection="0"/>
    <xf numFmtId="175" fontId="108" fillId="0" borderId="0" applyFont="0" applyFill="0" applyBorder="0" applyAlignment="0" applyProtection="0"/>
    <xf numFmtId="0" fontId="109" fillId="68" borderId="0" applyNumberFormat="0" applyBorder="0" applyAlignment="0" applyProtection="0"/>
    <xf numFmtId="0" fontId="109" fillId="69" borderId="0" applyNumberFormat="0" applyBorder="0" applyAlignment="0" applyProtection="0"/>
    <xf numFmtId="0" fontId="109" fillId="70" borderId="0" applyNumberFormat="0" applyBorder="0" applyAlignment="0" applyProtection="0"/>
    <xf numFmtId="175" fontId="110" fillId="0" borderId="0" applyNumberFormat="0" applyAlignment="0">
      <alignment horizontal="left"/>
    </xf>
    <xf numFmtId="293" fontId="37" fillId="0" borderId="0"/>
    <xf numFmtId="294" fontId="37" fillId="0" borderId="0"/>
    <xf numFmtId="295" fontId="37" fillId="0" borderId="0"/>
    <xf numFmtId="296" fontId="37" fillId="0" borderId="0"/>
    <xf numFmtId="297" fontId="37" fillId="0" borderId="0"/>
    <xf numFmtId="298" fontId="37" fillId="0" borderId="0"/>
    <xf numFmtId="172" fontId="38" fillId="0" borderId="0" applyFont="0" applyFill="0" applyBorder="0" applyAlignment="0" applyProtection="0"/>
    <xf numFmtId="299" fontId="17" fillId="0" borderId="0" applyFont="0" applyFill="0" applyBorder="0" applyAlignment="0" applyProtection="0"/>
    <xf numFmtId="300" fontId="17" fillId="0" borderId="0" applyFont="0" applyFill="0" applyBorder="0" applyAlignment="0" applyProtection="0"/>
    <xf numFmtId="301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5" fontId="41" fillId="62" borderId="0" applyNumberFormat="0" applyFont="0" applyBorder="0" applyAlignment="0" applyProtection="0"/>
    <xf numFmtId="175" fontId="113" fillId="0" borderId="0" applyNumberFormat="0" applyFill="0" applyBorder="0" applyAlignment="0" applyProtection="0"/>
    <xf numFmtId="302" fontId="114" fillId="0" borderId="0" applyFill="0" applyBorder="0"/>
    <xf numFmtId="15" fontId="58" fillId="0" borderId="0" applyFill="0" applyBorder="0" applyProtection="0">
      <alignment horizontal="center"/>
    </xf>
    <xf numFmtId="175" fontId="41" fillId="14" borderId="0" applyNumberFormat="0" applyFont="0" applyBorder="0" applyAlignment="0" applyProtection="0"/>
    <xf numFmtId="303" fontId="17" fillId="0" borderId="0" applyFont="0" applyFill="0" applyBorder="0" applyAlignment="0" applyProtection="0"/>
    <xf numFmtId="304" fontId="115" fillId="71" borderId="0" applyBorder="0" applyAlignment="0">
      <alignment vertical="center"/>
    </xf>
    <xf numFmtId="3" fontId="116" fillId="64" borderId="2" applyNumberFormat="0" applyFont="0" applyAlignment="0" applyProtection="0">
      <alignment vertical="center"/>
    </xf>
    <xf numFmtId="241" fontId="117" fillId="16" borderId="17" applyAlignment="0">
      <alignment vertical="center"/>
    </xf>
    <xf numFmtId="0" fontId="45" fillId="0" borderId="0" applyFont="0" applyFill="0" applyBorder="0" applyAlignment="0" applyProtection="0"/>
    <xf numFmtId="0" fontId="33" fillId="52" borderId="0"/>
    <xf numFmtId="1" fontId="118" fillId="72" borderId="29" applyNumberFormat="0"/>
    <xf numFmtId="0" fontId="119" fillId="73" borderId="0" applyNumberFormat="0" applyBorder="0" applyAlignment="0">
      <alignment vertical="top"/>
    </xf>
    <xf numFmtId="0" fontId="81" fillId="0" borderId="0" applyNumberFormat="0" applyFill="0" applyBorder="0" applyProtection="0">
      <alignment vertical="center"/>
    </xf>
    <xf numFmtId="0" fontId="120" fillId="0" borderId="0" applyNumberFormat="0" applyFill="0" applyBorder="0" applyProtection="0">
      <alignment vertical="center"/>
    </xf>
    <xf numFmtId="3" fontId="33" fillId="72" borderId="0" applyNumberFormat="0" applyAlignment="0">
      <alignment vertical="center"/>
    </xf>
    <xf numFmtId="3" fontId="65" fillId="53" borderId="0" applyNumberFormat="0" applyBorder="0" applyAlignment="0" applyProtection="0">
      <alignment vertical="center"/>
    </xf>
    <xf numFmtId="0" fontId="121" fillId="73" borderId="0"/>
    <xf numFmtId="4" fontId="119" fillId="74" borderId="0" applyNumberFormat="0" applyAlignment="0">
      <alignment horizontal="left" vertical="center"/>
    </xf>
    <xf numFmtId="305" fontId="61" fillId="0" borderId="0" applyAlignment="0">
      <alignment horizontal="right"/>
      <protection hidden="1"/>
    </xf>
    <xf numFmtId="0" fontId="48" fillId="0" borderId="0" applyFont="0" applyFill="0" applyBorder="0" applyAlignment="0" applyProtection="0">
      <alignment horizontal="left"/>
    </xf>
    <xf numFmtId="306" fontId="35" fillId="0" borderId="0" applyFill="0" applyBorder="0"/>
    <xf numFmtId="10" fontId="17" fillId="75" borderId="0" applyBorder="0" applyProtection="0"/>
    <xf numFmtId="10" fontId="17" fillId="0" borderId="0" applyBorder="0"/>
    <xf numFmtId="167" fontId="17" fillId="0" borderId="0"/>
    <xf numFmtId="0" fontId="122" fillId="41" borderId="0"/>
    <xf numFmtId="3" fontId="17" fillId="0" borderId="30" applyFill="0" applyBorder="0"/>
    <xf numFmtId="10" fontId="17" fillId="0" borderId="30" applyFont="0" applyFill="0" applyBorder="0"/>
    <xf numFmtId="15" fontId="17" fillId="0" borderId="0">
      <alignment horizontal="center"/>
    </xf>
    <xf numFmtId="219" fontId="38" fillId="25" borderId="17" applyAlignment="0">
      <alignment vertical="center"/>
    </xf>
    <xf numFmtId="219" fontId="123" fillId="76" borderId="17" applyNumberFormat="0" applyAlignment="0">
      <alignment vertical="center"/>
    </xf>
    <xf numFmtId="0" fontId="124" fillId="0" borderId="0" applyFont="0" applyFill="0" applyBorder="0" applyAlignment="0" applyProtection="0"/>
    <xf numFmtId="0" fontId="125" fillId="0" borderId="0"/>
    <xf numFmtId="219" fontId="117" fillId="75" borderId="17" applyAlignment="0">
      <alignment vertical="center"/>
      <protection locked="0"/>
    </xf>
    <xf numFmtId="10" fontId="117" fillId="7" borderId="2">
      <alignment vertical="center"/>
      <protection locked="0"/>
    </xf>
    <xf numFmtId="307" fontId="101" fillId="77" borderId="2" applyNumberFormat="0" applyAlignment="0">
      <alignment vertical="top"/>
    </xf>
    <xf numFmtId="219" fontId="117" fillId="7" borderId="17" applyAlignment="0">
      <alignment vertical="center"/>
      <protection locked="0"/>
    </xf>
    <xf numFmtId="1" fontId="125" fillId="0" borderId="0"/>
    <xf numFmtId="0" fontId="125" fillId="0" borderId="0" applyFont="0" applyFill="0" applyBorder="0" applyAlignment="0" applyProtection="0"/>
    <xf numFmtId="308" fontId="38" fillId="0" borderId="0" applyFont="0" applyFill="0" applyBorder="0" applyAlignment="0" applyProtection="0"/>
    <xf numFmtId="309" fontId="38" fillId="0" borderId="0" applyFont="0" applyFill="0" applyBorder="0" applyAlignment="0" applyProtection="0"/>
    <xf numFmtId="38" fontId="126" fillId="0" borderId="0"/>
    <xf numFmtId="38" fontId="127" fillId="0" borderId="0"/>
    <xf numFmtId="38" fontId="128" fillId="0" borderId="0"/>
    <xf numFmtId="38" fontId="129" fillId="0" borderId="0"/>
    <xf numFmtId="0" fontId="69" fillId="0" borderId="0"/>
    <xf numFmtId="0" fontId="69" fillId="0" borderId="0"/>
    <xf numFmtId="0" fontId="34" fillId="60" borderId="0" applyFill="0" applyBorder="0">
      <alignment wrapText="1"/>
    </xf>
    <xf numFmtId="0" fontId="31" fillId="0" borderId="0"/>
    <xf numFmtId="0" fontId="130" fillId="0" borderId="0"/>
    <xf numFmtId="0" fontId="131" fillId="0" borderId="0">
      <alignment horizontal="center"/>
    </xf>
    <xf numFmtId="0" fontId="132" fillId="0" borderId="0"/>
    <xf numFmtId="170" fontId="133" fillId="0" borderId="11" applyNumberFormat="0" applyFont="0" applyFill="0" applyAlignment="0">
      <alignment horizontal="left" vertical="center"/>
    </xf>
    <xf numFmtId="2" fontId="105" fillId="0" borderId="2"/>
    <xf numFmtId="3" fontId="116" fillId="78" borderId="0" applyNumberFormat="0" applyFont="0" applyBorder="0" applyAlignment="0" applyProtection="0">
      <alignment vertical="center"/>
    </xf>
    <xf numFmtId="310" fontId="38" fillId="0" borderId="0" applyFont="0" applyFill="0" applyBorder="0" applyAlignment="0" applyProtection="0"/>
    <xf numFmtId="311" fontId="38" fillId="0" borderId="0" applyFont="0" applyFill="0" applyBorder="0" applyAlignment="0" applyProtection="0"/>
    <xf numFmtId="219" fontId="38" fillId="79" borderId="2" applyNumberFormat="0" applyAlignment="0">
      <alignment vertical="center"/>
      <protection locked="0"/>
    </xf>
    <xf numFmtId="0" fontId="134" fillId="0" borderId="0" applyNumberFormat="0" applyBorder="0" applyProtection="0">
      <alignment vertical="top"/>
    </xf>
    <xf numFmtId="312" fontId="35" fillId="0" borderId="0" applyFill="0" applyBorder="0" applyProtection="0"/>
    <xf numFmtId="313" fontId="17" fillId="0" borderId="0" applyFont="0" applyFill="0" applyBorder="0" applyAlignment="0" applyProtection="0"/>
    <xf numFmtId="314" fontId="17" fillId="0" borderId="0" applyFont="0" applyFill="0" applyBorder="0" applyAlignment="0" applyProtection="0"/>
    <xf numFmtId="315" fontId="38" fillId="0" borderId="0" applyFont="0" applyFill="0" applyBorder="0" applyAlignment="0" applyProtection="0"/>
    <xf numFmtId="316" fontId="38" fillId="0" borderId="0" applyFont="0" applyFill="0" applyBorder="0" applyAlignment="0" applyProtection="0"/>
    <xf numFmtId="0" fontId="35" fillId="0" borderId="0"/>
    <xf numFmtId="220" fontId="17" fillId="0" borderId="0" applyFont="0" applyFill="0" applyBorder="0" applyAlignment="0" applyProtection="0"/>
    <xf numFmtId="317" fontId="17" fillId="0" borderId="0" applyFont="0" applyFill="0" applyBorder="0" applyAlignment="0" applyProtection="0"/>
    <xf numFmtId="0" fontId="135" fillId="0" borderId="0" applyFont="0" applyFill="0" applyBorder="0" applyAlignment="0" applyProtection="0"/>
    <xf numFmtId="17" fontId="65" fillId="0" borderId="0">
      <alignment horizontal="center"/>
    </xf>
    <xf numFmtId="318" fontId="35" fillId="0" borderId="0" applyFill="0" applyBorder="0"/>
    <xf numFmtId="319" fontId="35" fillId="0" borderId="0"/>
    <xf numFmtId="320" fontId="35" fillId="0" borderId="0" applyFill="0" applyAlignment="0"/>
    <xf numFmtId="321" fontId="136" fillId="0" borderId="0"/>
    <xf numFmtId="0" fontId="17" fillId="0" borderId="0"/>
    <xf numFmtId="322" fontId="17" fillId="0" borderId="22" applyFont="0" applyFill="0" applyBorder="0" applyAlignment="0" applyProtection="0"/>
    <xf numFmtId="323" fontId="17" fillId="0" borderId="22" applyFont="0" applyFill="0" applyBorder="0" applyAlignment="0" applyProtection="0"/>
    <xf numFmtId="324" fontId="17" fillId="0" borderId="22" applyFont="0" applyFill="0" applyBorder="0" applyAlignment="0" applyProtection="0"/>
    <xf numFmtId="325" fontId="17" fillId="0" borderId="22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95" fillId="0" borderId="0"/>
    <xf numFmtId="0" fontId="17" fillId="0" borderId="0" applyFont="0" applyFill="0" applyBorder="0" applyAlignment="0" applyProtection="0"/>
    <xf numFmtId="0" fontId="17" fillId="0" borderId="0"/>
    <xf numFmtId="0" fontId="95" fillId="0" borderId="0"/>
    <xf numFmtId="0" fontId="39" fillId="0" borderId="0"/>
    <xf numFmtId="0" fontId="39" fillId="0" borderId="0"/>
    <xf numFmtId="0" fontId="17" fillId="0" borderId="0"/>
    <xf numFmtId="0" fontId="11" fillId="0" borderId="0"/>
    <xf numFmtId="0" fontId="39" fillId="0" borderId="0">
      <alignment vertical="top"/>
    </xf>
    <xf numFmtId="0" fontId="39" fillId="0" borderId="0">
      <alignment vertical="top"/>
    </xf>
    <xf numFmtId="0" fontId="100" fillId="0" borderId="0" applyFill="0" applyBorder="0">
      <protection locked="0"/>
    </xf>
    <xf numFmtId="0" fontId="17" fillId="0" borderId="0"/>
    <xf numFmtId="0" fontId="34" fillId="7" borderId="28" applyBorder="0">
      <alignment horizontal="right" vertical="center"/>
    </xf>
    <xf numFmtId="0" fontId="34" fillId="7" borderId="0">
      <alignment vertical="center"/>
    </xf>
    <xf numFmtId="167" fontId="34" fillId="7" borderId="0"/>
    <xf numFmtId="326" fontId="38" fillId="0" borderId="0">
      <alignment horizontal="right"/>
    </xf>
    <xf numFmtId="327" fontId="17" fillId="7" borderId="2"/>
    <xf numFmtId="0" fontId="137" fillId="0" borderId="0">
      <alignment horizontal="left"/>
    </xf>
    <xf numFmtId="328" fontId="17" fillId="0" borderId="0" applyFill="0" applyBorder="0" applyAlignment="0" applyProtection="0"/>
    <xf numFmtId="329" fontId="17" fillId="0" borderId="0" applyAlignment="0" applyProtection="0"/>
    <xf numFmtId="0" fontId="55" fillId="0" borderId="14" applyNumberFormat="0" applyFill="0" applyBorder="0" applyAlignment="0" applyProtection="0"/>
    <xf numFmtId="0" fontId="55" fillId="0" borderId="14" applyNumberFormat="0" applyFill="0" applyBorder="0" applyAlignment="0" applyProtection="0"/>
    <xf numFmtId="0" fontId="138" fillId="0" borderId="0" applyFill="0" applyBorder="0" applyAlignment="0">
      <alignment horizontal="left"/>
    </xf>
    <xf numFmtId="0" fontId="54" fillId="0" borderId="0" applyNumberFormat="0" applyFill="0" applyBorder="0" applyAlignment="0"/>
    <xf numFmtId="0" fontId="139" fillId="0" borderId="0">
      <alignment horizontal="left"/>
    </xf>
    <xf numFmtId="0" fontId="140" fillId="0" borderId="0" applyFill="0" applyBorder="0" applyProtection="0">
      <alignment horizontal="center"/>
    </xf>
    <xf numFmtId="330" fontId="17" fillId="0" borderId="0" applyFill="0" applyBorder="0" applyAlignment="0" applyProtection="0"/>
    <xf numFmtId="331" fontId="141" fillId="0" borderId="0" applyFill="0" applyBorder="0" applyAlignment="0" applyProtection="0"/>
    <xf numFmtId="332" fontId="31" fillId="0" borderId="0">
      <alignment horizontal="center" vertical="top" wrapText="1"/>
    </xf>
    <xf numFmtId="333" fontId="17" fillId="0" borderId="0" applyAlignment="0" applyProtection="0"/>
    <xf numFmtId="0" fontId="105" fillId="0" borderId="0"/>
    <xf numFmtId="333" fontId="17" fillId="0" borderId="0" applyFont="0" applyFill="0" applyBorder="0" applyAlignment="0" applyProtection="0"/>
    <xf numFmtId="10" fontId="17" fillId="0" borderId="18"/>
    <xf numFmtId="3" fontId="17" fillId="17" borderId="2" applyFill="0" applyBorder="0"/>
    <xf numFmtId="0" fontId="69" fillId="60" borderId="28" applyBorder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334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0" fontId="144" fillId="0" borderId="0" applyNumberFormat="0" applyFill="0" applyBorder="0" applyAlignment="0" applyProtection="0"/>
    <xf numFmtId="336" fontId="17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7" fillId="0" borderId="0" applyNumberFormat="0" applyFont="0" applyFill="0" applyAlignment="0" applyProtection="0"/>
    <xf numFmtId="10" fontId="17" fillId="0" borderId="0" applyFont="0" applyFill="0" applyBorder="0" applyAlignment="0" applyProtection="0"/>
    <xf numFmtId="167" fontId="124" fillId="0" borderId="0" applyFont="0" applyFill="0" applyBorder="0" applyAlignment="0" applyProtection="0"/>
    <xf numFmtId="187" fontId="34" fillId="60" borderId="0"/>
    <xf numFmtId="0" fontId="34" fillId="0" borderId="0" applyFill="0" applyBorder="0">
      <alignment vertical="center"/>
    </xf>
    <xf numFmtId="0" fontId="34" fillId="60" borderId="0"/>
    <xf numFmtId="2" fontId="34" fillId="60" borderId="0" applyBorder="0"/>
    <xf numFmtId="219" fontId="38" fillId="0" borderId="0" applyFont="0" applyFill="0" applyBorder="0" applyAlignment="0" applyProtection="0">
      <alignment vertical="center"/>
    </xf>
    <xf numFmtId="219" fontId="38" fillId="0" borderId="0" applyAlignment="0">
      <alignment vertical="center"/>
    </xf>
    <xf numFmtId="0" fontId="34" fillId="0" borderId="0" applyNumberFormat="0" applyFont="0" applyAlignment="0" applyProtection="0"/>
    <xf numFmtId="10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10" fontId="38" fillId="0" borderId="0" applyFont="0" applyFill="0" applyBorder="0" applyAlignment="0" applyProtection="0"/>
    <xf numFmtId="337" fontId="17" fillId="0" borderId="0" applyFill="0" applyBorder="0"/>
    <xf numFmtId="337" fontId="100" fillId="0" borderId="0" applyFill="0" applyBorder="0">
      <protection locked="0"/>
    </xf>
    <xf numFmtId="9" fontId="38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/>
    <xf numFmtId="338" fontId="17" fillId="0" borderId="0"/>
    <xf numFmtId="170" fontId="147" fillId="7" borderId="0">
      <alignment horizontal="right"/>
    </xf>
    <xf numFmtId="0" fontId="35" fillId="0" borderId="0">
      <alignment horizontal="center"/>
    </xf>
    <xf numFmtId="3" fontId="17" fillId="0" borderId="0"/>
    <xf numFmtId="1" fontId="148" fillId="0" borderId="0" applyNumberFormat="0" applyFont="0" applyFill="0">
      <alignment horizontal="center"/>
    </xf>
    <xf numFmtId="3" fontId="149" fillId="0" borderId="0" applyNumberFormat="0" applyAlignment="0">
      <alignment vertical="center"/>
    </xf>
    <xf numFmtId="339" fontId="17" fillId="0" borderId="0">
      <alignment vertical="top"/>
    </xf>
    <xf numFmtId="340" fontId="41" fillId="0" borderId="0" applyFont="0" applyFill="0" applyBorder="0" applyAlignment="0" applyProtection="0"/>
    <xf numFmtId="0" fontId="41" fillId="0" borderId="31" applyNumberFormat="0" applyFont="0" applyFill="0" applyAlignment="0" applyProtection="0"/>
    <xf numFmtId="0" fontId="41" fillId="0" borderId="32" applyNumberFormat="0" applyFont="0" applyFill="0" applyAlignment="0" applyProtection="0"/>
    <xf numFmtId="0" fontId="41" fillId="0" borderId="33" applyNumberFormat="0" applyFont="0" applyFill="0" applyAlignment="0" applyProtection="0"/>
    <xf numFmtId="0" fontId="41" fillId="0" borderId="34" applyNumberFormat="0" applyFont="0" applyFill="0" applyAlignment="0" applyProtection="0"/>
    <xf numFmtId="0" fontId="41" fillId="0" borderId="35" applyNumberFormat="0" applyFont="0" applyFill="0" applyAlignment="0" applyProtection="0"/>
    <xf numFmtId="0" fontId="41" fillId="17" borderId="0" applyNumberFormat="0" applyFont="0" applyBorder="0" applyAlignment="0" applyProtection="0"/>
    <xf numFmtId="0" fontId="41" fillId="0" borderId="36" applyNumberFormat="0" applyFont="0" applyFill="0" applyAlignment="0" applyProtection="0"/>
    <xf numFmtId="0" fontId="41" fillId="0" borderId="37" applyNumberFormat="0" applyFont="0" applyFill="0" applyAlignment="0" applyProtection="0"/>
    <xf numFmtId="46" fontId="41" fillId="0" borderId="0" applyFont="0" applyFill="0" applyBorder="0" applyAlignment="0" applyProtection="0"/>
    <xf numFmtId="0" fontId="150" fillId="0" borderId="0" applyNumberFormat="0" applyFill="0" applyBorder="0" applyAlignment="0" applyProtection="0"/>
    <xf numFmtId="0" fontId="41" fillId="0" borderId="38" applyNumberFormat="0" applyFont="0" applyFill="0" applyAlignment="0" applyProtection="0"/>
    <xf numFmtId="0" fontId="41" fillId="0" borderId="39" applyNumberFormat="0" applyFont="0" applyFill="0" applyAlignment="0" applyProtection="0"/>
    <xf numFmtId="0" fontId="41" fillId="0" borderId="17" applyNumberFormat="0" applyFont="0" applyFill="0" applyAlignment="0" applyProtection="0"/>
    <xf numFmtId="0" fontId="41" fillId="0" borderId="40" applyNumberFormat="0" applyFont="0" applyFill="0" applyAlignment="0" applyProtection="0"/>
    <xf numFmtId="0" fontId="41" fillId="0" borderId="17" applyNumberFormat="0" applyFont="0" applyFill="0" applyAlignment="0" applyProtection="0"/>
    <xf numFmtId="0" fontId="41" fillId="0" borderId="0" applyNumberFormat="0" applyFont="0" applyFill="0" applyBorder="0" applyProtection="0">
      <alignment horizontal="center"/>
    </xf>
    <xf numFmtId="0" fontId="151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2" fillId="0" borderId="0" applyNumberFormat="0" applyFill="0" applyBorder="0" applyProtection="0">
      <alignment horizontal="left"/>
    </xf>
    <xf numFmtId="0" fontId="41" fillId="17" borderId="0" applyNumberFormat="0" applyFont="0" applyBorder="0" applyAlignment="0" applyProtection="0"/>
    <xf numFmtId="0" fontId="152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41" fillId="0" borderId="41" applyNumberFormat="0" applyFont="0" applyFill="0" applyAlignment="0" applyProtection="0"/>
    <xf numFmtId="0" fontId="41" fillId="0" borderId="42" applyNumberFormat="0" applyFont="0" applyFill="0" applyAlignment="0" applyProtection="0"/>
    <xf numFmtId="341" fontId="41" fillId="0" borderId="0" applyFont="0" applyFill="0" applyBorder="0" applyAlignment="0" applyProtection="0"/>
    <xf numFmtId="0" fontId="41" fillId="0" borderId="43" applyNumberFormat="0" applyFont="0" applyFill="0" applyAlignment="0" applyProtection="0"/>
    <xf numFmtId="0" fontId="41" fillId="0" borderId="44" applyNumberFormat="0" applyFont="0" applyFill="0" applyAlignment="0" applyProtection="0"/>
    <xf numFmtId="0" fontId="41" fillId="0" borderId="45" applyNumberFormat="0" applyFont="0" applyFill="0" applyAlignment="0" applyProtection="0"/>
    <xf numFmtId="0" fontId="41" fillId="0" borderId="46" applyNumberFormat="0" applyFont="0" applyFill="0" applyAlignment="0" applyProtection="0"/>
    <xf numFmtId="0" fontId="41" fillId="0" borderId="47" applyNumberFormat="0" applyFont="0" applyFill="0" applyAlignment="0" applyProtection="0"/>
    <xf numFmtId="0" fontId="55" fillId="0" borderId="0"/>
    <xf numFmtId="0" fontId="54" fillId="0" borderId="0"/>
    <xf numFmtId="0" fontId="153" fillId="72" borderId="0"/>
    <xf numFmtId="0" fontId="153" fillId="72" borderId="0">
      <alignment wrapText="1"/>
    </xf>
    <xf numFmtId="0" fontId="17" fillId="0" borderId="0"/>
    <xf numFmtId="0" fontId="154" fillId="0" borderId="0" applyNumberFormat="0" applyFill="0" applyBorder="0" applyAlignment="0" applyProtection="0"/>
    <xf numFmtId="0" fontId="155" fillId="0" borderId="0"/>
    <xf numFmtId="2" fontId="65" fillId="0" borderId="11"/>
    <xf numFmtId="0" fontId="17" fillId="0" borderId="0"/>
    <xf numFmtId="342" fontId="58" fillId="0" borderId="0" applyFill="0" applyBorder="0" applyAlignment="0"/>
    <xf numFmtId="0" fontId="17" fillId="66" borderId="2"/>
    <xf numFmtId="0" fontId="156" fillId="0" borderId="0" applyNumberFormat="0" applyFill="0" applyBorder="0" applyAlignment="0" applyProtection="0"/>
    <xf numFmtId="0" fontId="46" fillId="0" borderId="0"/>
    <xf numFmtId="0" fontId="61" fillId="74" borderId="0"/>
    <xf numFmtId="0" fontId="61" fillId="80" borderId="0"/>
    <xf numFmtId="0" fontId="17" fillId="53" borderId="0"/>
    <xf numFmtId="0" fontId="105" fillId="0" borderId="48" applyBorder="0"/>
    <xf numFmtId="0" fontId="157" fillId="0" borderId="0" applyNumberFormat="0" applyBorder="0" applyAlignment="0">
      <alignment vertical="top"/>
    </xf>
    <xf numFmtId="0" fontId="158" fillId="0" borderId="0" applyNumberFormat="0" applyBorder="0" applyProtection="0">
      <alignment vertical="top"/>
    </xf>
    <xf numFmtId="0" fontId="159" fillId="0" borderId="0">
      <alignment vertical="top"/>
    </xf>
    <xf numFmtId="0" fontId="160" fillId="81" borderId="0"/>
    <xf numFmtId="0" fontId="161" fillId="0" borderId="0"/>
    <xf numFmtId="0" fontId="162" fillId="10" borderId="13"/>
    <xf numFmtId="327" fontId="17" fillId="0" borderId="49"/>
    <xf numFmtId="170" fontId="163" fillId="0" borderId="50">
      <alignment vertical="center"/>
    </xf>
    <xf numFmtId="327" fontId="17" fillId="0" borderId="3"/>
    <xf numFmtId="10" fontId="65" fillId="82" borderId="0" applyNumberFormat="0" applyBorder="0" applyAlignment="0"/>
    <xf numFmtId="0" fontId="164" fillId="10" borderId="2">
      <protection locked="0"/>
    </xf>
    <xf numFmtId="343" fontId="35" fillId="0" borderId="0" applyFill="0" applyBorder="0" applyProtection="0"/>
    <xf numFmtId="0" fontId="165" fillId="0" borderId="0" applyFill="0" applyBorder="0" applyAlignment="0"/>
    <xf numFmtId="0" fontId="65" fillId="7" borderId="18">
      <alignment horizontal="left" vertical="center"/>
    </xf>
    <xf numFmtId="344" fontId="38" fillId="0" borderId="0" applyFont="0" applyFill="0" applyBorder="0" applyAlignment="0" applyProtection="0"/>
    <xf numFmtId="345" fontId="38" fillId="0" borderId="0" applyFont="0" applyFill="0" applyBorder="0" applyAlignment="0" applyProtection="0"/>
    <xf numFmtId="0" fontId="166" fillId="0" borderId="0">
      <alignment horizontal="center"/>
    </xf>
    <xf numFmtId="15" fontId="166" fillId="0" borderId="0">
      <alignment horizontal="center"/>
    </xf>
    <xf numFmtId="327" fontId="17" fillId="0" borderId="0"/>
    <xf numFmtId="170" fontId="167" fillId="57" borderId="0" applyNumberFormat="0">
      <alignment vertical="center"/>
    </xf>
    <xf numFmtId="170" fontId="168" fillId="65" borderId="0" applyNumberFormat="0">
      <alignment vertical="center"/>
    </xf>
    <xf numFmtId="170" fontId="55" fillId="0" borderId="0" applyNumberFormat="0">
      <alignment vertical="center"/>
    </xf>
    <xf numFmtId="170" fontId="163" fillId="0" borderId="0" applyNumberFormat="0">
      <alignment vertical="center"/>
    </xf>
    <xf numFmtId="0" fontId="17" fillId="10" borderId="0" applyNumberFormat="0" applyFont="0" applyBorder="0" applyAlignment="0"/>
    <xf numFmtId="0" fontId="169" fillId="0" borderId="0">
      <alignment vertical="center"/>
    </xf>
    <xf numFmtId="3" fontId="116" fillId="8" borderId="2" applyNumberFormat="0" applyFont="0" applyAlignment="0" applyProtection="0">
      <alignment vertical="center"/>
    </xf>
    <xf numFmtId="170" fontId="163" fillId="0" borderId="51">
      <alignment vertical="center"/>
    </xf>
    <xf numFmtId="170" fontId="163" fillId="0" borderId="50">
      <alignment vertical="center"/>
    </xf>
    <xf numFmtId="170" fontId="65" fillId="0" borderId="3" applyFill="0"/>
    <xf numFmtId="170" fontId="65" fillId="0" borderId="3" applyFill="0"/>
    <xf numFmtId="170" fontId="65" fillId="0" borderId="52" applyFill="0"/>
    <xf numFmtId="170" fontId="65" fillId="0" borderId="52" applyFill="0"/>
    <xf numFmtId="170" fontId="17" fillId="0" borderId="3" applyFill="0"/>
    <xf numFmtId="170" fontId="17" fillId="0" borderId="3" applyFill="0"/>
    <xf numFmtId="170" fontId="17" fillId="0" borderId="52" applyFill="0"/>
    <xf numFmtId="170" fontId="17" fillId="0" borderId="52" applyFill="0"/>
    <xf numFmtId="0" fontId="65" fillId="0" borderId="0"/>
    <xf numFmtId="327" fontId="17" fillId="0" borderId="4"/>
    <xf numFmtId="0" fontId="170" fillId="80" borderId="2"/>
    <xf numFmtId="0" fontId="34" fillId="0" borderId="18" applyFill="0" applyBorder="0">
      <alignment horizontal="center" vertical="center"/>
    </xf>
    <xf numFmtId="346" fontId="17" fillId="0" borderId="0" applyFont="0" applyFill="0" applyBorder="0" applyAlignment="0" applyProtection="0"/>
    <xf numFmtId="347" fontId="17" fillId="0" borderId="0" applyFont="0" applyFill="0" applyBorder="0" applyAlignment="0" applyProtection="0"/>
    <xf numFmtId="0" fontId="100" fillId="0" borderId="0" applyNumberFormat="0" applyFill="0" applyBorder="0"/>
    <xf numFmtId="219" fontId="38" fillId="21" borderId="17" applyAlignment="0">
      <alignment vertical="center"/>
    </xf>
    <xf numFmtId="219" fontId="38" fillId="21" borderId="17" applyAlignment="0">
      <alignment vertical="center"/>
    </xf>
    <xf numFmtId="348" fontId="38" fillId="21" borderId="17" applyAlignment="0">
      <alignment vertical="center"/>
    </xf>
    <xf numFmtId="49" fontId="38" fillId="21" borderId="17" applyAlignment="0">
      <alignment vertical="center"/>
    </xf>
    <xf numFmtId="0" fontId="65" fillId="0" borderId="0">
      <alignment horizontal="center"/>
    </xf>
    <xf numFmtId="349" fontId="65" fillId="0" borderId="0"/>
    <xf numFmtId="350" fontId="35" fillId="0" borderId="0" applyFill="0" applyProtection="0"/>
    <xf numFmtId="351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43" fontId="171" fillId="0" borderId="0" applyFont="0" applyFill="0" applyBorder="0" applyAlignment="0" applyProtection="0"/>
    <xf numFmtId="0" fontId="172" fillId="83" borderId="1" applyNumberFormat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7" fillId="0" borderId="0"/>
    <xf numFmtId="168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168" fontId="17" fillId="0" borderId="0" applyFont="0" applyFill="0" applyBorder="0" applyAlignment="0" applyProtection="0"/>
    <xf numFmtId="0" fontId="17" fillId="0" borderId="0"/>
    <xf numFmtId="0" fontId="10" fillId="0" borderId="0"/>
    <xf numFmtId="170" fontId="17" fillId="0" borderId="69" applyFill="0"/>
    <xf numFmtId="170" fontId="17" fillId="0" borderId="69" applyFill="0"/>
    <xf numFmtId="170" fontId="65" fillId="0" borderId="69" applyFill="0"/>
    <xf numFmtId="170" fontId="65" fillId="0" borderId="69" applyFill="0"/>
    <xf numFmtId="170" fontId="163" fillId="0" borderId="68">
      <alignment vertical="center"/>
    </xf>
    <xf numFmtId="170" fontId="163" fillId="0" borderId="68">
      <alignment vertical="center"/>
    </xf>
    <xf numFmtId="327" fontId="17" fillId="0" borderId="67"/>
    <xf numFmtId="0" fontId="41" fillId="0" borderId="66" applyNumberFormat="0" applyFont="0" applyFill="0" applyAlignment="0" applyProtection="0"/>
    <xf numFmtId="0" fontId="41" fillId="0" borderId="65" applyNumberFormat="0" applyFont="0" applyFill="0" applyAlignment="0" applyProtection="0"/>
    <xf numFmtId="0" fontId="41" fillId="0" borderId="64" applyNumberFormat="0" applyFont="0" applyFill="0" applyAlignment="0" applyProtection="0"/>
    <xf numFmtId="0" fontId="41" fillId="0" borderId="63" applyNumberFormat="0" applyFont="0" applyFill="0" applyAlignment="0" applyProtection="0"/>
    <xf numFmtId="0" fontId="41" fillId="0" borderId="62" applyNumberFormat="0" applyFont="0" applyFill="0" applyAlignment="0" applyProtection="0"/>
    <xf numFmtId="0" fontId="41" fillId="0" borderId="61" applyNumberFormat="0" applyFont="0" applyFill="0" applyAlignment="0" applyProtection="0"/>
    <xf numFmtId="0" fontId="41" fillId="0" borderId="60" applyNumberFormat="0" applyFont="0" applyFill="0" applyAlignment="0" applyProtection="0"/>
    <xf numFmtId="0" fontId="41" fillId="0" borderId="59" applyNumberFormat="0" applyFont="0" applyFill="0" applyAlignment="0" applyProtection="0"/>
    <xf numFmtId="0" fontId="69" fillId="60" borderId="58" applyBorder="0"/>
    <xf numFmtId="9" fontId="107" fillId="7" borderId="58">
      <alignment horizontal="center"/>
    </xf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9" fontId="17" fillId="0" borderId="0" applyFont="0" applyFill="0" applyBorder="0" applyAlignment="0" applyProtection="0"/>
    <xf numFmtId="0" fontId="10" fillId="3" borderId="0" applyNumberFormat="0" applyBorder="0" applyAlignment="0" applyProtection="0"/>
    <xf numFmtId="16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8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327" fontId="17" fillId="0" borderId="49"/>
    <xf numFmtId="170" fontId="65" fillId="0" borderId="49" applyFill="0"/>
    <xf numFmtId="170" fontId="65" fillId="0" borderId="49" applyFill="0"/>
    <xf numFmtId="170" fontId="17" fillId="0" borderId="49" applyFill="0"/>
    <xf numFmtId="170" fontId="17" fillId="0" borderId="49" applyFill="0"/>
    <xf numFmtId="0" fontId="17" fillId="0" borderId="0"/>
    <xf numFmtId="0" fontId="17" fillId="0" borderId="0"/>
    <xf numFmtId="0" fontId="10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7" fillId="0" borderId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8" fillId="0" borderId="0"/>
    <xf numFmtId="0" fontId="8" fillId="0" borderId="0"/>
    <xf numFmtId="44" fontId="8" fillId="0" borderId="0" applyFont="0" applyFill="0" applyBorder="0" applyAlignment="0" applyProtection="0"/>
    <xf numFmtId="0" fontId="39" fillId="0" borderId="0"/>
    <xf numFmtId="0" fontId="8" fillId="0" borderId="0"/>
    <xf numFmtId="0" fontId="8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98" fillId="0" borderId="0"/>
    <xf numFmtId="0" fontId="198" fillId="0" borderId="0"/>
    <xf numFmtId="0" fontId="198" fillId="0" borderId="0"/>
    <xf numFmtId="0" fontId="198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327" fontId="17" fillId="0" borderId="3"/>
    <xf numFmtId="327" fontId="17" fillId="0" borderId="3"/>
    <xf numFmtId="327" fontId="17" fillId="0" borderId="3"/>
    <xf numFmtId="327" fontId="17" fillId="0" borderId="3"/>
    <xf numFmtId="327" fontId="17" fillId="0" borderId="3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3">
    <xf numFmtId="0" fontId="0" fillId="0" borderId="0" xfId="0"/>
    <xf numFmtId="0" fontId="14" fillId="4" borderId="0" xfId="0" applyFont="1" applyFill="1"/>
    <xf numFmtId="0" fontId="15" fillId="4" borderId="0" xfId="0" applyFont="1" applyFill="1"/>
    <xf numFmtId="165" fontId="15" fillId="4" borderId="0" xfId="0" applyNumberFormat="1" applyFont="1" applyFill="1"/>
    <xf numFmtId="3" fontId="22" fillId="4" borderId="5" xfId="3" applyNumberFormat="1" applyFont="1" applyFill="1" applyBorder="1" applyAlignment="1">
      <alignment horizontal="left" vertical="top" wrapText="1"/>
    </xf>
    <xf numFmtId="0" fontId="23" fillId="5" borderId="6" xfId="3" applyFont="1" applyFill="1" applyBorder="1" applyAlignment="1">
      <alignment horizontal="center" vertical="center" wrapText="1"/>
    </xf>
    <xf numFmtId="0" fontId="23" fillId="5" borderId="8" xfId="3" applyFont="1" applyFill="1" applyBorder="1" applyAlignment="1">
      <alignment vertical="center" wrapText="1"/>
    </xf>
    <xf numFmtId="3" fontId="22" fillId="4" borderId="5" xfId="3" applyNumberFormat="1" applyFont="1" applyFill="1" applyBorder="1" applyAlignment="1">
      <alignment horizontal="center" vertical="top" wrapText="1"/>
    </xf>
    <xf numFmtId="3" fontId="22" fillId="4" borderId="0" xfId="3" applyNumberFormat="1" applyFont="1" applyFill="1" applyBorder="1" applyAlignment="1">
      <alignment horizontal="left" vertical="top" wrapText="1"/>
    </xf>
    <xf numFmtId="3" fontId="22" fillId="4" borderId="0" xfId="3" applyNumberFormat="1" applyFont="1" applyFill="1" applyBorder="1" applyAlignment="1">
      <alignment horizontal="center" vertical="top" wrapText="1"/>
    </xf>
    <xf numFmtId="0" fontId="23" fillId="4" borderId="9" xfId="3" applyFont="1" applyFill="1" applyBorder="1" applyAlignment="1">
      <alignment horizontal="center" vertical="center" wrapText="1"/>
    </xf>
    <xf numFmtId="0" fontId="23" fillId="5" borderId="10" xfId="3" applyFont="1" applyFill="1" applyBorder="1" applyAlignment="1">
      <alignment horizontal="center" vertical="center" wrapText="1"/>
    </xf>
    <xf numFmtId="0" fontId="23" fillId="5" borderId="6" xfId="3" applyFont="1" applyFill="1" applyBorder="1" applyAlignment="1">
      <alignment horizontal="left" vertical="center" wrapText="1"/>
    </xf>
    <xf numFmtId="169" fontId="15" fillId="4" borderId="0" xfId="4" applyNumberFormat="1" applyFont="1" applyFill="1" applyBorder="1" applyAlignment="1">
      <alignment horizontal="left"/>
    </xf>
    <xf numFmtId="169" fontId="15" fillId="4" borderId="0" xfId="4" applyNumberFormat="1" applyFont="1" applyFill="1" applyBorder="1" applyAlignment="1"/>
    <xf numFmtId="0" fontId="24" fillId="6" borderId="6" xfId="3" applyFont="1" applyFill="1" applyBorder="1" applyAlignment="1">
      <alignment vertical="top" wrapText="1"/>
    </xf>
    <xf numFmtId="170" fontId="25" fillId="0" borderId="10" xfId="3" applyNumberFormat="1" applyFont="1" applyBorder="1" applyAlignment="1">
      <alignment horizontal="center" vertical="center" wrapText="1"/>
    </xf>
    <xf numFmtId="0" fontId="26" fillId="6" borderId="6" xfId="3" applyFont="1" applyFill="1" applyBorder="1" applyAlignment="1">
      <alignment vertical="top" wrapText="1"/>
    </xf>
    <xf numFmtId="170" fontId="27" fillId="0" borderId="10" xfId="3" applyNumberFormat="1" applyFont="1" applyBorder="1" applyAlignment="1">
      <alignment horizontal="center" vertical="center" wrapText="1"/>
    </xf>
    <xf numFmtId="169" fontId="15" fillId="4" borderId="0" xfId="4" applyNumberFormat="1" applyFont="1" applyFill="1" applyBorder="1" applyAlignment="1">
      <alignment horizontal="center" vertical="center"/>
    </xf>
    <xf numFmtId="3" fontId="15" fillId="4" borderId="5" xfId="3" applyNumberFormat="1" applyFont="1" applyFill="1" applyBorder="1" applyAlignment="1">
      <alignment horizontal="center" vertical="top" wrapText="1"/>
    </xf>
    <xf numFmtId="0" fontId="23" fillId="5" borderId="10" xfId="3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/>
    </xf>
    <xf numFmtId="170" fontId="189" fillId="0" borderId="10" xfId="3" applyNumberFormat="1" applyFont="1" applyBorder="1" applyAlignment="1">
      <alignment horizontal="center" vertical="center" wrapText="1"/>
    </xf>
    <xf numFmtId="165" fontId="27" fillId="0" borderId="10" xfId="3" applyNumberFormat="1" applyFont="1" applyBorder="1" applyAlignment="1">
      <alignment horizontal="center" vertical="center" wrapText="1"/>
    </xf>
    <xf numFmtId="3" fontId="174" fillId="4" borderId="5" xfId="3" applyNumberFormat="1" applyFont="1" applyFill="1" applyBorder="1" applyAlignment="1">
      <alignment horizontal="center" vertical="top" wrapText="1"/>
    </xf>
    <xf numFmtId="170" fontId="188" fillId="0" borderId="10" xfId="3" applyNumberFormat="1" applyFont="1" applyBorder="1" applyAlignment="1">
      <alignment horizontal="center" vertical="center" wrapText="1"/>
    </xf>
    <xf numFmtId="174" fontId="22" fillId="4" borderId="5" xfId="3" applyNumberFormat="1" applyFont="1" applyFill="1" applyBorder="1" applyAlignment="1">
      <alignment horizontal="center" vertical="top" wrapText="1"/>
    </xf>
    <xf numFmtId="0" fontId="23" fillId="4" borderId="0" xfId="3" applyFont="1" applyFill="1" applyBorder="1" applyAlignment="1">
      <alignment horizontal="center" vertical="center" wrapText="1"/>
    </xf>
    <xf numFmtId="43" fontId="14" fillId="4" borderId="0" xfId="4045" applyNumberFormat="1" applyFont="1" applyFill="1" applyAlignment="1">
      <alignment horizontal="center"/>
    </xf>
    <xf numFmtId="43" fontId="14" fillId="4" borderId="0" xfId="4252" applyNumberFormat="1" applyFont="1" applyFill="1" applyAlignment="1">
      <alignment horizontal="center"/>
    </xf>
    <xf numFmtId="164" fontId="174" fillId="4" borderId="0" xfId="0" applyNumberFormat="1" applyFont="1" applyFill="1"/>
    <xf numFmtId="0" fontId="187" fillId="84" borderId="0" xfId="4045" applyFont="1" applyFill="1"/>
    <xf numFmtId="0" fontId="187" fillId="4" borderId="80" xfId="4045" applyFont="1" applyFill="1" applyBorder="1"/>
    <xf numFmtId="0" fontId="187" fillId="4" borderId="79" xfId="4045" applyFont="1" applyFill="1" applyBorder="1"/>
    <xf numFmtId="0" fontId="186" fillId="4" borderId="0" xfId="4045" applyFont="1" applyFill="1" applyBorder="1"/>
    <xf numFmtId="0" fontId="23" fillId="4" borderId="70" xfId="3" applyFont="1" applyFill="1" applyBorder="1" applyAlignment="1">
      <alignment horizontal="center" vertical="center" wrapText="1"/>
    </xf>
    <xf numFmtId="37" fontId="15" fillId="4" borderId="0" xfId="4045" applyNumberFormat="1" applyFont="1" applyFill="1" applyBorder="1"/>
    <xf numFmtId="0" fontId="19" fillId="4" borderId="0" xfId="4045" applyFont="1" applyFill="1" applyBorder="1"/>
    <xf numFmtId="37" fontId="23" fillId="5" borderId="10" xfId="3" applyNumberFormat="1" applyFont="1" applyFill="1" applyBorder="1" applyAlignment="1" applyProtection="1">
      <alignment horizontal="center" vertical="center" wrapText="1"/>
      <protection locked="0"/>
    </xf>
    <xf numFmtId="0" fontId="15" fillId="84" borderId="0" xfId="4045" applyFont="1" applyFill="1"/>
    <xf numFmtId="173" fontId="23" fillId="5" borderId="10" xfId="3" applyNumberFormat="1" applyFont="1" applyFill="1" applyBorder="1" applyAlignment="1" applyProtection="1">
      <alignment horizontal="right" vertical="center" wrapText="1"/>
      <protection locked="0"/>
    </xf>
    <xf numFmtId="352" fontId="27" fillId="0" borderId="10" xfId="3" applyNumberFormat="1" applyFont="1" applyBorder="1" applyAlignment="1">
      <alignment horizontal="center" vertical="center" wrapText="1"/>
    </xf>
    <xf numFmtId="165" fontId="19" fillId="4" borderId="0" xfId="4045" applyNumberFormat="1" applyFont="1" applyFill="1"/>
    <xf numFmtId="37" fontId="19" fillId="4" borderId="0" xfId="4045" applyNumberFormat="1" applyFont="1" applyFill="1"/>
    <xf numFmtId="3" fontId="23" fillId="5" borderId="6" xfId="3" applyNumberFormat="1" applyFont="1" applyFill="1" applyBorder="1" applyAlignment="1">
      <alignment horizontal="center" vertical="center" wrapText="1"/>
    </xf>
    <xf numFmtId="37" fontId="15" fillId="4" borderId="0" xfId="4045" applyNumberFormat="1" applyFont="1" applyFill="1"/>
    <xf numFmtId="170" fontId="23" fillId="5" borderId="6" xfId="3" applyNumberFormat="1" applyFont="1" applyFill="1" applyBorder="1" applyAlignment="1">
      <alignment horizontal="center" vertical="center" wrapText="1"/>
    </xf>
    <xf numFmtId="170" fontId="24" fillId="6" borderId="6" xfId="3" applyNumberFormat="1" applyFont="1" applyFill="1" applyBorder="1" applyAlignment="1">
      <alignment horizontal="center" vertical="center" wrapText="1"/>
    </xf>
    <xf numFmtId="169" fontId="21" fillId="4" borderId="0" xfId="4" applyNumberFormat="1" applyFont="1" applyFill="1" applyBorder="1" applyAlignment="1">
      <alignment horizontal="left" vertical="center"/>
    </xf>
    <xf numFmtId="169" fontId="14" fillId="4" borderId="0" xfId="4045" applyNumberFormat="1" applyFont="1" applyFill="1" applyAlignment="1">
      <alignment horizontal="center"/>
    </xf>
    <xf numFmtId="3" fontId="24" fillId="6" borderId="6" xfId="3" applyNumberFormat="1" applyFont="1" applyFill="1" applyBorder="1" applyAlignment="1">
      <alignment horizontal="center" vertical="center" wrapText="1"/>
    </xf>
    <xf numFmtId="169" fontId="15" fillId="4" borderId="0" xfId="4" applyNumberFormat="1" applyFont="1" applyFill="1" applyBorder="1" applyAlignment="1">
      <alignment horizontal="left" vertical="center"/>
    </xf>
    <xf numFmtId="0" fontId="175" fillId="5" borderId="6" xfId="3" applyFont="1" applyFill="1" applyBorder="1" applyAlignment="1">
      <alignment horizontal="left" vertical="center" wrapText="1"/>
    </xf>
    <xf numFmtId="37" fontId="178" fillId="4" borderId="1" xfId="4253" applyNumberFormat="1" applyFont="1" applyFill="1" applyAlignment="1">
      <alignment horizontal="left"/>
    </xf>
    <xf numFmtId="37" fontId="14" fillId="4" borderId="0" xfId="4045" applyNumberFormat="1" applyFont="1" applyFill="1" applyAlignment="1">
      <alignment horizontal="center"/>
    </xf>
    <xf numFmtId="170" fontId="25" fillId="0" borderId="10" xfId="3" applyNumberFormat="1" applyFont="1" applyBorder="1" applyAlignment="1">
      <alignment horizontal="left" vertical="center" wrapText="1"/>
    </xf>
    <xf numFmtId="1" fontId="16" fillId="4" borderId="0" xfId="4045" applyNumberFormat="1" applyFont="1" applyFill="1" applyAlignment="1">
      <alignment horizontal="center"/>
    </xf>
    <xf numFmtId="0" fontId="177" fillId="4" borderId="0" xfId="4045" applyFont="1" applyFill="1"/>
    <xf numFmtId="170" fontId="27" fillId="0" borderId="10" xfId="3" applyNumberFormat="1" applyFont="1" applyBorder="1" applyAlignment="1">
      <alignment horizontal="left" vertical="center" wrapText="1"/>
    </xf>
    <xf numFmtId="0" fontId="21" fillId="4" borderId="0" xfId="4045" applyFont="1" applyFill="1"/>
    <xf numFmtId="37" fontId="16" fillId="4" borderId="0" xfId="4045" applyNumberFormat="1" applyFont="1" applyFill="1" applyAlignment="1">
      <alignment horizontal="center"/>
    </xf>
    <xf numFmtId="0" fontId="15" fillId="4" borderId="0" xfId="4045" applyFont="1" applyFill="1"/>
    <xf numFmtId="0" fontId="16" fillId="4" borderId="0" xfId="4045" applyFont="1" applyFill="1" applyAlignment="1">
      <alignment horizontal="center"/>
    </xf>
    <xf numFmtId="0" fontId="16" fillId="4" borderId="0" xfId="4045" applyFont="1" applyFill="1"/>
    <xf numFmtId="0" fontId="14" fillId="4" borderId="0" xfId="4045" applyFont="1" applyFill="1" applyAlignment="1">
      <alignment horizontal="center"/>
    </xf>
    <xf numFmtId="0" fontId="14" fillId="4" borderId="0" xfId="4045" applyFont="1" applyFill="1"/>
    <xf numFmtId="0" fontId="185" fillId="4" borderId="0" xfId="4045" applyFont="1" applyFill="1" applyBorder="1"/>
    <xf numFmtId="0" fontId="21" fillId="4" borderId="80" xfId="4045" applyFont="1" applyFill="1" applyBorder="1"/>
    <xf numFmtId="170" fontId="21" fillId="4" borderId="80" xfId="4045" applyNumberFormat="1" applyFont="1" applyFill="1" applyBorder="1"/>
    <xf numFmtId="0" fontId="15" fillId="4" borderId="9" xfId="3" applyFont="1" applyFill="1" applyBorder="1" applyAlignment="1">
      <alignment horizontal="center" vertical="center" wrapText="1"/>
    </xf>
    <xf numFmtId="0" fontId="15" fillId="4" borderId="0" xfId="3" applyFont="1" applyFill="1" applyBorder="1" applyAlignment="1">
      <alignment horizontal="center" vertical="center" wrapText="1"/>
    </xf>
    <xf numFmtId="6" fontId="23" fillId="5" borderId="10" xfId="3" quotePrefix="1" applyNumberFormat="1" applyFont="1" applyFill="1" applyBorder="1" applyAlignment="1">
      <alignment horizontal="center" vertical="center" wrapText="1"/>
    </xf>
    <xf numFmtId="0" fontId="0" fillId="4" borderId="0" xfId="0" applyFill="1"/>
    <xf numFmtId="352" fontId="27" fillId="0" borderId="10" xfId="3" applyNumberFormat="1" applyFont="1" applyBorder="1" applyAlignment="1">
      <alignment horizontal="right" vertical="center" wrapText="1"/>
    </xf>
    <xf numFmtId="0" fontId="184" fillId="4" borderId="0" xfId="4045" applyFont="1" applyFill="1" applyBorder="1"/>
    <xf numFmtId="37" fontId="15" fillId="84" borderId="0" xfId="4045" applyNumberFormat="1" applyFont="1" applyFill="1"/>
    <xf numFmtId="0" fontId="15" fillId="4" borderId="0" xfId="4045" applyFont="1" applyFill="1" applyBorder="1"/>
    <xf numFmtId="0" fontId="19" fillId="4" borderId="0" xfId="4045" applyFont="1" applyFill="1"/>
    <xf numFmtId="0" fontId="23" fillId="5" borderId="10" xfId="3" applyFont="1" applyFill="1" applyBorder="1" applyAlignment="1">
      <alignment horizontal="left" vertical="center" wrapText="1"/>
    </xf>
    <xf numFmtId="0" fontId="17" fillId="4" borderId="77" xfId="4045" applyFill="1" applyBorder="1"/>
    <xf numFmtId="0" fontId="14" fillId="4" borderId="71" xfId="4045" applyFont="1" applyFill="1" applyBorder="1"/>
    <xf numFmtId="0" fontId="14" fillId="4" borderId="7" xfId="4045" applyFont="1" applyFill="1" applyBorder="1"/>
    <xf numFmtId="3" fontId="22" fillId="4" borderId="72" xfId="3" applyNumberFormat="1" applyFont="1" applyFill="1" applyBorder="1" applyAlignment="1">
      <alignment horizontal="center" vertical="top" wrapText="1"/>
    </xf>
    <xf numFmtId="0" fontId="15" fillId="4" borderId="0" xfId="4045" applyFont="1" applyFill="1" applyAlignment="1">
      <alignment horizontal="center"/>
    </xf>
    <xf numFmtId="0" fontId="14" fillId="4" borderId="0" xfId="4045" applyFont="1" applyFill="1" applyBorder="1"/>
    <xf numFmtId="3" fontId="27" fillId="0" borderId="10" xfId="3" applyNumberFormat="1" applyFont="1" applyBorder="1" applyAlignment="1">
      <alignment horizontal="center" vertical="center" wrapText="1"/>
    </xf>
    <xf numFmtId="37" fontId="14" fillId="4" borderId="0" xfId="4045" applyNumberFormat="1" applyFont="1" applyFill="1"/>
    <xf numFmtId="0" fontId="24" fillId="6" borderId="6" xfId="3" applyFont="1" applyFill="1" applyBorder="1" applyAlignment="1">
      <alignment horizontal="center" vertical="top" wrapText="1"/>
    </xf>
    <xf numFmtId="0" fontId="14" fillId="4" borderId="0" xfId="4045" applyFont="1" applyFill="1" applyBorder="1" applyAlignment="1">
      <alignment horizontal="center"/>
    </xf>
    <xf numFmtId="0" fontId="14" fillId="85" borderId="0" xfId="4045" applyFont="1" applyFill="1" applyBorder="1"/>
    <xf numFmtId="0" fontId="14" fillId="85" borderId="71" xfId="4045" applyFont="1" applyFill="1" applyBorder="1"/>
    <xf numFmtId="173" fontId="14" fillId="4" borderId="0" xfId="4045" applyNumberFormat="1" applyFont="1" applyFill="1" applyBorder="1"/>
    <xf numFmtId="10" fontId="27" fillId="0" borderId="10" xfId="1" applyNumberFormat="1" applyFont="1" applyBorder="1" applyAlignment="1">
      <alignment horizontal="center" vertical="center" wrapText="1"/>
    </xf>
    <xf numFmtId="0" fontId="17" fillId="4" borderId="78" xfId="4045" applyFill="1" applyBorder="1"/>
    <xf numFmtId="0" fontId="14" fillId="84" borderId="0" xfId="4045" applyFont="1" applyFill="1"/>
    <xf numFmtId="0" fontId="14" fillId="4" borderId="57" xfId="4045" applyFont="1" applyFill="1" applyBorder="1"/>
    <xf numFmtId="0" fontId="13" fillId="4" borderId="56" xfId="4045" applyFont="1" applyFill="1" applyBorder="1" applyAlignment="1">
      <alignment horizontal="center"/>
    </xf>
    <xf numFmtId="165" fontId="14" fillId="4" borderId="0" xfId="4045" applyNumberFormat="1" applyFont="1" applyFill="1"/>
    <xf numFmtId="173" fontId="14" fillId="85" borderId="0" xfId="4045" applyNumberFormat="1" applyFont="1" applyFill="1" applyBorder="1"/>
    <xf numFmtId="170" fontId="15" fillId="4" borderId="0" xfId="4045" applyNumberFormat="1" applyFont="1" applyFill="1" applyBorder="1"/>
    <xf numFmtId="0" fontId="185" fillId="84" borderId="0" xfId="4045" applyFont="1" applyFill="1"/>
    <xf numFmtId="170" fontId="190" fillId="0" borderId="10" xfId="3" applyNumberFormat="1" applyFont="1" applyBorder="1" applyAlignment="1">
      <alignment horizontal="center" vertical="center" wrapText="1"/>
    </xf>
    <xf numFmtId="37" fontId="23" fillId="5" borderId="10" xfId="3" applyNumberFormat="1" applyFont="1" applyFill="1" applyBorder="1" applyAlignment="1">
      <alignment horizontal="center" vertical="center" wrapText="1"/>
    </xf>
    <xf numFmtId="6" fontId="173" fillId="5" borderId="10" xfId="3" quotePrefix="1" applyNumberFormat="1" applyFont="1" applyFill="1" applyBorder="1" applyAlignment="1">
      <alignment horizontal="center" vertical="center" wrapText="1"/>
    </xf>
    <xf numFmtId="6" fontId="191" fillId="5" borderId="10" xfId="3" quotePrefix="1" applyNumberFormat="1" applyFont="1" applyFill="1" applyBorder="1" applyAlignment="1">
      <alignment horizontal="center" vertical="center" wrapText="1"/>
    </xf>
    <xf numFmtId="169" fontId="174" fillId="4" borderId="0" xfId="4" applyNumberFormat="1" applyFont="1" applyFill="1" applyBorder="1" applyAlignment="1">
      <alignment horizontal="center" vertical="center"/>
    </xf>
    <xf numFmtId="0" fontId="192" fillId="4" borderId="0" xfId="4045" applyFont="1" applyFill="1" applyAlignment="1">
      <alignment horizontal="center" vertical="center"/>
    </xf>
    <xf numFmtId="3" fontId="174" fillId="4" borderId="5" xfId="3" applyNumberFormat="1" applyFont="1" applyFill="1" applyBorder="1" applyAlignment="1">
      <alignment horizontal="center" vertical="center" wrapText="1"/>
    </xf>
    <xf numFmtId="3" fontId="189" fillId="6" borderId="6" xfId="3" applyNumberFormat="1" applyFont="1" applyFill="1" applyBorder="1" applyAlignment="1">
      <alignment horizontal="center" vertical="center" wrapText="1"/>
    </xf>
    <xf numFmtId="3" fontId="15" fillId="4" borderId="5" xfId="3" applyNumberFormat="1" applyFont="1" applyFill="1" applyBorder="1" applyAlignment="1">
      <alignment horizontal="center" vertical="center" wrapText="1"/>
    </xf>
    <xf numFmtId="170" fontId="14" fillId="4" borderId="0" xfId="0" applyNumberFormat="1" applyFont="1" applyFill="1" applyAlignment="1">
      <alignment horizontal="center"/>
    </xf>
    <xf numFmtId="170" fontId="14" fillId="4" borderId="0" xfId="4045" applyNumberFormat="1" applyFont="1" applyFill="1" applyAlignment="1">
      <alignment horizontal="center"/>
    </xf>
    <xf numFmtId="327" fontId="14" fillId="4" borderId="0" xfId="4252" applyNumberFormat="1" applyFont="1" applyFill="1" applyAlignment="1">
      <alignment horizontal="center"/>
    </xf>
    <xf numFmtId="353" fontId="174" fillId="4" borderId="5" xfId="3" applyNumberFormat="1" applyFont="1" applyFill="1" applyBorder="1" applyAlignment="1">
      <alignment horizontal="right" vertical="top" wrapText="1"/>
    </xf>
    <xf numFmtId="170" fontId="189" fillId="6" borderId="6" xfId="3" applyNumberFormat="1" applyFont="1" applyFill="1" applyBorder="1" applyAlignment="1">
      <alignment horizontal="center" vertical="center" wrapText="1"/>
    </xf>
    <xf numFmtId="0" fontId="23" fillId="5" borderId="10" xfId="3" applyFont="1" applyFill="1" applyBorder="1" applyAlignment="1">
      <alignment horizontal="left" vertical="center" wrapText="1"/>
    </xf>
    <xf numFmtId="3" fontId="22" fillId="4" borderId="5" xfId="3" applyNumberFormat="1" applyFont="1" applyFill="1" applyBorder="1" applyAlignment="1">
      <alignment horizontal="center" vertical="top" wrapText="1"/>
    </xf>
    <xf numFmtId="3" fontId="27" fillId="0" borderId="10" xfId="3" applyNumberFormat="1" applyFont="1" applyBorder="1" applyAlignment="1">
      <alignment horizontal="center" vertical="center" wrapText="1"/>
    </xf>
    <xf numFmtId="3" fontId="25" fillId="0" borderId="10" xfId="3" applyNumberFormat="1" applyFont="1" applyBorder="1" applyAlignment="1">
      <alignment horizontal="center" vertical="center" wrapText="1"/>
    </xf>
    <xf numFmtId="352" fontId="27" fillId="0" borderId="10" xfId="3" applyNumberFormat="1" applyFont="1" applyBorder="1" applyAlignment="1">
      <alignment horizontal="right" vertical="center" wrapText="1"/>
    </xf>
    <xf numFmtId="10" fontId="27" fillId="0" borderId="10" xfId="1" applyNumberFormat="1" applyFont="1" applyBorder="1" applyAlignment="1">
      <alignment horizontal="center" vertical="center" wrapText="1"/>
    </xf>
    <xf numFmtId="352" fontId="27" fillId="0" borderId="10" xfId="3" applyNumberFormat="1" applyFont="1" applyBorder="1" applyAlignment="1">
      <alignment horizontal="center" vertical="center" wrapText="1"/>
    </xf>
    <xf numFmtId="37" fontId="23" fillId="5" borderId="10" xfId="3" applyNumberFormat="1" applyFont="1" applyFill="1" applyBorder="1" applyAlignment="1">
      <alignment horizontal="center" vertical="center" wrapText="1"/>
    </xf>
    <xf numFmtId="37" fontId="23" fillId="5" borderId="10" xfId="3" applyNumberFormat="1" applyFont="1" applyFill="1" applyBorder="1" applyAlignment="1" applyProtection="1">
      <alignment horizontal="center" vertical="center" wrapText="1"/>
      <protection locked="0"/>
    </xf>
    <xf numFmtId="173" fontId="23" fillId="5" borderId="10" xfId="3" applyNumberFormat="1" applyFont="1" applyFill="1" applyBorder="1" applyAlignment="1" applyProtection="1">
      <alignment horizontal="right" vertical="center" wrapText="1"/>
      <protection locked="0"/>
    </xf>
    <xf numFmtId="165" fontId="190" fillId="0" borderId="10" xfId="3" applyNumberFormat="1" applyFont="1" applyBorder="1" applyAlignment="1">
      <alignment horizontal="center" vertical="center" wrapText="1"/>
    </xf>
    <xf numFmtId="1" fontId="196" fillId="4" borderId="0" xfId="4045" applyNumberFormat="1" applyFont="1" applyFill="1" applyAlignment="1">
      <alignment horizontal="center"/>
    </xf>
    <xf numFmtId="0" fontId="18" fillId="4" borderId="0" xfId="4045" applyFont="1" applyFill="1"/>
    <xf numFmtId="0" fontId="18" fillId="4" borderId="0" xfId="4045" applyFont="1" applyFill="1" applyAlignment="1">
      <alignment horizontal="center"/>
    </xf>
    <xf numFmtId="37" fontId="196" fillId="4" borderId="0" xfId="4045" applyNumberFormat="1" applyFont="1" applyFill="1" applyAlignment="1">
      <alignment horizontal="center"/>
    </xf>
    <xf numFmtId="165" fontId="194" fillId="0" borderId="10" xfId="3" applyNumberFormat="1" applyFont="1" applyBorder="1" applyAlignment="1">
      <alignment horizontal="center" vertical="center" wrapText="1"/>
    </xf>
    <xf numFmtId="170" fontId="194" fillId="0" borderId="10" xfId="3" applyNumberFormat="1" applyFont="1" applyBorder="1" applyAlignment="1">
      <alignment horizontal="center" vertical="center" wrapText="1"/>
    </xf>
    <xf numFmtId="0" fontId="24" fillId="6" borderId="6" xfId="3" applyFont="1" applyFill="1" applyBorder="1" applyAlignment="1">
      <alignment vertical="top" wrapText="1"/>
    </xf>
    <xf numFmtId="0" fontId="23" fillId="4" borderId="9" xfId="3" applyFont="1" applyFill="1" applyBorder="1" applyAlignment="1">
      <alignment horizontal="center" vertical="center" wrapText="1"/>
    </xf>
    <xf numFmtId="0" fontId="24" fillId="6" borderId="6" xfId="3" applyFont="1" applyFill="1" applyBorder="1" applyAlignment="1">
      <alignment horizontal="center" vertical="top" wrapText="1"/>
    </xf>
    <xf numFmtId="170" fontId="25" fillId="0" borderId="10" xfId="3" applyNumberFormat="1" applyFont="1" applyBorder="1" applyAlignment="1">
      <alignment horizontal="center" vertical="center" wrapText="1"/>
    </xf>
    <xf numFmtId="170" fontId="27" fillId="0" borderId="10" xfId="3" applyNumberFormat="1" applyFont="1" applyBorder="1" applyAlignment="1">
      <alignment horizontal="center" vertical="center" wrapText="1"/>
    </xf>
    <xf numFmtId="0" fontId="24" fillId="6" borderId="82" xfId="0" applyFont="1" applyFill="1" applyBorder="1" applyAlignment="1">
      <alignment vertical="top" wrapText="1"/>
    </xf>
    <xf numFmtId="170" fontId="25" fillId="0" borderId="10" xfId="3" applyNumberFormat="1" applyFont="1" applyBorder="1" applyAlignment="1">
      <alignment horizontal="center" vertical="center" wrapText="1"/>
    </xf>
    <xf numFmtId="352" fontId="22" fillId="4" borderId="5" xfId="3" applyNumberFormat="1" applyFont="1" applyFill="1" applyBorder="1" applyAlignment="1">
      <alignment horizontal="center" vertical="top" wrapText="1"/>
    </xf>
    <xf numFmtId="170" fontId="12" fillId="5" borderId="6" xfId="3" applyNumberFormat="1" applyFont="1" applyFill="1" applyBorder="1" applyAlignment="1">
      <alignment horizontal="center" vertical="center" wrapText="1"/>
    </xf>
    <xf numFmtId="0" fontId="12" fillId="4" borderId="9" xfId="3" applyFont="1" applyFill="1" applyBorder="1" applyAlignment="1">
      <alignment horizontal="center" vertical="center" wrapText="1"/>
    </xf>
    <xf numFmtId="0" fontId="197" fillId="4" borderId="0" xfId="4045" applyFont="1" applyFill="1" applyBorder="1"/>
    <xf numFmtId="352" fontId="22" fillId="4" borderId="5" xfId="3" applyNumberFormat="1" applyFont="1" applyFill="1" applyBorder="1" applyAlignment="1">
      <alignment horizontal="right" vertical="top" wrapText="1"/>
    </xf>
    <xf numFmtId="187" fontId="184" fillId="4" borderId="0" xfId="1" applyNumberFormat="1" applyFont="1" applyFill="1" applyBorder="1"/>
    <xf numFmtId="0" fontId="14" fillId="4" borderId="0" xfId="4045" applyFont="1" applyFill="1" applyBorder="1" applyAlignment="1">
      <alignment horizontal="center" vertical="center"/>
    </xf>
    <xf numFmtId="173" fontId="14" fillId="4" borderId="0" xfId="4045" applyNumberFormat="1" applyFont="1" applyFill="1" applyBorder="1" applyAlignment="1">
      <alignment horizontal="center" vertical="center"/>
    </xf>
    <xf numFmtId="0" fontId="14" fillId="4" borderId="0" xfId="4045" applyFont="1" applyFill="1" applyBorder="1" applyAlignment="1">
      <alignment horizontal="left" vertical="center"/>
    </xf>
    <xf numFmtId="0" fontId="14" fillId="4" borderId="9" xfId="3" applyFont="1" applyFill="1" applyBorder="1" applyAlignment="1">
      <alignment horizontal="left" vertical="center" wrapText="1"/>
    </xf>
    <xf numFmtId="170" fontId="25" fillId="85" borderId="10" xfId="3" applyNumberFormat="1" applyFont="1" applyFill="1" applyBorder="1" applyAlignment="1">
      <alignment horizontal="center" vertical="center" wrapText="1"/>
    </xf>
    <xf numFmtId="170" fontId="195" fillId="85" borderId="10" xfId="3" applyNumberFormat="1" applyFont="1" applyFill="1" applyBorder="1" applyAlignment="1">
      <alignment horizontal="center" vertical="center" wrapText="1"/>
    </xf>
    <xf numFmtId="170" fontId="176" fillId="0" borderId="10" xfId="3" applyNumberFormat="1" applyFont="1" applyBorder="1" applyAlignment="1">
      <alignment horizontal="center" vertical="center" wrapText="1"/>
    </xf>
    <xf numFmtId="3" fontId="20" fillId="4" borderId="5" xfId="3" applyNumberFormat="1" applyFont="1" applyFill="1" applyBorder="1" applyAlignment="1">
      <alignment horizontal="center" vertical="center" wrapText="1"/>
    </xf>
    <xf numFmtId="170" fontId="25" fillId="0" borderId="10" xfId="3" applyNumberFormat="1" applyFont="1" applyBorder="1" applyAlignment="1">
      <alignment horizontal="center" vertical="center" wrapText="1"/>
    </xf>
    <xf numFmtId="0" fontId="174" fillId="4" borderId="9" xfId="3" applyFont="1" applyFill="1" applyBorder="1" applyAlignment="1">
      <alignment horizontal="center" vertical="center" wrapText="1"/>
    </xf>
    <xf numFmtId="170" fontId="25" fillId="0" borderId="10" xfId="3" applyNumberFormat="1" applyFont="1" applyBorder="1" applyAlignment="1">
      <alignment horizontal="center" vertical="center" wrapText="1"/>
    </xf>
    <xf numFmtId="0" fontId="29" fillId="4" borderId="0" xfId="4045" applyFont="1" applyFill="1" applyAlignment="1">
      <alignment horizontal="left"/>
    </xf>
    <xf numFmtId="170" fontId="27" fillId="4" borderId="10" xfId="3" applyNumberFormat="1" applyFont="1" applyFill="1" applyBorder="1" applyAlignment="1">
      <alignment horizontal="left" vertical="center" wrapText="1"/>
    </xf>
    <xf numFmtId="170" fontId="25" fillId="4" borderId="10" xfId="3" applyNumberFormat="1" applyFont="1" applyFill="1" applyBorder="1" applyAlignment="1">
      <alignment horizontal="left" vertical="center" wrapText="1"/>
    </xf>
    <xf numFmtId="170" fontId="25" fillId="4" borderId="10" xfId="3" applyNumberFormat="1" applyFont="1" applyFill="1" applyBorder="1" applyAlignment="1">
      <alignment horizontal="center" vertical="center" wrapText="1"/>
    </xf>
    <xf numFmtId="170" fontId="195" fillId="4" borderId="10" xfId="3" applyNumberFormat="1" applyFont="1" applyFill="1" applyBorder="1" applyAlignment="1">
      <alignment horizontal="center" vertical="center" wrapText="1"/>
    </xf>
    <xf numFmtId="170" fontId="25" fillId="4" borderId="5" xfId="3" applyNumberFormat="1" applyFont="1" applyFill="1" applyBorder="1" applyAlignment="1">
      <alignment horizontal="left" vertical="center" wrapText="1"/>
    </xf>
    <xf numFmtId="170" fontId="25" fillId="4" borderId="0" xfId="3" applyNumberFormat="1" applyFont="1" applyFill="1" applyBorder="1" applyAlignment="1">
      <alignment horizontal="center" vertical="center" wrapText="1"/>
    </xf>
    <xf numFmtId="170" fontId="188" fillId="4" borderId="0" xfId="3" applyNumberFormat="1" applyFont="1" applyFill="1" applyBorder="1" applyAlignment="1">
      <alignment horizontal="center" vertical="center" wrapText="1"/>
    </xf>
    <xf numFmtId="170" fontId="188" fillId="4" borderId="10" xfId="3" applyNumberFormat="1" applyFont="1" applyFill="1" applyBorder="1" applyAlignment="1">
      <alignment horizontal="left" vertical="center" wrapText="1"/>
    </xf>
    <xf numFmtId="170" fontId="195" fillId="4" borderId="0" xfId="3" applyNumberFormat="1" applyFont="1" applyFill="1" applyBorder="1" applyAlignment="1">
      <alignment horizontal="center" vertical="center" wrapText="1"/>
    </xf>
    <xf numFmtId="3" fontId="174" fillId="4" borderId="5" xfId="3" applyNumberFormat="1" applyFont="1" applyFill="1" applyBorder="1" applyAlignment="1">
      <alignment horizontal="left" vertical="top"/>
    </xf>
    <xf numFmtId="170" fontId="195" fillId="0" borderId="10" xfId="3" applyNumberFormat="1" applyFont="1" applyFill="1" applyBorder="1" applyAlignment="1">
      <alignment horizontal="center" vertical="center" wrapText="1"/>
    </xf>
    <xf numFmtId="170" fontId="188" fillId="0" borderId="10" xfId="3" applyNumberFormat="1" applyFont="1" applyFill="1" applyBorder="1" applyAlignment="1">
      <alignment horizontal="center" vertical="center" wrapText="1"/>
    </xf>
    <xf numFmtId="10" fontId="183" fillId="0" borderId="10" xfId="1" applyNumberFormat="1" applyFont="1" applyBorder="1" applyAlignment="1">
      <alignment horizontal="center" vertical="center" wrapText="1"/>
    </xf>
    <xf numFmtId="3" fontId="14" fillId="84" borderId="0" xfId="4045" applyNumberFormat="1" applyFont="1" applyFill="1"/>
    <xf numFmtId="37" fontId="14" fillId="84" borderId="0" xfId="4045" applyNumberFormat="1" applyFont="1" applyFill="1"/>
    <xf numFmtId="1" fontId="14" fillId="84" borderId="0" xfId="4045" applyNumberFormat="1" applyFont="1" applyFill="1"/>
    <xf numFmtId="187" fontId="14" fillId="84" borderId="0" xfId="1" applyNumberFormat="1" applyFont="1" applyFill="1"/>
    <xf numFmtId="9" fontId="14" fillId="4" borderId="0" xfId="4045" applyNumberFormat="1" applyFont="1" applyFill="1" applyAlignment="1">
      <alignment horizontal="center"/>
    </xf>
    <xf numFmtId="187" fontId="26" fillId="6" borderId="6" xfId="3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0" fontId="14" fillId="0" borderId="0" xfId="4045" applyFont="1" applyFill="1"/>
    <xf numFmtId="170" fontId="14" fillId="0" borderId="0" xfId="4045" applyNumberFormat="1" applyFont="1" applyFill="1"/>
    <xf numFmtId="37" fontId="14" fillId="0" borderId="0" xfId="4045" applyNumberFormat="1" applyFont="1" applyFill="1"/>
    <xf numFmtId="0" fontId="5" fillId="0" borderId="0" xfId="4668"/>
    <xf numFmtId="0" fontId="199" fillId="0" borderId="0" xfId="4668" applyFont="1"/>
    <xf numFmtId="2" fontId="5" fillId="0" borderId="0" xfId="4668" applyNumberFormat="1"/>
    <xf numFmtId="2" fontId="5" fillId="0" borderId="0" xfId="4668" applyNumberFormat="1" applyFill="1"/>
    <xf numFmtId="2" fontId="5" fillId="86" borderId="3" xfId="4668" applyNumberFormat="1" applyFill="1" applyBorder="1"/>
    <xf numFmtId="2" fontId="199" fillId="86" borderId="3" xfId="4668" applyNumberFormat="1" applyFont="1" applyFill="1" applyBorder="1"/>
    <xf numFmtId="2" fontId="199" fillId="0" borderId="0" xfId="4668" applyNumberFormat="1" applyFont="1"/>
    <xf numFmtId="0" fontId="14" fillId="0" borderId="0" xfId="0" applyFont="1"/>
    <xf numFmtId="0" fontId="15" fillId="0" borderId="0" xfId="0" applyFont="1"/>
    <xf numFmtId="37" fontId="15" fillId="0" borderId="69" xfId="4045" applyNumberFormat="1" applyFont="1" applyFill="1" applyBorder="1"/>
    <xf numFmtId="2" fontId="202" fillId="0" borderId="0" xfId="4668" applyNumberFormat="1" applyFont="1" applyAlignment="1"/>
    <xf numFmtId="2" fontId="203" fillId="0" borderId="0" xfId="4668" applyNumberFormat="1" applyFont="1"/>
    <xf numFmtId="169" fontId="204" fillId="4" borderId="0" xfId="4" applyNumberFormat="1" applyFont="1" applyFill="1" applyBorder="1" applyAlignment="1">
      <alignment horizontal="left" vertical="top"/>
    </xf>
    <xf numFmtId="174" fontId="204" fillId="4" borderId="5" xfId="3" applyNumberFormat="1" applyFont="1" applyFill="1" applyBorder="1" applyAlignment="1">
      <alignment horizontal="left" vertical="top" wrapText="1"/>
    </xf>
    <xf numFmtId="170" fontId="25" fillId="0" borderId="10" xfId="3" applyNumberFormat="1" applyFont="1" applyBorder="1" applyAlignment="1">
      <alignment horizontal="center" vertical="center" wrapText="1"/>
    </xf>
    <xf numFmtId="170" fontId="189" fillId="0" borderId="10" xfId="3" applyNumberFormat="1" applyFont="1" applyFill="1" applyBorder="1" applyAlignment="1">
      <alignment horizontal="center" vertical="center" wrapText="1"/>
    </xf>
    <xf numFmtId="170" fontId="194" fillId="0" borderId="10" xfId="3" applyNumberFormat="1" applyFont="1" applyFill="1" applyBorder="1" applyAlignment="1">
      <alignment horizontal="center" vertical="center" wrapText="1"/>
    </xf>
    <xf numFmtId="37" fontId="18" fillId="4" borderId="0" xfId="4045" applyNumberFormat="1" applyFont="1" applyFill="1" applyAlignment="1">
      <alignment horizontal="center"/>
    </xf>
    <xf numFmtId="9" fontId="19" fillId="0" borderId="10" xfId="1" applyNumberFormat="1" applyFont="1" applyBorder="1" applyAlignment="1">
      <alignment horizontal="center" vertical="top" wrapText="1"/>
    </xf>
    <xf numFmtId="352" fontId="27" fillId="4" borderId="10" xfId="3" applyNumberFormat="1" applyFont="1" applyFill="1" applyBorder="1" applyAlignment="1">
      <alignment horizontal="right" vertical="center" wrapText="1"/>
    </xf>
    <xf numFmtId="2" fontId="205" fillId="0" borderId="0" xfId="4668" applyNumberFormat="1" applyFont="1" applyFill="1" applyBorder="1"/>
    <xf numFmtId="2" fontId="205" fillId="0" borderId="0" xfId="4668" applyNumberFormat="1" applyFont="1"/>
    <xf numFmtId="2" fontId="5" fillId="0" borderId="0" xfId="4668" applyNumberFormat="1" applyAlignment="1">
      <alignment horizontal="left"/>
    </xf>
    <xf numFmtId="2" fontId="5" fillId="0" borderId="0" xfId="4668" applyNumberFormat="1" applyAlignment="1">
      <alignment horizontal="left" wrapText="1"/>
    </xf>
    <xf numFmtId="0" fontId="199" fillId="0" borderId="0" xfId="4668" applyNumberFormat="1" applyFont="1" applyAlignment="1">
      <alignment horizontal="left"/>
    </xf>
    <xf numFmtId="2" fontId="199" fillId="0" borderId="83" xfId="4668" applyNumberFormat="1" applyFont="1" applyBorder="1"/>
    <xf numFmtId="2" fontId="199" fillId="0" borderId="83" xfId="4668" applyNumberFormat="1" applyFont="1" applyFill="1" applyBorder="1"/>
    <xf numFmtId="2" fontId="199" fillId="0" borderId="83" xfId="4668" applyNumberFormat="1" applyFont="1" applyBorder="1" applyAlignment="1">
      <alignment horizontal="left"/>
    </xf>
    <xf numFmtId="0" fontId="4" fillId="0" borderId="0" xfId="4668" applyFont="1"/>
    <xf numFmtId="2" fontId="4" fillId="0" borderId="0" xfId="4668" applyNumberFormat="1" applyFont="1"/>
    <xf numFmtId="0" fontId="4" fillId="0" borderId="14" xfId="4668" applyFont="1" applyBorder="1"/>
    <xf numFmtId="0" fontId="5" fillId="0" borderId="0" xfId="4668" applyBorder="1"/>
    <xf numFmtId="0" fontId="201" fillId="0" borderId="0" xfId="4668" applyFont="1" applyBorder="1" applyAlignment="1">
      <alignment horizontal="centerContinuous"/>
    </xf>
    <xf numFmtId="0" fontId="201" fillId="0" borderId="0" xfId="4668" applyFont="1" applyFill="1" applyBorder="1" applyAlignment="1">
      <alignment horizontal="right"/>
    </xf>
    <xf numFmtId="10" fontId="5" fillId="0" borderId="0" xfId="4668" applyNumberFormat="1" applyFill="1" applyBorder="1" applyProtection="1">
      <protection locked="0"/>
    </xf>
    <xf numFmtId="2" fontId="5" fillId="0" borderId="0" xfId="4668" applyNumberFormat="1" applyFill="1" applyBorder="1" applyProtection="1">
      <protection locked="0"/>
    </xf>
    <xf numFmtId="9" fontId="5" fillId="0" borderId="0" xfId="4668" applyNumberFormat="1" applyFill="1" applyBorder="1" applyProtection="1">
      <protection locked="0"/>
    </xf>
    <xf numFmtId="2" fontId="5" fillId="0" borderId="0" xfId="4668" applyNumberFormat="1" applyFill="1" applyBorder="1"/>
    <xf numFmtId="10" fontId="0" fillId="0" borderId="0" xfId="4669" applyNumberFormat="1" applyFont="1" applyFill="1" applyBorder="1" applyProtection="1">
      <protection locked="0"/>
    </xf>
    <xf numFmtId="10" fontId="5" fillId="0" borderId="0" xfId="4668" applyNumberFormat="1" applyFill="1" applyBorder="1"/>
    <xf numFmtId="9" fontId="5" fillId="0" borderId="0" xfId="4668" applyNumberFormat="1" applyFill="1" applyBorder="1"/>
    <xf numFmtId="2" fontId="4" fillId="0" borderId="0" xfId="4668" applyNumberFormat="1" applyFont="1" applyAlignment="1">
      <alignment horizontal="left"/>
    </xf>
    <xf numFmtId="10" fontId="4" fillId="0" borderId="0" xfId="4668" applyNumberFormat="1" applyFont="1" applyFill="1" applyBorder="1" applyProtection="1">
      <protection locked="0"/>
    </xf>
    <xf numFmtId="2" fontId="4" fillId="0" borderId="0" xfId="4668" applyNumberFormat="1" applyFont="1" applyFill="1" applyBorder="1" applyProtection="1">
      <protection locked="0"/>
    </xf>
    <xf numFmtId="9" fontId="4" fillId="0" borderId="0" xfId="4668" applyNumberFormat="1" applyFont="1" applyFill="1" applyBorder="1" applyProtection="1">
      <protection locked="0"/>
    </xf>
    <xf numFmtId="2" fontId="4" fillId="0" borderId="0" xfId="4668" applyNumberFormat="1" applyFont="1" applyFill="1" applyBorder="1"/>
    <xf numFmtId="10" fontId="4" fillId="0" borderId="0" xfId="4668" applyNumberFormat="1" applyFont="1" applyFill="1" applyBorder="1"/>
    <xf numFmtId="9" fontId="4" fillId="0" borderId="0" xfId="4668" applyNumberFormat="1" applyFont="1" applyFill="1" applyBorder="1"/>
    <xf numFmtId="10" fontId="206" fillId="0" borderId="0" xfId="4669" applyNumberFormat="1" applyFont="1" applyFill="1" applyBorder="1" applyProtection="1">
      <protection locked="0"/>
    </xf>
    <xf numFmtId="2" fontId="4" fillId="86" borderId="3" xfId="4668" applyNumberFormat="1" applyFont="1" applyFill="1" applyBorder="1"/>
    <xf numFmtId="2" fontId="4" fillId="86" borderId="3" xfId="4668" applyNumberFormat="1" applyFont="1" applyFill="1" applyBorder="1" applyAlignment="1">
      <alignment horizontal="left"/>
    </xf>
    <xf numFmtId="2" fontId="4" fillId="0" borderId="0" xfId="4668" applyNumberFormat="1" applyFont="1" applyFill="1"/>
    <xf numFmtId="10" fontId="4" fillId="0" borderId="0" xfId="1" applyNumberFormat="1" applyFont="1" applyFill="1"/>
    <xf numFmtId="2" fontId="4" fillId="0" borderId="0" xfId="4668" applyNumberFormat="1" applyFont="1" applyFill="1" applyAlignment="1">
      <alignment horizontal="left"/>
    </xf>
    <xf numFmtId="2" fontId="4" fillId="0" borderId="69" xfId="4668" applyNumberFormat="1" applyFont="1" applyFill="1" applyBorder="1" applyAlignment="1">
      <alignment horizontal="left"/>
    </xf>
    <xf numFmtId="3" fontId="4" fillId="0" borderId="0" xfId="4668" applyNumberFormat="1" applyFont="1" applyFill="1" applyAlignment="1">
      <alignment horizontal="left"/>
    </xf>
    <xf numFmtId="2" fontId="4" fillId="0" borderId="83" xfId="4668" applyNumberFormat="1" applyFont="1" applyBorder="1"/>
    <xf numFmtId="2" fontId="4" fillId="0" borderId="83" xfId="4668" applyNumberFormat="1" applyFont="1" applyFill="1" applyBorder="1"/>
    <xf numFmtId="2" fontId="4" fillId="0" borderId="83" xfId="4668" applyNumberFormat="1" applyFont="1" applyFill="1" applyBorder="1" applyAlignment="1">
      <alignment horizontal="left"/>
    </xf>
    <xf numFmtId="3" fontId="4" fillId="0" borderId="83" xfId="4668" applyNumberFormat="1" applyFont="1" applyFill="1" applyBorder="1" applyAlignment="1">
      <alignment horizontal="left"/>
    </xf>
    <xf numFmtId="2" fontId="4" fillId="0" borderId="26" xfId="4668" applyNumberFormat="1" applyFont="1" applyBorder="1"/>
    <xf numFmtId="2" fontId="4" fillId="0" borderId="26" xfId="4668" applyNumberFormat="1" applyFont="1" applyFill="1" applyBorder="1"/>
    <xf numFmtId="2" fontId="4" fillId="0" borderId="26" xfId="4668" applyNumberFormat="1" applyFont="1" applyFill="1" applyBorder="1" applyAlignment="1">
      <alignment horizontal="left"/>
    </xf>
    <xf numFmtId="4" fontId="4" fillId="0" borderId="0" xfId="4668" applyNumberFormat="1" applyFont="1" applyFill="1" applyAlignment="1">
      <alignment horizontal="left"/>
    </xf>
    <xf numFmtId="2" fontId="4" fillId="0" borderId="3" xfId="4668" applyNumberFormat="1" applyFont="1" applyBorder="1"/>
    <xf numFmtId="2" fontId="4" fillId="0" borderId="3" xfId="4668" applyNumberFormat="1" applyFont="1" applyFill="1" applyBorder="1"/>
    <xf numFmtId="2" fontId="4" fillId="0" borderId="3" xfId="4668" applyNumberFormat="1" applyFont="1" applyFill="1" applyBorder="1" applyAlignment="1">
      <alignment horizontal="left"/>
    </xf>
    <xf numFmtId="1" fontId="4" fillId="0" borderId="3" xfId="4668" applyNumberFormat="1" applyFont="1" applyFill="1" applyBorder="1" applyAlignment="1">
      <alignment horizontal="left"/>
    </xf>
    <xf numFmtId="1" fontId="4" fillId="0" borderId="83" xfId="4668" applyNumberFormat="1" applyFont="1" applyFill="1" applyBorder="1" applyAlignment="1">
      <alignment horizontal="left"/>
    </xf>
    <xf numFmtId="10" fontId="4" fillId="0" borderId="0" xfId="1" applyNumberFormat="1" applyFont="1" applyFill="1" applyAlignment="1">
      <alignment horizontal="left"/>
    </xf>
    <xf numFmtId="3" fontId="4" fillId="0" borderId="0" xfId="4668" applyNumberFormat="1" applyFont="1" applyAlignment="1">
      <alignment horizontal="left"/>
    </xf>
    <xf numFmtId="2" fontId="4" fillId="0" borderId="83" xfId="4668" applyNumberFormat="1" applyFont="1" applyBorder="1" applyAlignment="1">
      <alignment horizontal="left"/>
    </xf>
    <xf numFmtId="3" fontId="4" fillId="0" borderId="83" xfId="4668" applyNumberFormat="1" applyFont="1" applyBorder="1" applyAlignment="1">
      <alignment horizontal="left"/>
    </xf>
    <xf numFmtId="10" fontId="4" fillId="0" borderId="0" xfId="1" applyNumberFormat="1" applyFont="1" applyAlignment="1">
      <alignment horizontal="left"/>
    </xf>
    <xf numFmtId="2" fontId="4" fillId="0" borderId="0" xfId="1" applyNumberFormat="1" applyFont="1" applyAlignment="1">
      <alignment horizontal="left"/>
    </xf>
    <xf numFmtId="187" fontId="206" fillId="0" borderId="0" xfId="1" applyNumberFormat="1" applyFont="1" applyAlignment="1">
      <alignment horizontal="left"/>
    </xf>
    <xf numFmtId="187" fontId="206" fillId="0" borderId="83" xfId="1" applyNumberFormat="1" applyFont="1" applyBorder="1" applyAlignment="1">
      <alignment horizontal="left"/>
    </xf>
    <xf numFmtId="2" fontId="5" fillId="0" borderId="91" xfId="4668" applyNumberFormat="1" applyFill="1" applyBorder="1"/>
    <xf numFmtId="2" fontId="5" fillId="0" borderId="88" xfId="4668" applyNumberFormat="1" applyBorder="1"/>
    <xf numFmtId="2" fontId="5" fillId="0" borderId="89" xfId="4668" applyNumberFormat="1" applyBorder="1"/>
    <xf numFmtId="2" fontId="5" fillId="0" borderId="89" xfId="4668" applyNumberFormat="1" applyFill="1" applyBorder="1"/>
    <xf numFmtId="10" fontId="5" fillId="0" borderId="90" xfId="1" applyNumberFormat="1" applyFont="1" applyBorder="1" applyAlignment="1">
      <alignment horizontal="left"/>
    </xf>
    <xf numFmtId="10" fontId="5" fillId="0" borderId="11" xfId="1" applyNumberFormat="1" applyFont="1" applyFill="1" applyBorder="1" applyAlignment="1">
      <alignment horizontal="left"/>
    </xf>
    <xf numFmtId="10" fontId="5" fillId="0" borderId="84" xfId="1" applyNumberFormat="1" applyFont="1" applyFill="1" applyBorder="1" applyAlignment="1">
      <alignment horizontal="left"/>
    </xf>
    <xf numFmtId="10" fontId="5" fillId="0" borderId="11" xfId="1" applyNumberFormat="1" applyFont="1" applyBorder="1" applyAlignment="1">
      <alignment horizontal="left"/>
    </xf>
    <xf numFmtId="2" fontId="5" fillId="0" borderId="90" xfId="4668" applyNumberFormat="1" applyBorder="1"/>
    <xf numFmtId="2" fontId="2" fillId="0" borderId="0" xfId="4668" applyNumberFormat="1" applyFont="1"/>
    <xf numFmtId="2" fontId="2" fillId="0" borderId="0" xfId="4668" applyNumberFormat="1" applyFont="1" applyFill="1"/>
    <xf numFmtId="2" fontId="2" fillId="0" borderId="0" xfId="4668" applyNumberFormat="1" applyFont="1" applyAlignment="1">
      <alignment horizontal="left"/>
    </xf>
    <xf numFmtId="2" fontId="3" fillId="0" borderId="93" xfId="4668" applyNumberFormat="1" applyFont="1" applyFill="1" applyBorder="1"/>
    <xf numFmtId="2" fontId="5" fillId="0" borderId="94" xfId="4668" applyNumberFormat="1" applyFill="1" applyBorder="1"/>
    <xf numFmtId="10" fontId="5" fillId="0" borderId="92" xfId="1" applyNumberFormat="1" applyFont="1" applyFill="1" applyBorder="1" applyAlignment="1">
      <alignment horizontal="left"/>
    </xf>
    <xf numFmtId="2" fontId="1" fillId="0" borderId="0" xfId="4668" applyNumberFormat="1" applyFont="1"/>
    <xf numFmtId="354" fontId="22" fillId="4" borderId="5" xfId="3" applyNumberFormat="1" applyFont="1" applyFill="1" applyBorder="1" applyAlignment="1">
      <alignment horizontal="center" vertical="top" wrapText="1"/>
    </xf>
    <xf numFmtId="353" fontId="22" fillId="4" borderId="5" xfId="3" applyNumberFormat="1" applyFont="1" applyFill="1" applyBorder="1" applyAlignment="1">
      <alignment horizontal="center" vertical="top" wrapText="1"/>
    </xf>
    <xf numFmtId="0" fontId="23" fillId="5" borderId="10" xfId="3" applyFont="1" applyFill="1" applyBorder="1" applyAlignment="1">
      <alignment horizontal="center" vertical="center" wrapText="1"/>
    </xf>
    <xf numFmtId="0" fontId="14" fillId="4" borderId="86" xfId="4045" applyFont="1" applyFill="1" applyBorder="1"/>
    <xf numFmtId="0" fontId="14" fillId="4" borderId="87" xfId="4045" applyFont="1" applyFill="1" applyBorder="1"/>
    <xf numFmtId="0" fontId="14" fillId="4" borderId="100" xfId="4045" applyFont="1" applyFill="1" applyBorder="1"/>
    <xf numFmtId="0" fontId="14" fillId="4" borderId="101" xfId="4045" applyFont="1" applyFill="1" applyBorder="1"/>
    <xf numFmtId="0" fontId="17" fillId="4" borderId="102" xfId="4045" applyFill="1" applyBorder="1"/>
    <xf numFmtId="3" fontId="22" fillId="4" borderId="103" xfId="3" applyNumberFormat="1" applyFont="1" applyFill="1" applyBorder="1" applyAlignment="1">
      <alignment horizontal="center" vertical="top" wrapText="1"/>
    </xf>
    <xf numFmtId="0" fontId="23" fillId="5" borderId="82" xfId="3" applyFont="1" applyFill="1" applyBorder="1" applyAlignment="1">
      <alignment horizontal="left" vertical="center" wrapText="1"/>
    </xf>
    <xf numFmtId="10" fontId="27" fillId="0" borderId="103" xfId="1" applyNumberFormat="1" applyFont="1" applyBorder="1" applyAlignment="1">
      <alignment horizontal="center" vertical="center" wrapText="1"/>
    </xf>
    <xf numFmtId="352" fontId="27" fillId="0" borderId="103" xfId="3" applyNumberFormat="1" applyFont="1" applyBorder="1" applyAlignment="1">
      <alignment horizontal="center" vertical="center" wrapText="1"/>
    </xf>
    <xf numFmtId="173" fontId="14" fillId="4" borderId="101" xfId="4045" applyNumberFormat="1" applyFont="1" applyFill="1" applyBorder="1"/>
    <xf numFmtId="0" fontId="14" fillId="85" borderId="100" xfId="4045" applyFont="1" applyFill="1" applyBorder="1"/>
    <xf numFmtId="173" fontId="14" fillId="85" borderId="101" xfId="4045" applyNumberFormat="1" applyFont="1" applyFill="1" applyBorder="1"/>
    <xf numFmtId="0" fontId="23" fillId="5" borderId="103" xfId="3" applyFont="1" applyFill="1" applyBorder="1" applyAlignment="1">
      <alignment horizontal="center" vertical="center" wrapText="1"/>
    </xf>
    <xf numFmtId="3" fontId="22" fillId="4" borderId="104" xfId="3" applyNumberFormat="1" applyFont="1" applyFill="1" applyBorder="1" applyAlignment="1">
      <alignment horizontal="center" vertical="top" wrapText="1"/>
    </xf>
    <xf numFmtId="3" fontId="27" fillId="0" borderId="103" xfId="3" applyNumberFormat="1" applyFont="1" applyBorder="1" applyAlignment="1">
      <alignment horizontal="center" vertical="center" wrapText="1"/>
    </xf>
    <xf numFmtId="3" fontId="25" fillId="0" borderId="103" xfId="3" applyNumberFormat="1" applyFont="1" applyBorder="1" applyAlignment="1">
      <alignment horizontal="center" vertical="center" wrapText="1"/>
    </xf>
    <xf numFmtId="352" fontId="27" fillId="0" borderId="103" xfId="3" applyNumberFormat="1" applyFont="1" applyBorder="1" applyAlignment="1">
      <alignment horizontal="right" vertical="center" wrapText="1"/>
    </xf>
    <xf numFmtId="352" fontId="27" fillId="4" borderId="103" xfId="3" applyNumberFormat="1" applyFont="1" applyFill="1" applyBorder="1" applyAlignment="1">
      <alignment horizontal="right" vertical="center" wrapText="1"/>
    </xf>
    <xf numFmtId="37" fontId="23" fillId="5" borderId="103" xfId="3" applyNumberFormat="1" applyFont="1" applyFill="1" applyBorder="1" applyAlignment="1">
      <alignment horizontal="center" vertical="center" wrapText="1"/>
    </xf>
    <xf numFmtId="0" fontId="24" fillId="6" borderId="82" xfId="3" applyFont="1" applyFill="1" applyBorder="1" applyAlignment="1">
      <alignment vertical="top" wrapText="1"/>
    </xf>
    <xf numFmtId="170" fontId="27" fillId="0" borderId="103" xfId="3" applyNumberFormat="1" applyFont="1" applyBorder="1" applyAlignment="1">
      <alignment horizontal="center" vertical="center" wrapText="1"/>
    </xf>
    <xf numFmtId="0" fontId="23" fillId="4" borderId="105" xfId="3" applyFont="1" applyFill="1" applyBorder="1" applyAlignment="1">
      <alignment horizontal="center" vertical="center" wrapText="1"/>
    </xf>
    <xf numFmtId="170" fontId="190" fillId="0" borderId="103" xfId="3" applyNumberFormat="1" applyFont="1" applyBorder="1" applyAlignment="1">
      <alignment horizontal="center" vertical="center" wrapText="1"/>
    </xf>
    <xf numFmtId="3" fontId="15" fillId="4" borderId="103" xfId="3" applyNumberFormat="1" applyFont="1" applyFill="1" applyBorder="1" applyAlignment="1">
      <alignment horizontal="center" vertical="top" wrapText="1"/>
    </xf>
    <xf numFmtId="0" fontId="187" fillId="4" borderId="93" xfId="4045" applyFont="1" applyFill="1" applyBorder="1"/>
    <xf numFmtId="0" fontId="187" fillId="4" borderId="26" xfId="4045" applyFont="1" applyFill="1" applyBorder="1"/>
    <xf numFmtId="170" fontId="21" fillId="4" borderId="26" xfId="4045" applyNumberFormat="1" applyFont="1" applyFill="1" applyBorder="1"/>
    <xf numFmtId="0" fontId="21" fillId="4" borderId="26" xfId="4045" applyFont="1" applyFill="1" applyBorder="1"/>
    <xf numFmtId="170" fontId="21" fillId="4" borderId="94" xfId="4045" applyNumberFormat="1" applyFont="1" applyFill="1" applyBorder="1"/>
    <xf numFmtId="10" fontId="209" fillId="0" borderId="0" xfId="4668" applyNumberFormat="1" applyFont="1" applyFill="1" applyBorder="1"/>
    <xf numFmtId="0" fontId="209" fillId="0" borderId="0" xfId="4668" applyFont="1" applyFill="1" applyBorder="1"/>
    <xf numFmtId="0" fontId="210" fillId="0" borderId="0" xfId="4668" applyFont="1" applyFill="1" applyBorder="1"/>
    <xf numFmtId="0" fontId="211" fillId="0" borderId="0" xfId="4668" applyFont="1" applyFill="1" applyBorder="1" applyAlignment="1">
      <alignment horizontal="centerContinuous"/>
    </xf>
    <xf numFmtId="0" fontId="211" fillId="0" borderId="0" xfId="4668" applyFont="1" applyFill="1" applyBorder="1" applyAlignment="1">
      <alignment horizontal="right"/>
    </xf>
    <xf numFmtId="10" fontId="209" fillId="0" borderId="0" xfId="4668" applyNumberFormat="1" applyFont="1" applyFill="1" applyBorder="1" applyProtection="1">
      <protection locked="0"/>
    </xf>
    <xf numFmtId="2" fontId="209" fillId="0" borderId="0" xfId="4668" applyNumberFormat="1" applyFont="1" applyFill="1" applyBorder="1"/>
    <xf numFmtId="2" fontId="209" fillId="0" borderId="0" xfId="4668" applyNumberFormat="1" applyFont="1" applyFill="1" applyBorder="1" applyProtection="1">
      <protection locked="0"/>
    </xf>
    <xf numFmtId="9" fontId="209" fillId="0" borderId="0" xfId="4668" applyNumberFormat="1" applyFont="1" applyFill="1" applyBorder="1"/>
    <xf numFmtId="9" fontId="209" fillId="0" borderId="0" xfId="4668" applyNumberFormat="1" applyFont="1" applyFill="1" applyBorder="1" applyProtection="1">
      <protection locked="0"/>
    </xf>
    <xf numFmtId="10" fontId="209" fillId="0" borderId="0" xfId="4669" applyNumberFormat="1" applyFont="1" applyFill="1" applyBorder="1" applyProtection="1">
      <protection locked="0"/>
    </xf>
    <xf numFmtId="10" fontId="209" fillId="0" borderId="0" xfId="0" applyNumberFormat="1" applyFont="1" applyFill="1" applyBorder="1"/>
    <xf numFmtId="0" fontId="199" fillId="0" borderId="0" xfId="4668" applyFont="1" applyBorder="1"/>
    <xf numFmtId="0" fontId="212" fillId="4" borderId="0" xfId="0" applyFont="1" applyFill="1"/>
    <xf numFmtId="170" fontId="25" fillId="0" borderId="10" xfId="3" applyNumberFormat="1" applyFont="1" applyFill="1" applyBorder="1" applyAlignment="1">
      <alignment horizontal="center" vertical="center" wrapText="1"/>
    </xf>
    <xf numFmtId="0" fontId="14" fillId="84" borderId="0" xfId="0" applyFont="1" applyFill="1"/>
    <xf numFmtId="2" fontId="4" fillId="0" borderId="14" xfId="4668" applyNumberFormat="1" applyFont="1" applyFill="1" applyBorder="1"/>
    <xf numFmtId="2" fontId="4" fillId="0" borderId="14" xfId="4668" applyNumberFormat="1" applyFont="1" applyFill="1" applyBorder="1" applyAlignment="1">
      <alignment horizontal="left"/>
    </xf>
    <xf numFmtId="3" fontId="4" fillId="0" borderId="14" xfId="4668" applyNumberFormat="1" applyFont="1" applyFill="1" applyBorder="1" applyAlignment="1">
      <alignment horizontal="left"/>
    </xf>
    <xf numFmtId="0" fontId="4" fillId="0" borderId="0" xfId="4668" applyFont="1" applyFill="1"/>
    <xf numFmtId="0" fontId="5" fillId="0" borderId="0" xfId="4668" applyFill="1"/>
    <xf numFmtId="0" fontId="206" fillId="0" borderId="0" xfId="4668" applyFont="1" applyFill="1" applyProtection="1">
      <protection locked="0"/>
    </xf>
    <xf numFmtId="10" fontId="206" fillId="0" borderId="0" xfId="4668" applyNumberFormat="1" applyFont="1" applyFill="1" applyProtection="1">
      <protection locked="0"/>
    </xf>
    <xf numFmtId="9" fontId="206" fillId="0" borderId="0" xfId="4668" applyNumberFormat="1" applyFont="1" applyFill="1" applyProtection="1">
      <protection locked="0"/>
    </xf>
    <xf numFmtId="0" fontId="200" fillId="0" borderId="0" xfId="4668" applyFont="1" applyFill="1"/>
    <xf numFmtId="0" fontId="4" fillId="0" borderId="14" xfId="4668" applyFont="1" applyFill="1" applyBorder="1"/>
    <xf numFmtId="2" fontId="4" fillId="0" borderId="14" xfId="4668" applyNumberFormat="1" applyFont="1" applyFill="1" applyBorder="1" applyProtection="1">
      <protection locked="0"/>
    </xf>
    <xf numFmtId="0" fontId="201" fillId="0" borderId="0" xfId="4668" applyFont="1" applyFill="1" applyAlignment="1">
      <alignment horizontal="right"/>
    </xf>
    <xf numFmtId="9" fontId="4" fillId="0" borderId="0" xfId="4668" applyNumberFormat="1" applyFont="1" applyFill="1" applyProtection="1">
      <protection locked="0"/>
    </xf>
    <xf numFmtId="10" fontId="4" fillId="0" borderId="0" xfId="4668" applyNumberFormat="1" applyFont="1" applyFill="1" applyProtection="1">
      <protection locked="0"/>
    </xf>
    <xf numFmtId="0" fontId="4" fillId="0" borderId="14" xfId="4668" applyFont="1" applyFill="1" applyBorder="1" applyProtection="1">
      <protection locked="0"/>
    </xf>
    <xf numFmtId="0" fontId="5" fillId="0" borderId="0" xfId="4668" applyFill="1" applyBorder="1"/>
    <xf numFmtId="0" fontId="15" fillId="0" borderId="0" xfId="0" applyFont="1" applyFill="1"/>
    <xf numFmtId="0" fontId="14" fillId="0" borderId="0" xfId="0" applyFont="1" applyFill="1"/>
    <xf numFmtId="0" fontId="26" fillId="6" borderId="70" xfId="3" applyFont="1" applyFill="1" applyBorder="1" applyAlignment="1">
      <alignment vertical="top" wrapText="1"/>
    </xf>
    <xf numFmtId="3" fontId="22" fillId="0" borderId="0" xfId="3" applyNumberFormat="1" applyFont="1" applyFill="1" applyBorder="1" applyAlignment="1">
      <alignment horizontal="center" vertical="top" wrapText="1"/>
    </xf>
    <xf numFmtId="0" fontId="14" fillId="0" borderId="0" xfId="4045" applyFont="1" applyFill="1" applyBorder="1"/>
    <xf numFmtId="0" fontId="14" fillId="0" borderId="0" xfId="4045" applyFont="1" applyFill="1" applyBorder="1" applyAlignment="1">
      <alignment horizontal="center"/>
    </xf>
    <xf numFmtId="0" fontId="18" fillId="4" borderId="0" xfId="4045" applyFont="1" applyFill="1" applyBorder="1"/>
    <xf numFmtId="3" fontId="26" fillId="6" borderId="108" xfId="3" applyNumberFormat="1" applyFont="1" applyFill="1" applyBorder="1" applyAlignment="1">
      <alignment horizontal="center" vertical="center" wrapText="1"/>
    </xf>
    <xf numFmtId="3" fontId="26" fillId="6" borderId="109" xfId="3" applyNumberFormat="1" applyFont="1" applyFill="1" applyBorder="1" applyAlignment="1">
      <alignment horizontal="center" vertical="center" wrapText="1"/>
    </xf>
    <xf numFmtId="0" fontId="139" fillId="84" borderId="0" xfId="0" applyFont="1" applyFill="1" applyBorder="1"/>
    <xf numFmtId="0" fontId="0" fillId="84" borderId="0" xfId="0" applyFill="1" applyBorder="1"/>
    <xf numFmtId="1" fontId="17" fillId="84" borderId="0" xfId="0" applyNumberFormat="1" applyFont="1" applyFill="1" applyBorder="1"/>
    <xf numFmtId="170" fontId="0" fillId="84" borderId="0" xfId="0" applyNumberFormat="1" applyFill="1" applyBorder="1"/>
    <xf numFmtId="37" fontId="0" fillId="84" borderId="0" xfId="0" applyNumberFormat="1" applyFill="1" applyBorder="1"/>
    <xf numFmtId="1" fontId="0" fillId="84" borderId="0" xfId="0" applyNumberFormat="1" applyFill="1" applyBorder="1"/>
    <xf numFmtId="9" fontId="14" fillId="0" borderId="10" xfId="1" applyNumberFormat="1" applyFont="1" applyBorder="1" applyAlignment="1">
      <alignment horizontal="center" vertical="top" wrapText="1"/>
    </xf>
    <xf numFmtId="0" fontId="23" fillId="5" borderId="81" xfId="3" applyFont="1" applyFill="1" applyBorder="1" applyAlignment="1">
      <alignment horizontal="left" vertical="center" wrapText="1"/>
    </xf>
    <xf numFmtId="0" fontId="23" fillId="5" borderId="53" xfId="3" applyFont="1" applyFill="1" applyBorder="1" applyAlignment="1">
      <alignment horizontal="left" vertical="center" wrapText="1"/>
    </xf>
    <xf numFmtId="0" fontId="23" fillId="5" borderId="5" xfId="3" applyFont="1" applyFill="1" applyBorder="1" applyAlignment="1">
      <alignment horizontal="center" vertical="center" wrapText="1"/>
    </xf>
    <xf numFmtId="0" fontId="23" fillId="5" borderId="10" xfId="3" applyFont="1" applyFill="1" applyBorder="1" applyAlignment="1">
      <alignment horizontal="center" vertical="center" wrapText="1"/>
    </xf>
    <xf numFmtId="0" fontId="23" fillId="5" borderId="54" xfId="3" applyFont="1" applyFill="1" applyBorder="1" applyAlignment="1">
      <alignment horizontal="center" vertical="center" wrapText="1"/>
    </xf>
    <xf numFmtId="0" fontId="23" fillId="5" borderId="55" xfId="3" applyFont="1" applyFill="1" applyBorder="1" applyAlignment="1">
      <alignment horizontal="center" vertical="center" wrapText="1"/>
    </xf>
    <xf numFmtId="0" fontId="23" fillId="5" borderId="53" xfId="3" applyFont="1" applyFill="1" applyBorder="1" applyAlignment="1">
      <alignment horizontal="center" vertical="center" wrapText="1"/>
    </xf>
    <xf numFmtId="0" fontId="175" fillId="5" borderId="70" xfId="3" applyFont="1" applyFill="1" applyBorder="1" applyAlignment="1">
      <alignment horizontal="center" vertical="center" wrapText="1"/>
    </xf>
    <xf numFmtId="0" fontId="175" fillId="5" borderId="6" xfId="3" applyFont="1" applyFill="1" applyBorder="1" applyAlignment="1">
      <alignment horizontal="center" vertical="center" wrapText="1"/>
    </xf>
    <xf numFmtId="3" fontId="20" fillId="4" borderId="5" xfId="3" applyNumberFormat="1" applyFont="1" applyFill="1" applyBorder="1" applyAlignment="1">
      <alignment horizontal="left" vertical="top" wrapText="1"/>
    </xf>
    <xf numFmtId="3" fontId="174" fillId="4" borderId="5" xfId="3" applyNumberFormat="1" applyFont="1" applyFill="1" applyBorder="1" applyAlignment="1">
      <alignment horizontal="center" vertical="top"/>
    </xf>
    <xf numFmtId="0" fontId="175" fillId="5" borderId="71" xfId="3" applyFont="1" applyFill="1" applyBorder="1" applyAlignment="1">
      <alignment horizontal="center" vertical="center" wrapText="1"/>
    </xf>
    <xf numFmtId="0" fontId="175" fillId="5" borderId="9" xfId="3" applyFont="1" applyFill="1" applyBorder="1" applyAlignment="1">
      <alignment horizontal="center" vertical="center" wrapText="1"/>
    </xf>
    <xf numFmtId="0" fontId="175" fillId="5" borderId="72" xfId="3" applyFont="1" applyFill="1" applyBorder="1" applyAlignment="1">
      <alignment horizontal="center" vertical="center" wrapText="1"/>
    </xf>
    <xf numFmtId="0" fontId="175" fillId="5" borderId="10" xfId="3" applyFont="1" applyFill="1" applyBorder="1" applyAlignment="1">
      <alignment horizontal="center" vertical="center" wrapText="1"/>
    </xf>
    <xf numFmtId="0" fontId="23" fillId="85" borderId="72" xfId="3" applyFont="1" applyFill="1" applyBorder="1" applyAlignment="1">
      <alignment horizontal="center" vertical="center" wrapText="1"/>
    </xf>
    <xf numFmtId="0" fontId="23" fillId="85" borderId="5" xfId="3" applyFont="1" applyFill="1" applyBorder="1" applyAlignment="1">
      <alignment horizontal="center" vertical="center" wrapText="1"/>
    </xf>
    <xf numFmtId="0" fontId="23" fillId="5" borderId="72" xfId="3" applyFont="1" applyFill="1" applyBorder="1" applyAlignment="1">
      <alignment horizontal="left" vertical="center" wrapText="1"/>
    </xf>
    <xf numFmtId="0" fontId="23" fillId="5" borderId="5" xfId="3" applyFont="1" applyFill="1" applyBorder="1" applyAlignment="1">
      <alignment horizontal="left" vertical="center" wrapText="1"/>
    </xf>
    <xf numFmtId="0" fontId="23" fillId="5" borderId="73" xfId="3" applyFont="1" applyFill="1" applyBorder="1" applyAlignment="1">
      <alignment horizontal="center" vertical="center" wrapText="1"/>
    </xf>
    <xf numFmtId="0" fontId="23" fillId="5" borderId="74" xfId="3" applyFont="1" applyFill="1" applyBorder="1" applyAlignment="1">
      <alignment horizontal="center" vertical="center" wrapText="1"/>
    </xf>
    <xf numFmtId="0" fontId="23" fillId="5" borderId="75" xfId="3" applyFont="1" applyFill="1" applyBorder="1" applyAlignment="1">
      <alignment horizontal="center" vertical="center" wrapText="1"/>
    </xf>
    <xf numFmtId="0" fontId="23" fillId="5" borderId="76" xfId="3" applyFont="1" applyFill="1" applyBorder="1" applyAlignment="1">
      <alignment horizontal="center" vertical="center" wrapText="1"/>
    </xf>
    <xf numFmtId="0" fontId="23" fillId="5" borderId="96" xfId="3" applyFont="1" applyFill="1" applyBorder="1" applyAlignment="1">
      <alignment horizontal="center" vertical="center" wrapText="1"/>
    </xf>
    <xf numFmtId="0" fontId="23" fillId="5" borderId="97" xfId="3" applyFont="1" applyFill="1" applyBorder="1" applyAlignment="1">
      <alignment horizontal="center" vertical="center" wrapText="1"/>
    </xf>
    <xf numFmtId="0" fontId="23" fillId="5" borderId="98" xfId="3" applyFont="1" applyFill="1" applyBorder="1" applyAlignment="1">
      <alignment horizontal="center" vertical="center" wrapText="1"/>
    </xf>
    <xf numFmtId="0" fontId="23" fillId="5" borderId="99" xfId="3" applyFont="1" applyFill="1" applyBorder="1" applyAlignment="1">
      <alignment horizontal="center" vertical="center" wrapText="1"/>
    </xf>
    <xf numFmtId="0" fontId="23" fillId="85" borderId="100" xfId="3" applyFont="1" applyFill="1" applyBorder="1" applyAlignment="1">
      <alignment horizontal="center" vertical="center" wrapText="1"/>
    </xf>
    <xf numFmtId="0" fontId="23" fillId="85" borderId="0" xfId="3" applyFont="1" applyFill="1" applyBorder="1" applyAlignment="1">
      <alignment horizontal="center" vertical="center" wrapText="1"/>
    </xf>
    <xf numFmtId="0" fontId="23" fillId="85" borderId="101" xfId="3" applyFont="1" applyFill="1" applyBorder="1" applyAlignment="1">
      <alignment horizontal="center" vertical="center" wrapText="1"/>
    </xf>
    <xf numFmtId="0" fontId="23" fillId="5" borderId="100" xfId="3" applyFont="1" applyFill="1" applyBorder="1" applyAlignment="1">
      <alignment horizontal="left" vertical="center" wrapText="1"/>
    </xf>
    <xf numFmtId="0" fontId="23" fillId="5" borderId="0" xfId="3" applyFont="1" applyFill="1" applyBorder="1" applyAlignment="1">
      <alignment horizontal="left" vertical="center" wrapText="1"/>
    </xf>
    <xf numFmtId="0" fontId="23" fillId="5" borderId="101" xfId="3" applyFont="1" applyFill="1" applyBorder="1" applyAlignment="1">
      <alignment horizontal="left" vertical="center" wrapText="1"/>
    </xf>
    <xf numFmtId="0" fontId="23" fillId="5" borderId="106" xfId="3" applyFont="1" applyFill="1" applyBorder="1" applyAlignment="1">
      <alignment horizontal="left" vertical="center" wrapText="1"/>
    </xf>
    <xf numFmtId="0" fontId="23" fillId="5" borderId="85" xfId="3" applyFont="1" applyFill="1" applyBorder="1" applyAlignment="1">
      <alignment horizontal="left" vertical="center" wrapText="1"/>
    </xf>
    <xf numFmtId="0" fontId="23" fillId="5" borderId="107" xfId="3" applyFont="1" applyFill="1" applyBorder="1" applyAlignment="1">
      <alignment horizontal="left" vertical="center" wrapText="1"/>
    </xf>
    <xf numFmtId="0" fontId="208" fillId="5" borderId="54" xfId="0" applyFont="1" applyFill="1" applyBorder="1" applyAlignment="1">
      <alignment horizontal="center" vertical="center" wrapText="1"/>
    </xf>
    <xf numFmtId="0" fontId="208" fillId="5" borderId="55" xfId="0" applyFont="1" applyFill="1" applyBorder="1" applyAlignment="1">
      <alignment horizontal="center" vertical="center" wrapText="1"/>
    </xf>
    <xf numFmtId="0" fontId="208" fillId="5" borderId="95" xfId="0" applyFont="1" applyFill="1" applyBorder="1" applyAlignment="1">
      <alignment horizontal="center" vertical="center" wrapText="1"/>
    </xf>
  </cellXfs>
  <cellStyles count="4671">
    <cellStyle name=" 1" xfId="32"/>
    <cellStyle name=" 1 10" xfId="33"/>
    <cellStyle name=" 1 10 2" xfId="34"/>
    <cellStyle name=" 1 10 3" xfId="35"/>
    <cellStyle name=" 1 10 4" xfId="36"/>
    <cellStyle name=" 1 10 5" xfId="37"/>
    <cellStyle name=" 1 10 6" xfId="38"/>
    <cellStyle name=" 1 10 7" xfId="39"/>
    <cellStyle name=" 1 10 8" xfId="40"/>
    <cellStyle name=" 1 11" xfId="41"/>
    <cellStyle name=" 1 11 2" xfId="42"/>
    <cellStyle name=" 1 11 3" xfId="43"/>
    <cellStyle name=" 1 11 4" xfId="44"/>
    <cellStyle name=" 1 11 5" xfId="45"/>
    <cellStyle name=" 1 11 6" xfId="46"/>
    <cellStyle name=" 1 11 7" xfId="47"/>
    <cellStyle name=" 1 11 8" xfId="48"/>
    <cellStyle name=" 1 12" xfId="49"/>
    <cellStyle name=" 1 12 2" xfId="50"/>
    <cellStyle name=" 1 12 3" xfId="51"/>
    <cellStyle name=" 1 12 4" xfId="52"/>
    <cellStyle name=" 1 12 5" xfId="53"/>
    <cellStyle name=" 1 12 6" xfId="54"/>
    <cellStyle name=" 1 12 7" xfId="55"/>
    <cellStyle name=" 1 12 8" xfId="56"/>
    <cellStyle name=" 1 13" xfId="57"/>
    <cellStyle name=" 1 13 2" xfId="58"/>
    <cellStyle name=" 1 13 3" xfId="59"/>
    <cellStyle name=" 1 13 4" xfId="60"/>
    <cellStyle name=" 1 13 5" xfId="61"/>
    <cellStyle name=" 1 13 6" xfId="62"/>
    <cellStyle name=" 1 13 7" xfId="63"/>
    <cellStyle name=" 1 13 8" xfId="64"/>
    <cellStyle name=" 1 14" xfId="65"/>
    <cellStyle name=" 1 14 2" xfId="66"/>
    <cellStyle name=" 1 14 3" xfId="67"/>
    <cellStyle name=" 1 14 4" xfId="68"/>
    <cellStyle name=" 1 14 5" xfId="69"/>
    <cellStyle name=" 1 14 6" xfId="70"/>
    <cellStyle name=" 1 14 7" xfId="71"/>
    <cellStyle name=" 1 14 8" xfId="72"/>
    <cellStyle name=" 1 15" xfId="73"/>
    <cellStyle name=" 1 15 2" xfId="74"/>
    <cellStyle name=" 1 15 3" xfId="75"/>
    <cellStyle name=" 1 15 4" xfId="76"/>
    <cellStyle name=" 1 15 5" xfId="77"/>
    <cellStyle name=" 1 15 6" xfId="78"/>
    <cellStyle name=" 1 15 7" xfId="79"/>
    <cellStyle name=" 1 15 8" xfId="80"/>
    <cellStyle name=" 1 16" xfId="81"/>
    <cellStyle name=" 1 16 2" xfId="82"/>
    <cellStyle name=" 1 16 3" xfId="83"/>
    <cellStyle name=" 1 16 4" xfId="84"/>
    <cellStyle name=" 1 16 5" xfId="85"/>
    <cellStyle name=" 1 16 6" xfId="86"/>
    <cellStyle name=" 1 16 7" xfId="87"/>
    <cellStyle name=" 1 16 8" xfId="88"/>
    <cellStyle name=" 1 17" xfId="89"/>
    <cellStyle name=" 1 17 2" xfId="90"/>
    <cellStyle name=" 1 17 3" xfId="91"/>
    <cellStyle name=" 1 17 4" xfId="92"/>
    <cellStyle name=" 1 17 5" xfId="93"/>
    <cellStyle name=" 1 17 6" xfId="94"/>
    <cellStyle name=" 1 17 7" xfId="95"/>
    <cellStyle name=" 1 17 8" xfId="96"/>
    <cellStyle name=" 1 18" xfId="97"/>
    <cellStyle name=" 1 18 2" xfId="98"/>
    <cellStyle name=" 1 18 3" xfId="99"/>
    <cellStyle name=" 1 18 4" xfId="100"/>
    <cellStyle name=" 1 18 5" xfId="101"/>
    <cellStyle name=" 1 18 6" xfId="102"/>
    <cellStyle name=" 1 18 7" xfId="103"/>
    <cellStyle name=" 1 18 8" xfId="104"/>
    <cellStyle name=" 1 19" xfId="105"/>
    <cellStyle name=" 1 19 2" xfId="106"/>
    <cellStyle name=" 1 19 3" xfId="107"/>
    <cellStyle name=" 1 19 4" xfId="108"/>
    <cellStyle name=" 1 19 5" xfId="109"/>
    <cellStyle name=" 1 19 6" xfId="110"/>
    <cellStyle name=" 1 19 7" xfId="111"/>
    <cellStyle name=" 1 19 8" xfId="112"/>
    <cellStyle name=" 1 2" xfId="113"/>
    <cellStyle name=" 1 2 10" xfId="114"/>
    <cellStyle name=" 1 2 11" xfId="115"/>
    <cellStyle name=" 1 2 12" xfId="116"/>
    <cellStyle name=" 1 2 2" xfId="117"/>
    <cellStyle name=" 1 2 2 2" xfId="118"/>
    <cellStyle name=" 1 2 2 3" xfId="119"/>
    <cellStyle name=" 1 2 2 4" xfId="120"/>
    <cellStyle name=" 1 2 2 5" xfId="121"/>
    <cellStyle name=" 1 2 2 6" xfId="122"/>
    <cellStyle name=" 1 2 3" xfId="123"/>
    <cellStyle name=" 1 2 3 2" xfId="124"/>
    <cellStyle name=" 1 2 3 3" xfId="125"/>
    <cellStyle name=" 1 2 3 4" xfId="126"/>
    <cellStyle name=" 1 2 3 5" xfId="127"/>
    <cellStyle name=" 1 2 3 6" xfId="128"/>
    <cellStyle name=" 1 2 4" xfId="129"/>
    <cellStyle name=" 1 2 4 2" xfId="130"/>
    <cellStyle name=" 1 2 4 3" xfId="131"/>
    <cellStyle name=" 1 2 4 4" xfId="132"/>
    <cellStyle name=" 1 2 4 5" xfId="133"/>
    <cellStyle name=" 1 2 4 6" xfId="134"/>
    <cellStyle name=" 1 2 5" xfId="135"/>
    <cellStyle name=" 1 2 5 2" xfId="136"/>
    <cellStyle name=" 1 2 5 3" xfId="137"/>
    <cellStyle name=" 1 2 5 4" xfId="138"/>
    <cellStyle name=" 1 2 5 5" xfId="139"/>
    <cellStyle name=" 1 2 5 6" xfId="140"/>
    <cellStyle name=" 1 2 6" xfId="141"/>
    <cellStyle name=" 1 2 6 2" xfId="142"/>
    <cellStyle name=" 1 2 6 3" xfId="143"/>
    <cellStyle name=" 1 2 6 4" xfId="144"/>
    <cellStyle name=" 1 2 6 5" xfId="145"/>
    <cellStyle name=" 1 2 7" xfId="146"/>
    <cellStyle name=" 1 2 8" xfId="147"/>
    <cellStyle name=" 1 2 9" xfId="148"/>
    <cellStyle name=" 1 20" xfId="149"/>
    <cellStyle name=" 1 20 2" xfId="150"/>
    <cellStyle name=" 1 20 3" xfId="151"/>
    <cellStyle name=" 1 20 4" xfId="152"/>
    <cellStyle name=" 1 20 5" xfId="153"/>
    <cellStyle name=" 1 20 6" xfId="154"/>
    <cellStyle name=" 1 20 7" xfId="155"/>
    <cellStyle name=" 1 20 8" xfId="156"/>
    <cellStyle name=" 1 21" xfId="157"/>
    <cellStyle name=" 1 21 2" xfId="158"/>
    <cellStyle name=" 1 21 3" xfId="159"/>
    <cellStyle name=" 1 21 4" xfId="160"/>
    <cellStyle name=" 1 21 5" xfId="161"/>
    <cellStyle name=" 1 21 6" xfId="162"/>
    <cellStyle name=" 1 21 7" xfId="163"/>
    <cellStyle name=" 1 21 8" xfId="164"/>
    <cellStyle name=" 1 22" xfId="165"/>
    <cellStyle name=" 1 22 2" xfId="166"/>
    <cellStyle name=" 1 22 3" xfId="167"/>
    <cellStyle name=" 1 22 4" xfId="168"/>
    <cellStyle name=" 1 22 5" xfId="169"/>
    <cellStyle name=" 1 22 6" xfId="170"/>
    <cellStyle name=" 1 22 7" xfId="171"/>
    <cellStyle name=" 1 22 8" xfId="172"/>
    <cellStyle name=" 1 23" xfId="173"/>
    <cellStyle name=" 1 23 2" xfId="174"/>
    <cellStyle name=" 1 23 3" xfId="175"/>
    <cellStyle name=" 1 23 4" xfId="176"/>
    <cellStyle name=" 1 23 5" xfId="177"/>
    <cellStyle name=" 1 23 6" xfId="178"/>
    <cellStyle name=" 1 23 7" xfId="179"/>
    <cellStyle name=" 1 23 8" xfId="180"/>
    <cellStyle name=" 1 24" xfId="181"/>
    <cellStyle name=" 1 24 2" xfId="182"/>
    <cellStyle name=" 1 24 3" xfId="183"/>
    <cellStyle name=" 1 24 4" xfId="184"/>
    <cellStyle name=" 1 24 5" xfId="185"/>
    <cellStyle name=" 1 25" xfId="186"/>
    <cellStyle name=" 1 25 2" xfId="187"/>
    <cellStyle name=" 1 25 3" xfId="188"/>
    <cellStyle name=" 1 25 4" xfId="189"/>
    <cellStyle name=" 1 25 5" xfId="190"/>
    <cellStyle name=" 1 3" xfId="191"/>
    <cellStyle name=" 1 3 10" xfId="192"/>
    <cellStyle name=" 1 3 11" xfId="193"/>
    <cellStyle name=" 1 3 2" xfId="194"/>
    <cellStyle name=" 1 3 2 2" xfId="195"/>
    <cellStyle name=" 1 3 2 3" xfId="196"/>
    <cellStyle name=" 1 3 2 4" xfId="197"/>
    <cellStyle name=" 1 3 2 5" xfId="198"/>
    <cellStyle name=" 1 3 2 6" xfId="199"/>
    <cellStyle name=" 1 3 3" xfId="200"/>
    <cellStyle name=" 1 3 3 2" xfId="201"/>
    <cellStyle name=" 1 3 3 3" xfId="202"/>
    <cellStyle name=" 1 3 3 4" xfId="203"/>
    <cellStyle name=" 1 3 3 5" xfId="204"/>
    <cellStyle name=" 1 3 3 6" xfId="205"/>
    <cellStyle name=" 1 3 4" xfId="206"/>
    <cellStyle name=" 1 3 4 2" xfId="207"/>
    <cellStyle name=" 1 3 4 3" xfId="208"/>
    <cellStyle name=" 1 3 4 4" xfId="209"/>
    <cellStyle name=" 1 3 4 5" xfId="210"/>
    <cellStyle name=" 1 3 4 6" xfId="211"/>
    <cellStyle name=" 1 3 5" xfId="212"/>
    <cellStyle name=" 1 3 5 2" xfId="213"/>
    <cellStyle name=" 1 3 5 3" xfId="214"/>
    <cellStyle name=" 1 3 5 4" xfId="215"/>
    <cellStyle name=" 1 3 5 5" xfId="216"/>
    <cellStyle name=" 1 3 5 6" xfId="217"/>
    <cellStyle name=" 1 3 6" xfId="218"/>
    <cellStyle name=" 1 3 7" xfId="219"/>
    <cellStyle name=" 1 3 8" xfId="220"/>
    <cellStyle name=" 1 3 9" xfId="221"/>
    <cellStyle name=" 1 4" xfId="222"/>
    <cellStyle name=" 1 4 2" xfId="223"/>
    <cellStyle name=" 1 4 3" xfId="224"/>
    <cellStyle name=" 1 4 4" xfId="225"/>
    <cellStyle name=" 1 4 5" xfId="226"/>
    <cellStyle name=" 1 4 6" xfId="227"/>
    <cellStyle name=" 1 4 7" xfId="228"/>
    <cellStyle name=" 1 4 8" xfId="229"/>
    <cellStyle name=" 1 5" xfId="230"/>
    <cellStyle name=" 1 5 2" xfId="231"/>
    <cellStyle name=" 1 5 3" xfId="232"/>
    <cellStyle name=" 1 5 4" xfId="233"/>
    <cellStyle name=" 1 5 5" xfId="234"/>
    <cellStyle name=" 1 5 6" xfId="235"/>
    <cellStyle name=" 1 5 7" xfId="236"/>
    <cellStyle name=" 1 5 8" xfId="237"/>
    <cellStyle name=" 1 6" xfId="238"/>
    <cellStyle name=" 1 6 2" xfId="239"/>
    <cellStyle name=" 1 6 3" xfId="240"/>
    <cellStyle name=" 1 6 4" xfId="241"/>
    <cellStyle name=" 1 6 5" xfId="242"/>
    <cellStyle name=" 1 6 6" xfId="243"/>
    <cellStyle name=" 1 6 7" xfId="244"/>
    <cellStyle name=" 1 6 8" xfId="245"/>
    <cellStyle name=" 1 7" xfId="246"/>
    <cellStyle name=" 1 7 2" xfId="247"/>
    <cellStyle name=" 1 7 3" xfId="248"/>
    <cellStyle name=" 1 7 4" xfId="249"/>
    <cellStyle name=" 1 7 5" xfId="250"/>
    <cellStyle name=" 1 7 6" xfId="251"/>
    <cellStyle name=" 1 7 7" xfId="252"/>
    <cellStyle name=" 1 7 8" xfId="253"/>
    <cellStyle name=" 1 8" xfId="254"/>
    <cellStyle name=" 1 8 2" xfId="255"/>
    <cellStyle name=" 1 8 3" xfId="256"/>
    <cellStyle name=" 1 8 4" xfId="257"/>
    <cellStyle name=" 1 8 5" xfId="258"/>
    <cellStyle name=" 1 8 6" xfId="259"/>
    <cellStyle name=" 1 8 7" xfId="260"/>
    <cellStyle name=" 1 8 8" xfId="261"/>
    <cellStyle name=" 1 9" xfId="262"/>
    <cellStyle name=" 1 9 2" xfId="263"/>
    <cellStyle name=" 1 9 3" xfId="264"/>
    <cellStyle name=" 1 9 4" xfId="265"/>
    <cellStyle name=" 1 9 5" xfId="266"/>
    <cellStyle name=" 1 9 6" xfId="267"/>
    <cellStyle name=" 1 9 7" xfId="268"/>
    <cellStyle name=" 1 9 8" xfId="269"/>
    <cellStyle name=" 2" xfId="270"/>
    <cellStyle name=" 3" xfId="271"/>
    <cellStyle name="$" xfId="272"/>
    <cellStyle name="$ BOX" xfId="273"/>
    <cellStyle name="$_DCF Shell 2" xfId="274"/>
    <cellStyle name="$_DCF Shell 2_Draft RIIO plan presentation template - Customer Opsx Centre V7" xfId="275"/>
    <cellStyle name="$_DCF Shell 2_Spreadsheet to populate plan slides 120810" xfId="276"/>
    <cellStyle name="$_DCF Shell 2_SS templates" xfId="277"/>
    <cellStyle name="$_DCF Shell 2_Total summary" xfId="278"/>
    <cellStyle name="$_Marathon SOP Backup_v10" xfId="279"/>
    <cellStyle name="$_Model_Sep_2_02" xfId="280"/>
    <cellStyle name="$_Pipeline Model v1 (09_09_02) v3" xfId="281"/>
    <cellStyle name="$_Pipeline Model v1 (09_09_02) v3_Draft RIIO plan presentation template - Customer Opsx Centre V7" xfId="282"/>
    <cellStyle name="$_Pipeline Model v1 (09_09_02) v3_Spreadsheet to populate plan slides 120810" xfId="283"/>
    <cellStyle name="$_Pipeline Model v1 (09_09_02) v3_SS templates" xfId="284"/>
    <cellStyle name="$_Pipeline Model v1 (09_09_02) v3_Total summary" xfId="285"/>
    <cellStyle name="$1000s (0)" xfId="286"/>
    <cellStyle name="$m" xfId="287"/>
    <cellStyle name="$q" xfId="288"/>
    <cellStyle name="$q*" xfId="289"/>
    <cellStyle name="$qA" xfId="290"/>
    <cellStyle name="$qRange" xfId="291"/>
    <cellStyle name="%" xfId="292"/>
    <cellStyle name="% 10" xfId="293"/>
    <cellStyle name="% 10 2" xfId="294"/>
    <cellStyle name="% 10 2 2" xfId="295"/>
    <cellStyle name="% 100" xfId="296"/>
    <cellStyle name="% 101" xfId="297"/>
    <cellStyle name="% 102" xfId="298"/>
    <cellStyle name="% 103" xfId="299"/>
    <cellStyle name="% 104" xfId="300"/>
    <cellStyle name="% 105" xfId="301"/>
    <cellStyle name="% 106" xfId="302"/>
    <cellStyle name="% 107" xfId="303"/>
    <cellStyle name="% 108" xfId="304"/>
    <cellStyle name="% 109" xfId="305"/>
    <cellStyle name="% 11" xfId="306"/>
    <cellStyle name="% 110" xfId="307"/>
    <cellStyle name="% 111" xfId="308"/>
    <cellStyle name="% 112" xfId="309"/>
    <cellStyle name="% 113" xfId="310"/>
    <cellStyle name="% 12" xfId="311"/>
    <cellStyle name="% 13" xfId="312"/>
    <cellStyle name="% 14" xfId="313"/>
    <cellStyle name="% 15" xfId="314"/>
    <cellStyle name="% 16" xfId="315"/>
    <cellStyle name="% 17" xfId="316"/>
    <cellStyle name="% 18" xfId="317"/>
    <cellStyle name="% 19" xfId="318"/>
    <cellStyle name="% 2" xfId="319"/>
    <cellStyle name="% 2 10" xfId="320"/>
    <cellStyle name="% 2 11" xfId="321"/>
    <cellStyle name="% 2 12" xfId="322"/>
    <cellStyle name="% 2 13" xfId="323"/>
    <cellStyle name="% 2 14" xfId="324"/>
    <cellStyle name="% 2 15" xfId="325"/>
    <cellStyle name="% 2 16" xfId="326"/>
    <cellStyle name="% 2 17" xfId="327"/>
    <cellStyle name="% 2 18" xfId="328"/>
    <cellStyle name="% 2 19" xfId="329"/>
    <cellStyle name="% 2 2" xfId="330"/>
    <cellStyle name="% 2 2 2" xfId="331"/>
    <cellStyle name="% 2 2 2 2" xfId="332"/>
    <cellStyle name="% 2 2 2 3" xfId="333"/>
    <cellStyle name="% 2 2 2 4" xfId="334"/>
    <cellStyle name="% 2 2 2 5" xfId="335"/>
    <cellStyle name="% 2 2 2 6" xfId="336"/>
    <cellStyle name="% 2 2 2 7" xfId="337"/>
    <cellStyle name="% 2 2 2 8" xfId="338"/>
    <cellStyle name="% 2 2 3" xfId="339"/>
    <cellStyle name="% 2 2 3 2" xfId="340"/>
    <cellStyle name="% 2 2 3 3" xfId="341"/>
    <cellStyle name="% 2 2 4" xfId="342"/>
    <cellStyle name="% 2 2 4 2" xfId="343"/>
    <cellStyle name="% 2 2 4 3" xfId="344"/>
    <cellStyle name="% 2 2 4 4" xfId="345"/>
    <cellStyle name="% 2 2_3.1.2 DB Pension Detail" xfId="346"/>
    <cellStyle name="% 2 20" xfId="347"/>
    <cellStyle name="% 2 21" xfId="348"/>
    <cellStyle name="% 2 22" xfId="349"/>
    <cellStyle name="% 2 23" xfId="350"/>
    <cellStyle name="% 2 24" xfId="351"/>
    <cellStyle name="% 2 25" xfId="352"/>
    <cellStyle name="% 2 26" xfId="353"/>
    <cellStyle name="% 2 27" xfId="354"/>
    <cellStyle name="% 2 28" xfId="355"/>
    <cellStyle name="% 2 29" xfId="356"/>
    <cellStyle name="% 2 3" xfId="357"/>
    <cellStyle name="% 2 30" xfId="358"/>
    <cellStyle name="% 2 31" xfId="359"/>
    <cellStyle name="% 2 32" xfId="360"/>
    <cellStyle name="% 2 33" xfId="361"/>
    <cellStyle name="% 2 34" xfId="362"/>
    <cellStyle name="% 2 35" xfId="363"/>
    <cellStyle name="% 2 36" xfId="364"/>
    <cellStyle name="% 2 37" xfId="365"/>
    <cellStyle name="% 2 38" xfId="366"/>
    <cellStyle name="% 2 39" xfId="367"/>
    <cellStyle name="% 2 4" xfId="368"/>
    <cellStyle name="% 2 40" xfId="369"/>
    <cellStyle name="% 2 41" xfId="370"/>
    <cellStyle name="% 2 42" xfId="371"/>
    <cellStyle name="% 2 43" xfId="372"/>
    <cellStyle name="% 2 44" xfId="373"/>
    <cellStyle name="% 2 45" xfId="374"/>
    <cellStyle name="% 2 46" xfId="375"/>
    <cellStyle name="% 2 47" xfId="376"/>
    <cellStyle name="% 2 5" xfId="377"/>
    <cellStyle name="% 2 6" xfId="378"/>
    <cellStyle name="% 2 7" xfId="379"/>
    <cellStyle name="% 2 8" xfId="380"/>
    <cellStyle name="% 2 9" xfId="381"/>
    <cellStyle name="% 2_1.3s Accounting C Costs Scots" xfId="382"/>
    <cellStyle name="% 20" xfId="383"/>
    <cellStyle name="% 21" xfId="384"/>
    <cellStyle name="% 22" xfId="385"/>
    <cellStyle name="% 23" xfId="386"/>
    <cellStyle name="% 24" xfId="387"/>
    <cellStyle name="% 25" xfId="388"/>
    <cellStyle name="% 26" xfId="389"/>
    <cellStyle name="% 27" xfId="390"/>
    <cellStyle name="% 28" xfId="391"/>
    <cellStyle name="% 29" xfId="392"/>
    <cellStyle name="% 3" xfId="393"/>
    <cellStyle name="% 3 10" xfId="394"/>
    <cellStyle name="% 3 11" xfId="395"/>
    <cellStyle name="% 3 12" xfId="396"/>
    <cellStyle name="% 3 13" xfId="397"/>
    <cellStyle name="% 3 14" xfId="398"/>
    <cellStyle name="% 3 15" xfId="399"/>
    <cellStyle name="% 3 16" xfId="400"/>
    <cellStyle name="% 3 17" xfId="401"/>
    <cellStyle name="% 3 18" xfId="402"/>
    <cellStyle name="% 3 19" xfId="403"/>
    <cellStyle name="% 3 2" xfId="404"/>
    <cellStyle name="% 3 2 10" xfId="405"/>
    <cellStyle name="% 3 2 11" xfId="406"/>
    <cellStyle name="% 3 2 12" xfId="407"/>
    <cellStyle name="% 3 2 13" xfId="408"/>
    <cellStyle name="% 3 2 14" xfId="409"/>
    <cellStyle name="% 3 2 15" xfId="410"/>
    <cellStyle name="% 3 2 16" xfId="411"/>
    <cellStyle name="% 3 2 17" xfId="412"/>
    <cellStyle name="% 3 2 18" xfId="413"/>
    <cellStyle name="% 3 2 19" xfId="414"/>
    <cellStyle name="% 3 2 2" xfId="415"/>
    <cellStyle name="% 3 2 2 10" xfId="416"/>
    <cellStyle name="% 3 2 2 11" xfId="417"/>
    <cellStyle name="% 3 2 2 12" xfId="418"/>
    <cellStyle name="% 3 2 2 13" xfId="419"/>
    <cellStyle name="% 3 2 2 14" xfId="420"/>
    <cellStyle name="% 3 2 2 15" xfId="421"/>
    <cellStyle name="% 3 2 2 16" xfId="422"/>
    <cellStyle name="% 3 2 2 17" xfId="423"/>
    <cellStyle name="% 3 2 2 2" xfId="424"/>
    <cellStyle name="% 3 2 2 3" xfId="425"/>
    <cellStyle name="% 3 2 2 4" xfId="426"/>
    <cellStyle name="% 3 2 2 5" xfId="427"/>
    <cellStyle name="% 3 2 2 6" xfId="428"/>
    <cellStyle name="% 3 2 2 7" xfId="429"/>
    <cellStyle name="% 3 2 2 8" xfId="430"/>
    <cellStyle name="% 3 2 2 9" xfId="431"/>
    <cellStyle name="% 3 2 20" xfId="432"/>
    <cellStyle name="% 3 2 21" xfId="433"/>
    <cellStyle name="% 3 2 22" xfId="434"/>
    <cellStyle name="% 3 2 23" xfId="435"/>
    <cellStyle name="% 3 2 24" xfId="436"/>
    <cellStyle name="% 3 2 25" xfId="437"/>
    <cellStyle name="% 3 2 26" xfId="438"/>
    <cellStyle name="% 3 2 27" xfId="439"/>
    <cellStyle name="% 3 2 28" xfId="440"/>
    <cellStyle name="% 3 2 29" xfId="441"/>
    <cellStyle name="% 3 2 3" xfId="442"/>
    <cellStyle name="% 3 2 30" xfId="443"/>
    <cellStyle name="% 3 2 31" xfId="444"/>
    <cellStyle name="% 3 2 32" xfId="445"/>
    <cellStyle name="% 3 2 33" xfId="446"/>
    <cellStyle name="% 3 2 34" xfId="447"/>
    <cellStyle name="% 3 2 35" xfId="448"/>
    <cellStyle name="% 3 2 36" xfId="449"/>
    <cellStyle name="% 3 2 37" xfId="450"/>
    <cellStyle name="% 3 2 38" xfId="451"/>
    <cellStyle name="% 3 2 39" xfId="452"/>
    <cellStyle name="% 3 2 4" xfId="453"/>
    <cellStyle name="% 3 2 40" xfId="454"/>
    <cellStyle name="% 3 2 41" xfId="455"/>
    <cellStyle name="% 3 2 42" xfId="456"/>
    <cellStyle name="% 3 2 43" xfId="457"/>
    <cellStyle name="% 3 2 44" xfId="458"/>
    <cellStyle name="% 3 2 45" xfId="459"/>
    <cellStyle name="% 3 2 46" xfId="460"/>
    <cellStyle name="% 3 2 47" xfId="461"/>
    <cellStyle name="% 3 2 48" xfId="462"/>
    <cellStyle name="% 3 2 49" xfId="463"/>
    <cellStyle name="% 3 2 5" xfId="464"/>
    <cellStyle name="% 3 2 50" xfId="465"/>
    <cellStyle name="% 3 2 51" xfId="466"/>
    <cellStyle name="% 3 2 52" xfId="467"/>
    <cellStyle name="% 3 2 53" xfId="468"/>
    <cellStyle name="% 3 2 54" xfId="469"/>
    <cellStyle name="% 3 2 55" xfId="470"/>
    <cellStyle name="% 3 2 56" xfId="471"/>
    <cellStyle name="% 3 2 57" xfId="472"/>
    <cellStyle name="% 3 2 58" xfId="473"/>
    <cellStyle name="% 3 2 59" xfId="474"/>
    <cellStyle name="% 3 2 6" xfId="475"/>
    <cellStyle name="% 3 2 60" xfId="476"/>
    <cellStyle name="% 3 2 61" xfId="477"/>
    <cellStyle name="% 3 2 62" xfId="478"/>
    <cellStyle name="% 3 2 63" xfId="479"/>
    <cellStyle name="% 3 2 64" xfId="480"/>
    <cellStyle name="% 3 2 65" xfId="481"/>
    <cellStyle name="% 3 2 66" xfId="482"/>
    <cellStyle name="% 3 2 67" xfId="483"/>
    <cellStyle name="% 3 2 68" xfId="484"/>
    <cellStyle name="% 3 2 69" xfId="485"/>
    <cellStyle name="% 3 2 7" xfId="486"/>
    <cellStyle name="% 3 2 70" xfId="487"/>
    <cellStyle name="% 3 2 71" xfId="488"/>
    <cellStyle name="% 3 2 72" xfId="489"/>
    <cellStyle name="% 3 2 73" xfId="490"/>
    <cellStyle name="% 3 2 74" xfId="491"/>
    <cellStyle name="% 3 2 75" xfId="492"/>
    <cellStyle name="% 3 2 76" xfId="493"/>
    <cellStyle name="% 3 2 77" xfId="494"/>
    <cellStyle name="% 3 2 78" xfId="495"/>
    <cellStyle name="% 3 2 8" xfId="496"/>
    <cellStyle name="% 3 2 9" xfId="497"/>
    <cellStyle name="% 3 20" xfId="498"/>
    <cellStyle name="% 3 21" xfId="499"/>
    <cellStyle name="% 3 22" xfId="500"/>
    <cellStyle name="% 3 23" xfId="501"/>
    <cellStyle name="% 3 24" xfId="502"/>
    <cellStyle name="% 3 25" xfId="503"/>
    <cellStyle name="% 3 26" xfId="504"/>
    <cellStyle name="% 3 27" xfId="505"/>
    <cellStyle name="% 3 28" xfId="506"/>
    <cellStyle name="% 3 29" xfId="507"/>
    <cellStyle name="% 3 3" xfId="508"/>
    <cellStyle name="% 3 3 10" xfId="509"/>
    <cellStyle name="% 3 3 11" xfId="510"/>
    <cellStyle name="% 3 3 12" xfId="511"/>
    <cellStyle name="% 3 3 13" xfId="512"/>
    <cellStyle name="% 3 3 14" xfId="513"/>
    <cellStyle name="% 3 3 15" xfId="514"/>
    <cellStyle name="% 3 3 16" xfId="515"/>
    <cellStyle name="% 3 3 17" xfId="516"/>
    <cellStyle name="% 3 3 2" xfId="517"/>
    <cellStyle name="% 3 3 3" xfId="518"/>
    <cellStyle name="% 3 3 4" xfId="519"/>
    <cellStyle name="% 3 3 5" xfId="520"/>
    <cellStyle name="% 3 3 6" xfId="521"/>
    <cellStyle name="% 3 3 7" xfId="522"/>
    <cellStyle name="% 3 3 8" xfId="523"/>
    <cellStyle name="% 3 3 9" xfId="524"/>
    <cellStyle name="% 3 30" xfId="525"/>
    <cellStyle name="% 3 31" xfId="526"/>
    <cellStyle name="% 3 32" xfId="527"/>
    <cellStyle name="% 3 33" xfId="528"/>
    <cellStyle name="% 3 34" xfId="529"/>
    <cellStyle name="% 3 35" xfId="530"/>
    <cellStyle name="% 3 36" xfId="531"/>
    <cellStyle name="% 3 37" xfId="532"/>
    <cellStyle name="% 3 38" xfId="533"/>
    <cellStyle name="% 3 39" xfId="534"/>
    <cellStyle name="% 3 4" xfId="535"/>
    <cellStyle name="% 3 4 10" xfId="536"/>
    <cellStyle name="% 3 4 11" xfId="537"/>
    <cellStyle name="% 3 4 12" xfId="538"/>
    <cellStyle name="% 3 4 13" xfId="539"/>
    <cellStyle name="% 3 4 14" xfId="540"/>
    <cellStyle name="% 3 4 15" xfId="541"/>
    <cellStyle name="% 3 4 16" xfId="542"/>
    <cellStyle name="% 3 4 17" xfId="543"/>
    <cellStyle name="% 3 4 2" xfId="544"/>
    <cellStyle name="% 3 4 3" xfId="545"/>
    <cellStyle name="% 3 4 4" xfId="546"/>
    <cellStyle name="% 3 4 5" xfId="547"/>
    <cellStyle name="% 3 4 6" xfId="548"/>
    <cellStyle name="% 3 4 7" xfId="549"/>
    <cellStyle name="% 3 4 8" xfId="550"/>
    <cellStyle name="% 3 4 9" xfId="551"/>
    <cellStyle name="% 3 40" xfId="552"/>
    <cellStyle name="% 3 41" xfId="553"/>
    <cellStyle name="% 3 42" xfId="554"/>
    <cellStyle name="% 3 43" xfId="555"/>
    <cellStyle name="% 3 44" xfId="556"/>
    <cellStyle name="% 3 45" xfId="557"/>
    <cellStyle name="% 3 46" xfId="558"/>
    <cellStyle name="% 3 47" xfId="559"/>
    <cellStyle name="% 3 48" xfId="560"/>
    <cellStyle name="% 3 49" xfId="561"/>
    <cellStyle name="% 3 5" xfId="562"/>
    <cellStyle name="% 3 50" xfId="563"/>
    <cellStyle name="% 3 51" xfId="564"/>
    <cellStyle name="% 3 52" xfId="565"/>
    <cellStyle name="% 3 53" xfId="566"/>
    <cellStyle name="% 3 54" xfId="567"/>
    <cellStyle name="% 3 55" xfId="568"/>
    <cellStyle name="% 3 56" xfId="569"/>
    <cellStyle name="% 3 57" xfId="570"/>
    <cellStyle name="% 3 58" xfId="571"/>
    <cellStyle name="% 3 59" xfId="572"/>
    <cellStyle name="% 3 6" xfId="573"/>
    <cellStyle name="% 3 60" xfId="574"/>
    <cellStyle name="% 3 61" xfId="575"/>
    <cellStyle name="% 3 62" xfId="576"/>
    <cellStyle name="% 3 63" xfId="577"/>
    <cellStyle name="% 3 64" xfId="578"/>
    <cellStyle name="% 3 65" xfId="579"/>
    <cellStyle name="% 3 66" xfId="580"/>
    <cellStyle name="% 3 67" xfId="581"/>
    <cellStyle name="% 3 68" xfId="582"/>
    <cellStyle name="% 3 69" xfId="583"/>
    <cellStyle name="% 3 7" xfId="584"/>
    <cellStyle name="% 3 70" xfId="585"/>
    <cellStyle name="% 3 71" xfId="586"/>
    <cellStyle name="% 3 72" xfId="587"/>
    <cellStyle name="% 3 73" xfId="588"/>
    <cellStyle name="% 3 74" xfId="589"/>
    <cellStyle name="% 3 75" xfId="590"/>
    <cellStyle name="% 3 76" xfId="591"/>
    <cellStyle name="% 3 77" xfId="592"/>
    <cellStyle name="% 3 78" xfId="593"/>
    <cellStyle name="% 3 8" xfId="594"/>
    <cellStyle name="% 3 9" xfId="595"/>
    <cellStyle name="% 30" xfId="596"/>
    <cellStyle name="% 31" xfId="597"/>
    <cellStyle name="% 32" xfId="598"/>
    <cellStyle name="% 33" xfId="599"/>
    <cellStyle name="% 34" xfId="600"/>
    <cellStyle name="% 35" xfId="601"/>
    <cellStyle name="% 36" xfId="602"/>
    <cellStyle name="% 37" xfId="603"/>
    <cellStyle name="% 38" xfId="604"/>
    <cellStyle name="% 39" xfId="605"/>
    <cellStyle name="% 4" xfId="606"/>
    <cellStyle name="% 4 2" xfId="607"/>
    <cellStyle name="% 4 3" xfId="608"/>
    <cellStyle name="% 4 4" xfId="609"/>
    <cellStyle name="% 4 5" xfId="610"/>
    <cellStyle name="% 4 6" xfId="611"/>
    <cellStyle name="% 4 7" xfId="612"/>
    <cellStyle name="% 4 8" xfId="613"/>
    <cellStyle name="% 40" xfId="614"/>
    <cellStyle name="% 41" xfId="615"/>
    <cellStyle name="% 42" xfId="616"/>
    <cellStyle name="% 43" xfId="617"/>
    <cellStyle name="% 44" xfId="618"/>
    <cellStyle name="% 45" xfId="619"/>
    <cellStyle name="% 46" xfId="620"/>
    <cellStyle name="% 47" xfId="621"/>
    <cellStyle name="% 48" xfId="622"/>
    <cellStyle name="% 49" xfId="623"/>
    <cellStyle name="% 5" xfId="624"/>
    <cellStyle name="% 50" xfId="625"/>
    <cellStyle name="% 51" xfId="626"/>
    <cellStyle name="% 52" xfId="627"/>
    <cellStyle name="% 53" xfId="628"/>
    <cellStyle name="% 54" xfId="629"/>
    <cellStyle name="% 55" xfId="630"/>
    <cellStyle name="% 56" xfId="631"/>
    <cellStyle name="% 57" xfId="632"/>
    <cellStyle name="% 58" xfId="633"/>
    <cellStyle name="% 59" xfId="634"/>
    <cellStyle name="% 6" xfId="635"/>
    <cellStyle name="% 60" xfId="636"/>
    <cellStyle name="% 61" xfId="637"/>
    <cellStyle name="% 62" xfId="638"/>
    <cellStyle name="% 63" xfId="639"/>
    <cellStyle name="% 64" xfId="640"/>
    <cellStyle name="% 65" xfId="641"/>
    <cellStyle name="% 66" xfId="642"/>
    <cellStyle name="% 67" xfId="643"/>
    <cellStyle name="% 68" xfId="644"/>
    <cellStyle name="% 69" xfId="645"/>
    <cellStyle name="% 7" xfId="646"/>
    <cellStyle name="% 70" xfId="647"/>
    <cellStyle name="% 71" xfId="648"/>
    <cellStyle name="% 72" xfId="649"/>
    <cellStyle name="% 73" xfId="650"/>
    <cellStyle name="% 74" xfId="651"/>
    <cellStyle name="% 75" xfId="652"/>
    <cellStyle name="% 76" xfId="653"/>
    <cellStyle name="% 77" xfId="654"/>
    <cellStyle name="% 78" xfId="655"/>
    <cellStyle name="% 79" xfId="656"/>
    <cellStyle name="% 8" xfId="657"/>
    <cellStyle name="% 80" xfId="658"/>
    <cellStyle name="% 81" xfId="659"/>
    <cellStyle name="% 82" xfId="660"/>
    <cellStyle name="% 83" xfId="661"/>
    <cellStyle name="% 84" xfId="662"/>
    <cellStyle name="% 85" xfId="663"/>
    <cellStyle name="% 86" xfId="664"/>
    <cellStyle name="% 87" xfId="665"/>
    <cellStyle name="% 88" xfId="666"/>
    <cellStyle name="% 89" xfId="667"/>
    <cellStyle name="% 9" xfId="668"/>
    <cellStyle name="% 90" xfId="669"/>
    <cellStyle name="% 91" xfId="670"/>
    <cellStyle name="% 92" xfId="671"/>
    <cellStyle name="% 93" xfId="672"/>
    <cellStyle name="% 94" xfId="673"/>
    <cellStyle name="% 95" xfId="674"/>
    <cellStyle name="% 96" xfId="675"/>
    <cellStyle name="% 97" xfId="676"/>
    <cellStyle name="% 98" xfId="677"/>
    <cellStyle name="% 99" xfId="678"/>
    <cellStyle name="%_1. +-Changes from RIIO vD4 to vD5" xfId="679"/>
    <cellStyle name="%_1.3 Acc Costs NG (2011)" xfId="680"/>
    <cellStyle name="%_1.3 Acc Costs NG (2011) 2" xfId="681"/>
    <cellStyle name="%_1.3 Acc Costs NG (2011) 3" xfId="682"/>
    <cellStyle name="%_1.3 Acc Costs NG (2011) 4" xfId="683"/>
    <cellStyle name="%_1.3 Acc Costs NG (2011) 5" xfId="684"/>
    <cellStyle name="%_1.3 Acc Costs NG (2011) 6" xfId="685"/>
    <cellStyle name="%_1.3 Acc Costs NG (2011) 7" xfId="686"/>
    <cellStyle name="%_1.3 Acc Costs NG (2011) 8" xfId="687"/>
    <cellStyle name="%_1.3 Rec to old modelling" xfId="688"/>
    <cellStyle name="%_1.3s Accounting C Costs Scots" xfId="689"/>
    <cellStyle name="%_1.5 Opex Reconciliation NG" xfId="690"/>
    <cellStyle name="%_1.8 Irregular Items" xfId="691"/>
    <cellStyle name="%_1.8 Irregular Items 2" xfId="692"/>
    <cellStyle name="%_1.8 Irregular Items 3" xfId="693"/>
    <cellStyle name="%_1.8 Irregular Items 4" xfId="694"/>
    <cellStyle name="%_1.8 Irregular Items 5" xfId="695"/>
    <cellStyle name="%_1.8 Irregular Items 6" xfId="696"/>
    <cellStyle name="%_1.8 Irregular Items 7" xfId="697"/>
    <cellStyle name="%_1.8 Irregular Items 8" xfId="698"/>
    <cellStyle name="%_2.14 Year on Year Movt" xfId="699"/>
    <cellStyle name="%_2.14 Year on Year Movt ( (2013)" xfId="700"/>
    <cellStyle name="%_2.14 Year on Year Movt ( (2013) 2" xfId="701"/>
    <cellStyle name="%_2.14 Year on Year Movt ( (2013) 3" xfId="702"/>
    <cellStyle name="%_2.14 Year on Year Movt ( (2013) 4" xfId="703"/>
    <cellStyle name="%_2.14 Year on Year Movt ( (2013) 5" xfId="704"/>
    <cellStyle name="%_2.14 Year on Year Movt ( (2013) 6" xfId="705"/>
    <cellStyle name="%_2.14 Year on Year Movt ( (2013) 7" xfId="706"/>
    <cellStyle name="%_2.14 Year on Year Movt ( (2013) 8" xfId="707"/>
    <cellStyle name="%_2.14 Year on Year Movt (2011)" xfId="708"/>
    <cellStyle name="%_2.14 Year on Year Movt (2011) 2" xfId="709"/>
    <cellStyle name="%_2.14 Year on Year Movt (2011) 3" xfId="710"/>
    <cellStyle name="%_2.14 Year on Year Movt (2011) 4" xfId="711"/>
    <cellStyle name="%_2.14 Year on Year Movt (2011) 5" xfId="712"/>
    <cellStyle name="%_2.14 Year on Year Movt (2011) 6" xfId="713"/>
    <cellStyle name="%_2.14 Year on Year Movt (2011) 7" xfId="714"/>
    <cellStyle name="%_2.14 Year on Year Movt (2011) 8" xfId="715"/>
    <cellStyle name="%_2.14 Year on Year Movt (2012)" xfId="716"/>
    <cellStyle name="%_2.14 Year on Year Movt (2012) 2" xfId="717"/>
    <cellStyle name="%_2.14 Year on Year Movt (2012) 3" xfId="718"/>
    <cellStyle name="%_2.14 Year on Year Movt (2012) 4" xfId="719"/>
    <cellStyle name="%_2.14 Year on Year Movt (2012) 5" xfId="720"/>
    <cellStyle name="%_2.14 Year on Year Movt (2012) 6" xfId="721"/>
    <cellStyle name="%_2.14 Year on Year Movt (2012) 7" xfId="722"/>
    <cellStyle name="%_2.14 Year on Year Movt (2012) 8" xfId="723"/>
    <cellStyle name="%_2.4 Exc &amp; Demin " xfId="724"/>
    <cellStyle name="%_2.7s Insurance" xfId="725"/>
    <cellStyle name="%_2010_NGET_TPCR4_RO_FBPQ(Opex) trace only FINAL(DPP)" xfId="726"/>
    <cellStyle name="%_2010_NGET_TPCR4_RO_FBPQ(Opex) trace only FINAL(DPP) 2" xfId="727"/>
    <cellStyle name="%_2010_NGET_TPCR4_RO_FBPQ(Opex) trace only FINAL(DPP) 3" xfId="728"/>
    <cellStyle name="%_2010_NGET_TPCR4_RO_FBPQ(Opex) trace only FINAL(DPP) 4" xfId="729"/>
    <cellStyle name="%_2010_NGET_TPCR4_RO_FBPQ(Opex) trace only FINAL(DPP) 5" xfId="730"/>
    <cellStyle name="%_2010_NGET_TPCR4_RO_FBPQ(Opex) trace only FINAL(DPP) 6" xfId="731"/>
    <cellStyle name="%_2010_NGET_TPCR4_RO_FBPQ(Opex) trace only FINAL(DPP) 7" xfId="732"/>
    <cellStyle name="%_2010_NGET_TPCR4_RO_FBPQ(Opex) trace only FINAL(DPP) 8" xfId="733"/>
    <cellStyle name="%_3.1.2 DB Pension Detail" xfId="734"/>
    <cellStyle name="%_3.3 Tax" xfId="735"/>
    <cellStyle name="%_3.3 Tax 2" xfId="736"/>
    <cellStyle name="%_3.3 Tax 2 2" xfId="737"/>
    <cellStyle name="%_3.3 Tax 3" xfId="738"/>
    <cellStyle name="%_3.3 Tax_2.14 Year on Year Movt" xfId="739"/>
    <cellStyle name="%_3.3 Tax_2.4 Exc &amp; Demin " xfId="740"/>
    <cellStyle name="%_3.3 Tax_2.7s Insurance" xfId="741"/>
    <cellStyle name="%_3.3 Tax_3.1.2 DB Pension Detail" xfId="742"/>
    <cellStyle name="%_3.3 Tax_4.16 Asset lives" xfId="743"/>
    <cellStyle name="%_4.16 Asset lives" xfId="744"/>
    <cellStyle name="%_4.2 Activity Indicators" xfId="745"/>
    <cellStyle name="%_4.2 Activity Indicators 2" xfId="746"/>
    <cellStyle name="%_4.2 Activity Indicators 2 2" xfId="747"/>
    <cellStyle name="%_4.2 Activity Indicators 3" xfId="748"/>
    <cellStyle name="%_4.20 Scheme Listing NLR" xfId="749"/>
    <cellStyle name="%_4.3 Transmission system performance" xfId="750"/>
    <cellStyle name="%_5.15.1 Cond &amp; Risk-Entry Points" xfId="751"/>
    <cellStyle name="%_5.15.2 Cond &amp; Risk-Exit Points" xfId="752"/>
    <cellStyle name="%_5.15.3 Cond &amp; Risk-Comps" xfId="753"/>
    <cellStyle name="%_5.15.4 Cond &amp; Risk-Pipelines" xfId="754"/>
    <cellStyle name="%_5.15.5 Cond &amp; Risk-Multijunctin" xfId="755"/>
    <cellStyle name="%_5.6 Environmental " xfId="756"/>
    <cellStyle name="%_5.9 Asset data " xfId="757"/>
    <cellStyle name="%_Book1" xfId="758"/>
    <cellStyle name="%_BP10+ GTO Capex Split CN" xfId="759"/>
    <cellStyle name="%_Business Plan " xfId="760"/>
    <cellStyle name="%_Copy of Repair Draft RIIO Plan v0.11" xfId="761"/>
    <cellStyle name="%_Customer Operations Business Plan Input Reqs (3)" xfId="762"/>
    <cellStyle name="%_Draft RIIO plan presentation template - Commercial (2)" xfId="763"/>
    <cellStyle name="%_Draft RIIO plan presentation template - Customer Opsx Centre V2 (2)" xfId="764"/>
    <cellStyle name="%_Draft RIIO plan presentation template - Customer Opsx Centre V2 (2) - updated with mapping" xfId="765"/>
    <cellStyle name="%_Draft RIIO plan presentation template - Customer Opsx Centre V7" xfId="766"/>
    <cellStyle name="%_Emergency DRAFT RIIO Plan V0 3 1" xfId="767"/>
    <cellStyle name="%_Emergency DRAFT RIIO Plan V0 9" xfId="768"/>
    <cellStyle name="%_EMS 0.1 Emergency Process" xfId="769"/>
    <cellStyle name="%_EMS 0.1 Emergency Process - Opex plan template" xfId="770"/>
    <cellStyle name="%_EMS 0.2 Emergency Process" xfId="771"/>
    <cellStyle name="%_GTO Non Operational Capex Roll-over submission (FINAL with property)" xfId="772"/>
    <cellStyle name="%_Inputs" xfId="773"/>
    <cellStyle name="%_Maintenance Draft RIIO Plan v0.1" xfId="774"/>
    <cellStyle name="%_Manual Adjustments" xfId="775"/>
    <cellStyle name="%_Network Strategy Business Plan Input Reqs - v10" xfId="776"/>
    <cellStyle name="%_NGET Opex PCRRP Tables 31 Mar 2010 Final" xfId="777"/>
    <cellStyle name="%_NGET Opex PCRRP Tables 31 Mar 2010 Final 2" xfId="778"/>
    <cellStyle name="%_NGG Capex PCRRP Tables 31 Mar 2010 DraftV6 FINAL" xfId="779"/>
    <cellStyle name="%_NGG Opex PCRRP Tables 31 Mar 2009" xfId="780"/>
    <cellStyle name="%_NGG Opex PCRRP Tables 31 Mar 2009 2" xfId="781"/>
    <cellStyle name="%_NGG Opex PCRRP Tables 31 Mar 2010 final" xfId="782"/>
    <cellStyle name="%_NGG TPCR4 MG Workings" xfId="783"/>
    <cellStyle name="%_NGG TPCR4 Rollover FBPQ (Capex)" xfId="784"/>
    <cellStyle name="%_Non formula" xfId="785"/>
    <cellStyle name="%_Opex Consolidation v0.4" xfId="786"/>
    <cellStyle name="%_Opex plan template draft5" xfId="787"/>
    <cellStyle name="%_Opex plan template draft5b" xfId="788"/>
    <cellStyle name="%_Opex plan template draft5b 2" xfId="789"/>
    <cellStyle name="%_Opex plan template draft5b 2 2" xfId="790"/>
    <cellStyle name="%_Opex plan template draft5b 3" xfId="791"/>
    <cellStyle name="%_Opex plan template draft5b 3 2" xfId="792"/>
    <cellStyle name="%_Opex plan template draft6" xfId="793"/>
    <cellStyle name="%_Reactor (No scheme)" xfId="794"/>
    <cellStyle name="%_Reactor (Schemes)" xfId="795"/>
    <cellStyle name="%_Reactor_revisit (No scheme)" xfId="796"/>
    <cellStyle name="%_Reactor_revisit (Schemes)" xfId="797"/>
    <cellStyle name="%_Repair Draft RIIO Plan v0.12" xfId="798"/>
    <cellStyle name="%_Repair Draft RIIO Plan v0.18" xfId="799"/>
    <cellStyle name="%_Repair Draft RIIO Plan v0.19" xfId="800"/>
    <cellStyle name="%_Repair Draft RIIO Plan v0.20" xfId="801"/>
    <cellStyle name="%_Repair Draft RIIO Plan v0.5" xfId="802"/>
    <cellStyle name="%_Repair Draft RIIO Plan v0.6" xfId="803"/>
    <cellStyle name="%_Repair Draft RIIO Plan v0.9" xfId="804"/>
    <cellStyle name="%_RIIO Baseline Plan v3A with Reg Comparison &amp; Graphs" xfId="805"/>
    <cellStyle name="%_RIIO plan template - NS v1" xfId="806"/>
    <cellStyle name="%_RRP table" xfId="807"/>
    <cellStyle name="%_RRP table_1" xfId="808"/>
    <cellStyle name="%_Sch 2.1 Eng schedule 2009-10 Final @ 270710" xfId="809"/>
    <cellStyle name="%_Sch 2.1 Eng schedule 2009-10 Final @ 270710 2" xfId="810"/>
    <cellStyle name="%_Sch 2.1 Eng schedule 2009-10 Final @ 270710 3" xfId="811"/>
    <cellStyle name="%_Sch 2.1 Eng schedule 2009-10 Final @ 270710 4" xfId="812"/>
    <cellStyle name="%_Sch 2.1 Eng schedule 2009-10 Final @ 270710 5" xfId="813"/>
    <cellStyle name="%_Sch 2.1 Eng schedule 2009-10 Final @ 270710 6" xfId="814"/>
    <cellStyle name="%_Sch 2.1 Eng schedule 2009-10 Final @ 270710 7" xfId="815"/>
    <cellStyle name="%_Sch 2.1 Eng schedule 2009-10 Final @ 270710 8" xfId="816"/>
    <cellStyle name="%_Sheet1" xfId="817"/>
    <cellStyle name="%_Stat  Accounts" xfId="818"/>
    <cellStyle name="%_Switchgear (No scheme)" xfId="819"/>
    <cellStyle name="%_Switchgear (Schemes)" xfId="820"/>
    <cellStyle name="%_Switchgear_revisit (No scheme)" xfId="821"/>
    <cellStyle name="%_Switchgear_revisit (Schemes)" xfId="822"/>
    <cellStyle name="%_Table 4 28_Final" xfId="823"/>
    <cellStyle name="%_Table 4-16 - Asset Lives - 2009-10_Final" xfId="824"/>
    <cellStyle name="%_Table 4-16 - Asset Lives - 2009-10_Final (2)" xfId="825"/>
    <cellStyle name="%_Total summary" xfId="826"/>
    <cellStyle name="%_TPCR4 RollOver NGG Draft Table 5.8 v2" xfId="827"/>
    <cellStyle name="%_TPCR4 RollOver NGG Draft Table 5.8 v2 2" xfId="828"/>
    <cellStyle name="%_TPCR4 RollOver NGG Draft Table 5.8 v2 3" xfId="829"/>
    <cellStyle name="%_TPCR4 RollOver NGG Draft Table 5.8 v2 4" xfId="830"/>
    <cellStyle name="%_TPCR4 RollOver NGG Draft Table 5.8 v2 5" xfId="831"/>
    <cellStyle name="%_TPCR4 RollOver NGG Draft Table 5.8 v2 6" xfId="832"/>
    <cellStyle name="%_TPCR4 RollOver NGG Draft Table 5.8 v2 7" xfId="833"/>
    <cellStyle name="%_TPCR4 RollOver NGG Draft Table 5.8 v2 8" xfId="834"/>
    <cellStyle name="%_Transformer data based on November Freeze and RIIObaseline D6 data 10062011" xfId="835"/>
    <cellStyle name="%_Transmission PCRRP tables_SPTL_200809 V1" xfId="836"/>
    <cellStyle name="%_Transmission PCRRP tables_SPTL_200809 V1 2" xfId="837"/>
    <cellStyle name="%_Transmission PCRRP tables_SPTL_200809 V1 3" xfId="838"/>
    <cellStyle name="%_Transmission PCRRP tables_SPTL_200809 V1 4" xfId="839"/>
    <cellStyle name="%_Transmission PCRRP tables_SPTL_200809 V1_3.1.2 DB Pension Detail" xfId="840"/>
    <cellStyle name="%_Transmission PCRRP tables_SPTL_200809 V1_4.20 Scheme Listing NLR" xfId="841"/>
    <cellStyle name="%_Transmission PCRRP tables_SPTL_200809 V1_Table 4 28_Final" xfId="842"/>
    <cellStyle name="%_Transmission PCRRP tables_SPTL_200809 V1_Table 4-16 - Asset Lives - 2009-10_Final" xfId="843"/>
    <cellStyle name="%_Transmission PCRRP tables_SPTL_200809 V1_Table 4-16 - Asset Lives - 2009-10_Final (2)" xfId="844"/>
    <cellStyle name="%_Tx (No scheme)" xfId="845"/>
    <cellStyle name="%_Tx (Schemes)" xfId="846"/>
    <cellStyle name="%_Tx_revisit (No scheme)" xfId="847"/>
    <cellStyle name="%_Tx_revisit (Schemes)" xfId="848"/>
    <cellStyle name="%_VR Asset Man NGET 1.3 1.7 1.8, 2.14 2.15" xfId="849"/>
    <cellStyle name="%_VR NGET Opex tables" xfId="850"/>
    <cellStyle name="%_VR NGET Opex tables_1.5 Opex Reconciliation NG" xfId="851"/>
    <cellStyle name="%_VR Pensions Opex tables" xfId="852"/>
    <cellStyle name="%_VR Pensions Opex tables_2010_NGET_TPCR4_RO_FBPQ(Opex) trace only FINAL(DPP)" xfId="853"/>
    <cellStyle name="%_Winter - Pay deal impacts - Repair" xfId="854"/>
    <cellStyle name="%_WJBP Acc Ctrl v3" xfId="855"/>
    <cellStyle name="%1_Inputs" xfId="856"/>
    <cellStyle name="******************************************" xfId="857"/>
    <cellStyle name=".744" xfId="858"/>
    <cellStyle name="?? [0]_VERA" xfId="859"/>
    <cellStyle name="?????_VERA" xfId="860"/>
    <cellStyle name="??_VERA" xfId="861"/>
    <cellStyle name="_070323 - 5yr opex BPQ (Final)" xfId="862"/>
    <cellStyle name="_070323 - 5yr opex BPQ (Final) 2" xfId="863"/>
    <cellStyle name="_070323 - 5yr opex BPQ (Final) 3" xfId="864"/>
    <cellStyle name="_070323 - 5yr opex BPQ (Final) 4" xfId="865"/>
    <cellStyle name="_070323 - 5yr opex BPQ (Final) 5" xfId="866"/>
    <cellStyle name="_070323 - 5yr opex BPQ (Final) 6" xfId="867"/>
    <cellStyle name="_070323 - 5yr opex BPQ (Final) 7" xfId="868"/>
    <cellStyle name="_070323 - 5yr opex BPQ (Final) 8" xfId="869"/>
    <cellStyle name="_0708 GSO Capex RRP (detail)" xfId="870"/>
    <cellStyle name="_0708 GSO Capex RRP (detail)_RRP table" xfId="871"/>
    <cellStyle name="_0708 TO Non-Op Capex (detail)" xfId="872"/>
    <cellStyle name="_0708 TO Non-Op Capex (detail) 2" xfId="873"/>
    <cellStyle name="_0708 TO Non-Op Capex (detail) 3" xfId="874"/>
    <cellStyle name="_0708 TO Non-Op Capex (detail) 4" xfId="875"/>
    <cellStyle name="_0708 TO Non-Op Capex (detail) 5" xfId="876"/>
    <cellStyle name="_0708 TO Non-Op Capex (detail) 6" xfId="877"/>
    <cellStyle name="_0708 TO Non-Op Capex (detail) 7" xfId="878"/>
    <cellStyle name="_0708 TO Non-Op Capex (detail) 8" xfId="879"/>
    <cellStyle name="_0708 TO Non-Op Capex (detail)_1.3 Rec to old modelling" xfId="880"/>
    <cellStyle name="_0708 TO Non-Op Capex (detail)_1.5 Opex Reconciliation NG" xfId="881"/>
    <cellStyle name="_0708 TO Non-Op Capex (detail)_2010_NGET_TPCR4_RO_FBPQ(Opex) trace only FINAL(DPP)" xfId="882"/>
    <cellStyle name="_0708 TO Non-Op Capex (detail)_2010_NGET_TPCR4_RO_FBPQ(Opex) trace only FINAL(DPP) 2" xfId="883"/>
    <cellStyle name="_0708 TO Non-Op Capex (detail)_2010_NGET_TPCR4_RO_FBPQ(Opex) trace only FINAL(DPP) 3" xfId="884"/>
    <cellStyle name="_0708 TO Non-Op Capex (detail)_2010_NGET_TPCR4_RO_FBPQ(Opex) trace only FINAL(DPP) 4" xfId="885"/>
    <cellStyle name="_0708 TO Non-Op Capex (detail)_2010_NGET_TPCR4_RO_FBPQ(Opex) trace only FINAL(DPP) 5" xfId="886"/>
    <cellStyle name="_0708 TO Non-Op Capex (detail)_2010_NGET_TPCR4_RO_FBPQ(Opex) trace only FINAL(DPP) 6" xfId="887"/>
    <cellStyle name="_0708 TO Non-Op Capex (detail)_2010_NGET_TPCR4_RO_FBPQ(Opex) trace only FINAL(DPP) 7" xfId="888"/>
    <cellStyle name="_0708 TO Non-Op Capex (detail)_2010_NGET_TPCR4_RO_FBPQ(Opex) trace only FINAL(DPP) 8" xfId="889"/>
    <cellStyle name="_0708 TO Non-Op Capex (detail)_Manual Adjustments" xfId="890"/>
    <cellStyle name="_0708 TO Non-Op Capex (detail)_NGET Opex PCRRP Tables 31 Mar 2010 Final" xfId="891"/>
    <cellStyle name="_0708 TO Non-Op Capex (detail)_RRP table" xfId="892"/>
    <cellStyle name="_0708 TO Non-Op Capex (detail)_Sheet1" xfId="893"/>
    <cellStyle name="_070822 Mains and services workload phasing (2)" xfId="894"/>
    <cellStyle name="_070822 Repex - submission vp (2)" xfId="895"/>
    <cellStyle name="_0decimals" xfId="896"/>
    <cellStyle name="_1.3 Acc Costs NG (2011)" xfId="897"/>
    <cellStyle name="_1.8 Irregular Items" xfId="898"/>
    <cellStyle name="_2.14 Year on Year Movt ( (2013)" xfId="899"/>
    <cellStyle name="_2.14 Year on Year Movt (2011)" xfId="900"/>
    <cellStyle name="_2.14 Year on Year Movt (2012)" xfId="901"/>
    <cellStyle name="_2.9 UK BS Reconciliation" xfId="902"/>
    <cellStyle name="_2.9 UK BS Reconciliation_RRP table" xfId="903"/>
    <cellStyle name="_2010 Budget workings (Draft 5)" xfId="904"/>
    <cellStyle name="_2010 Draft Budgeted Summary 150709 (2)" xfId="905"/>
    <cellStyle name="_Accounting entries Feb 09" xfId="906"/>
    <cellStyle name="_Actuals" xfId="907"/>
    <cellStyle name="_Actuals 2" xfId="908"/>
    <cellStyle name="_Admin 01e" xfId="909"/>
    <cellStyle name="_Admin 01e 2" xfId="910"/>
    <cellStyle name="_Admin 01e 2 2" xfId="911"/>
    <cellStyle name="_Admin 01e 3" xfId="912"/>
    <cellStyle name="_Admin 01e_SGN_14m" xfId="913"/>
    <cellStyle name="_Admin 01e_strategic model 05j (INDEXATION)" xfId="914"/>
    <cellStyle name="_Admin 01o" xfId="915"/>
    <cellStyle name="_Admin 01o 2" xfId="916"/>
    <cellStyle name="_Admin 01o 2 2" xfId="917"/>
    <cellStyle name="_Admin 01o 3" xfId="918"/>
    <cellStyle name="_Admin 01o_SGN_14m" xfId="919"/>
    <cellStyle name="_Admin 01o_strategic model 05j (INDEXATION)" xfId="920"/>
    <cellStyle name="_Admin 02b" xfId="921"/>
    <cellStyle name="_Admin 02b 2" xfId="922"/>
    <cellStyle name="_Admin 02b 2 2" xfId="923"/>
    <cellStyle name="_Admin 02b 3" xfId="924"/>
    <cellStyle name="_Admin 02b_SGN_14m" xfId="925"/>
    <cellStyle name="_Admin 02b_strategic model 05j (INDEXATION)" xfId="926"/>
    <cellStyle name="_Amended Capex position 2011-12" xfId="927"/>
    <cellStyle name="_Balance Sheet Rec" xfId="928"/>
    <cellStyle name="_Balance Sheet Rec 2" xfId="929"/>
    <cellStyle name="_Berr Strading Analysis v 04 (2012 to 2020) v0 8 (no capex from 2012)" xfId="930"/>
    <cellStyle name="_Book1 (2)" xfId="931"/>
    <cellStyle name="_Book2" xfId="932"/>
    <cellStyle name="_Book3" xfId="933"/>
    <cellStyle name="_Book4" xfId="934"/>
    <cellStyle name="_BP10.2 v BP10v6 Reg Tables" xfId="935"/>
    <cellStyle name="_BP10.2 v BP10v6 Reg Tables_Reactor (No scheme)" xfId="936"/>
    <cellStyle name="_BP10.2 v BP10v6 Reg Tables_Reactor (Schemes)" xfId="937"/>
    <cellStyle name="_BP10.2 v BP10v6 Reg Tables_Reactor_revisit (No scheme)" xfId="938"/>
    <cellStyle name="_BP10.2 v BP10v6 Reg Tables_Reactor_revisit (Schemes)" xfId="939"/>
    <cellStyle name="_BP10.2 v BP10v6 Reg Tables_Tx (No scheme)" xfId="940"/>
    <cellStyle name="_BP10.2 v BP10v6 Reg Tables_Tx (Schemes)" xfId="941"/>
    <cellStyle name="_BP10.2 v BP10v6 Reg Tables_Tx_revisit (No scheme)" xfId="942"/>
    <cellStyle name="_BP10.2 v BP10v6 Reg Tables_Tx_revisit (Schemes)" xfId="943"/>
    <cellStyle name="_BP10+ GTO Capex Split CN" xfId="944"/>
    <cellStyle name="_BP10+post TIC 1 Jun" xfId="945"/>
    <cellStyle name="_BP11 GTO Capex Split CN v3 Dec-15 upload" xfId="946"/>
    <cellStyle name="_BSIS-JUN-008 APX" xfId="947"/>
    <cellStyle name="_BSIS-MAY-011 &amp; BSIS-MAY-012R Escrow Ac's" xfId="948"/>
    <cellStyle name="_Business Plan " xfId="949"/>
    <cellStyle name="_capex 1011" xfId="950"/>
    <cellStyle name="_Capex summary" xfId="951"/>
    <cellStyle name="_Capital Plan - IS UK" xfId="952"/>
    <cellStyle name="_Capital Plan - IS UK 2" xfId="953"/>
    <cellStyle name="_Capital Plan - IS UK 3" xfId="954"/>
    <cellStyle name="_Capital Plan - IS UK 4" xfId="955"/>
    <cellStyle name="_Capital Plan - IS UK 5" xfId="956"/>
    <cellStyle name="_Capital Plan - IS UK 6" xfId="957"/>
    <cellStyle name="_Capital Plan - IS UK 7" xfId="958"/>
    <cellStyle name="_Capital Plan - IS UK 8" xfId="959"/>
    <cellStyle name="_Capital Plan - IS UK_0910 GSO Capex RRP - Final (Detail) v2 220710" xfId="960"/>
    <cellStyle name="_Capital Plan - IS UK_1.3 Rec to old modelling" xfId="961"/>
    <cellStyle name="_Capital Plan - IS UK_1.5 Opex Reconciliation NG" xfId="962"/>
    <cellStyle name="_Capital Plan - IS UK_2010_NGET_TPCR4_RO_FBPQ(Opex) trace only FINAL(DPP)" xfId="963"/>
    <cellStyle name="_Capital Plan - IS UK_2010_NGET_TPCR4_RO_FBPQ(Opex) trace only FINAL(DPP) 2" xfId="964"/>
    <cellStyle name="_Capital Plan - IS UK_2010_NGET_TPCR4_RO_FBPQ(Opex) trace only FINAL(DPP) 3" xfId="965"/>
    <cellStyle name="_Capital Plan - IS UK_2010_NGET_TPCR4_RO_FBPQ(Opex) trace only FINAL(DPP) 4" xfId="966"/>
    <cellStyle name="_Capital Plan - IS UK_2010_NGET_TPCR4_RO_FBPQ(Opex) trace only FINAL(DPP) 5" xfId="967"/>
    <cellStyle name="_Capital Plan - IS UK_2010_NGET_TPCR4_RO_FBPQ(Opex) trace only FINAL(DPP) 6" xfId="968"/>
    <cellStyle name="_Capital Plan - IS UK_2010_NGET_TPCR4_RO_FBPQ(Opex) trace only FINAL(DPP) 7" xfId="969"/>
    <cellStyle name="_Capital Plan - IS UK_2010_NGET_TPCR4_RO_FBPQ(Opex) trace only FINAL(DPP) 8" xfId="970"/>
    <cellStyle name="_Capital Plan - IS UK_Manual Adjustments" xfId="971"/>
    <cellStyle name="_Capital Plan - IS UK_NGET Opex PCRRP Tables 31 Mar 2010 Final" xfId="972"/>
    <cellStyle name="_Capital Plan - IS UK_RRP table" xfId="973"/>
    <cellStyle name="_Capital Plan - IS UK_RRP table_1" xfId="974"/>
    <cellStyle name="_Capital Plan - IS UK_Sheet1" xfId="975"/>
    <cellStyle name="_Capital Plan - IS UK_Stat  Accounts" xfId="976"/>
    <cellStyle name="_CFO tables - New style" xfId="977"/>
    <cellStyle name="_Comma" xfId="978"/>
    <cellStyle name="_Comma_CSC" xfId="979"/>
    <cellStyle name="_Comma_merger_plans_modified_9_3_1999" xfId="980"/>
    <cellStyle name="_Commercial Escrow journals" xfId="981"/>
    <cellStyle name="_Commercial RIIO Business Plan V1" xfId="982"/>
    <cellStyle name="_Consolidated Financial Statements (Planet Data Book Format) v9.5" xfId="983"/>
    <cellStyle name="_Consolidated NS Forecast - 2011-12 Jan-11" xfId="984"/>
    <cellStyle name="_Copy of BGE T&amp;D OM v012 (1 Scenario)_TA38 (inputs for DBU Reg Co.5) with checks - finalEP" xfId="985"/>
    <cellStyle name="_Copy of BGE T&amp;D OM v012 (1 Scenario)_TA38 (inputs for DBU Reg Co.5) with checks - finalEP 2" xfId="986"/>
    <cellStyle name="_Copy of SGN 10a Business Plan 2010v1" xfId="987"/>
    <cellStyle name="_Copy of SGN 10a Business Plan 2010v15 updated budget 190310l" xfId="988"/>
    <cellStyle name="_Copy of SGN 4.19 v3(OTPP) RF4" xfId="989"/>
    <cellStyle name="_Copy of SGN 4.19 v3(OTPP) RF4 2" xfId="990"/>
    <cellStyle name="_Cost Book NWR draft ss 090825" xfId="991"/>
    <cellStyle name="_Cover" xfId="992"/>
    <cellStyle name="_Currency" xfId="993"/>
    <cellStyle name="_Currency_CSC" xfId="994"/>
    <cellStyle name="_Currency_merger_plans_modified_9_3_1999" xfId="995"/>
    <cellStyle name="_Currency_Model_Sep_2_02" xfId="996"/>
    <cellStyle name="_Currency_Pipeline Model v1 (09_09_02) v3" xfId="997"/>
    <cellStyle name="_CurrencySpace" xfId="998"/>
    <cellStyle name="_CurrencySpace_CSC" xfId="999"/>
    <cellStyle name="_CurrencySpace_merger_plans_modified_9_3_1999" xfId="1000"/>
    <cellStyle name="_Customer Ops RIIO Business Plan V2" xfId="1001"/>
    <cellStyle name="_Dalmuir 05l" xfId="1002"/>
    <cellStyle name="_dashboard example 01b" xfId="1003"/>
    <cellStyle name="_dashboard example 01b 2" xfId="1004"/>
    <cellStyle name="_Data" xfId="1005"/>
    <cellStyle name="_DFR.24 NBMHT 03g" xfId="1006"/>
    <cellStyle name="_DFR.24 NBMHT 03g 2" xfId="1007"/>
    <cellStyle name="_DFR.24 NBMHT 03g 2 2" xfId="1008"/>
    <cellStyle name="_DFR.24 NBMHT 03g 3" xfId="1009"/>
    <cellStyle name="_DFR.24 NBMHT 03g_SGN_14m" xfId="1010"/>
    <cellStyle name="_DFR.24 NBMHT 03g_strategic model 05j (INDEXATION)" xfId="1011"/>
    <cellStyle name="_Disclaimer" xfId="1012"/>
    <cellStyle name="_DR2 Oracle mapping document" xfId="1013"/>
    <cellStyle name="_Draft RIIO plan presentation template - CSDx Centre" xfId="1014"/>
    <cellStyle name="_Draft RIIO plan presentation template - Customer Opsx Centre V7" xfId="1015"/>
    <cellStyle name="_Electricity North West_v2.28" xfId="1016"/>
    <cellStyle name="_Extraction of Consolidated Financial Statements (Planet Data Book Format)" xfId="1017"/>
    <cellStyle name="_F1F9 ExModel 24b DFR01a" xfId="1018"/>
    <cellStyle name="_Finan - South" xfId="1019"/>
    <cellStyle name="_Finan - South 2" xfId="1020"/>
    <cellStyle name="_Gas TO major Projects Forecast Jun-10" xfId="1021"/>
    <cellStyle name="_Gas TO major Projects Forecast May-10 BP10+ v5" xfId="1022"/>
    <cellStyle name="_GDUK manpower summary (3)" xfId="1023"/>
    <cellStyle name="_GDx 2010_11 Q3 QPR tables - UK v3" xfId="1024"/>
    <cellStyle name="_Genesys 12f" xfId="1025"/>
    <cellStyle name="_Genesys 17e" xfId="1026"/>
    <cellStyle name="_GTO Commodity Pricing Model &amp; Risk Score Model Workings BP11 v2" xfId="1027"/>
    <cellStyle name="_GTO Non Operational Capex Roll-over submission (FINAL with property)" xfId="1028"/>
    <cellStyle name="_HoldCo" xfId="1029"/>
    <cellStyle name="_HoldCo 2" xfId="1030"/>
    <cellStyle name="_HoldCo_Finan - South" xfId="1031"/>
    <cellStyle name="_HoldCo_Inputs" xfId="1032"/>
    <cellStyle name="_HoldCo_RF Rec" xfId="1033"/>
    <cellStyle name="_HoldCo_SCOT FinStat" xfId="1034"/>
    <cellStyle name="_HoldCo_South FinStat" xfId="1035"/>
    <cellStyle name="_Inflation Output" xfId="1036"/>
    <cellStyle name="_Inflation Output 2" xfId="1037"/>
    <cellStyle name="_ING Mthly Accounting Entries Feb 09" xfId="1038"/>
    <cellStyle name="_Inputs" xfId="1039"/>
    <cellStyle name="_Inputs 2" xfId="1040"/>
    <cellStyle name="_Inputs 2008" xfId="1041"/>
    <cellStyle name="_Inputs 2008 2" xfId="1042"/>
    <cellStyle name="_IS" xfId="1043"/>
    <cellStyle name="_key indicators comparison" xfId="1044"/>
    <cellStyle name="_Kilo 31a" xfId="1045"/>
    <cellStyle name="_Lazuli Example Model 24d" xfId="1046"/>
    <cellStyle name="_Liquidity chart_Amended_16Jan09" xfId="1047"/>
    <cellStyle name="_MASTER OPEX COMMERCIAL AS AT 24-02-09" xfId="1048"/>
    <cellStyle name="_MASTER OPEX COMMERCIAL AS AT 24-02-09 2" xfId="1049"/>
    <cellStyle name="_Metering" xfId="1050"/>
    <cellStyle name="_Metering 2" xfId="1051"/>
    <cellStyle name="_Metering 3" xfId="1052"/>
    <cellStyle name="_Metering 4" xfId="1053"/>
    <cellStyle name="_Metering 5" xfId="1054"/>
    <cellStyle name="_Metering 6" xfId="1055"/>
    <cellStyle name="_Metering 7" xfId="1056"/>
    <cellStyle name="_Metering 8" xfId="1057"/>
    <cellStyle name="_Metering_Customer Operations Business Plan Input Reqs (3)" xfId="1058"/>
    <cellStyle name="_Metering_Draft RIIO plan presentation template - Commercial (2)" xfId="1059"/>
    <cellStyle name="_Metering_Draft RIIO plan presentation template - Customer Opsx Centre V2 (2)" xfId="1060"/>
    <cellStyle name="_Metering_Draft RIIO plan presentation template - Customer Opsx Centre V2 (2) - updated with mapping" xfId="1061"/>
    <cellStyle name="_Metering_Network Strategy Business Plan Input Reqs - v10" xfId="1062"/>
    <cellStyle name="_Metering_Non formula" xfId="1063"/>
    <cellStyle name="_Metering_RRP table" xfId="1064"/>
    <cellStyle name="_Monthly Value" xfId="1065"/>
    <cellStyle name="_Multiple" xfId="1066"/>
    <cellStyle name="_Multiple_CSC" xfId="1067"/>
    <cellStyle name="_Multiple_merger_plans_modified_9_3_1999" xfId="1068"/>
    <cellStyle name="_Multiple_Model_Sep_2_02" xfId="1069"/>
    <cellStyle name="_Multiple_Pipeline Model v1 (09_09_02) v3" xfId="1070"/>
    <cellStyle name="_MultipleSpace" xfId="1071"/>
    <cellStyle name="_MultipleSpace_CSC" xfId="1072"/>
    <cellStyle name="_MultipleSpace_merger_plans_modified_9_3_1999" xfId="1073"/>
    <cellStyle name="_MultipleSpace_Model_Sep_2_02" xfId="1074"/>
    <cellStyle name="_MultipleSpace_Pipeline Model v1 (09_09_02) v3" xfId="1075"/>
    <cellStyle name="_New CFO (2)" xfId="1076"/>
    <cellStyle name="_NFOR Budget 201112 control totals" xfId="1077"/>
    <cellStyle name="_NGM  Business Valuation Jan 10 v7 no links(sg)" xfId="1078"/>
    <cellStyle name="_Notes" xfId="1079"/>
    <cellStyle name="_Notes 01t" xfId="1080"/>
    <cellStyle name="_NS RIIO WJ Business Plan v3" xfId="1081"/>
    <cellStyle name="_Old_Op_10.64_01a" xfId="1082"/>
    <cellStyle name="_OM_SI_02_01 - Co 90_141008_Keelderry_v03" xfId="1083"/>
    <cellStyle name="_OM_SI_02_01 - Co 90_141008_Keelderry_v03 2" xfId="1084"/>
    <cellStyle name="_Opex 1011" xfId="1085"/>
    <cellStyle name="_Opex initiatives tracker v1.5 (post 9 aug update )" xfId="1086"/>
    <cellStyle name="_OTPP Review" xfId="1087"/>
    <cellStyle name="_OTPP Review 2" xfId="1088"/>
    <cellStyle name="_Outputs_v6" xfId="1089"/>
    <cellStyle name="_Outputs_v6 2" xfId="1090"/>
    <cellStyle name="_Outputs_v7" xfId="1091"/>
    <cellStyle name="_Outputs_v7 2" xfId="1092"/>
    <cellStyle name="_Percent" xfId="1093"/>
    <cellStyle name="_Percent_CSC" xfId="1094"/>
    <cellStyle name="_Percent_merger_plans_modified_9_3_1999" xfId="1095"/>
    <cellStyle name="_Percent_Model_Sep_2_02" xfId="1096"/>
    <cellStyle name="_Percent_Pipeline Model v1 (09_09_02) v3" xfId="1097"/>
    <cellStyle name="_PercentSpace" xfId="1098"/>
    <cellStyle name="_PercentSpace_CSC" xfId="1099"/>
    <cellStyle name="_PercentSpace_merger_plans_modified_9_3_1999" xfId="1100"/>
    <cellStyle name="_PercentSpace_Model_Sep_2_02" xfId="1101"/>
    <cellStyle name="_PercentSpace_Pipeline Model v1 (09_09_02) v3" xfId="1102"/>
    <cellStyle name="_Plan Challenge 1011" xfId="1103"/>
    <cellStyle name="_Plan Challenge 1011_Baseline - MASTER DATA (ORG) - v5.4 (P&amp;OD) BUSINESS PLAN" xfId="1104"/>
    <cellStyle name="_Plan Challenge 1011_Baseline - MASTER DATA (ORG) - v5.4 (P&amp;OD) BUSINESS PLAN_SS templates" xfId="1105"/>
    <cellStyle name="_Plan October QPR Templates - Shares Services (includes Business Services)" xfId="1106"/>
    <cellStyle name="_Pre Release Checklist 01l" xfId="1107"/>
    <cellStyle name="_Repex Forecast 090717" xfId="1108"/>
    <cellStyle name="_Repex Performance Pack 090720" xfId="1109"/>
    <cellStyle name="_RF Rec" xfId="1110"/>
    <cellStyle name="_RF Rec 2" xfId="1111"/>
    <cellStyle name="_SCOT FinStat" xfId="1112"/>
    <cellStyle name="_SCOT FinStat 2" xfId="1113"/>
    <cellStyle name="_Scotland Capex" xfId="1114"/>
    <cellStyle name="_SGN 10a Copy of Business Plan 2010v14 update 180510" xfId="1115"/>
    <cellStyle name="_SGN 4.18" xfId="1116"/>
    <cellStyle name="_SGN 4.18 2" xfId="1117"/>
    <cellStyle name="_Sheet1" xfId="1118"/>
    <cellStyle name="_Sheet1 2" xfId="1119"/>
    <cellStyle name="_Sheet1_1" xfId="1120"/>
    <cellStyle name="_Sheet1_1 2" xfId="1121"/>
    <cellStyle name="_Sheet1_1_SGN_14m" xfId="1122"/>
    <cellStyle name="_Sheet1_SGN_14m" xfId="1123"/>
    <cellStyle name="_Sheet2" xfId="1124"/>
    <cellStyle name="_Sheet3" xfId="1125"/>
    <cellStyle name="_Sheets to populate 1112 Budget Slides" xfId="1126"/>
    <cellStyle name="_Skel Mod 01l" xfId="1127"/>
    <cellStyle name="_South FinStat" xfId="1128"/>
    <cellStyle name="_South FinStat 2" xfId="1129"/>
    <cellStyle name="_Spreadsheet to populate plan slides 120810" xfId="1130"/>
    <cellStyle name="_Summaries" xfId="1131"/>
    <cellStyle name="_Summary" xfId="1132"/>
    <cellStyle name="_Summary (inc. Contract &amp; Conn.)" xfId="1133"/>
    <cellStyle name="_Sundry" xfId="1134"/>
    <cellStyle name="_TableRowHead" xfId="1135"/>
    <cellStyle name="_TableSuperHead" xfId="1136"/>
    <cellStyle name="_TEMPLATE 01m" xfId="1137"/>
    <cellStyle name="_Test scoring_UKGDx_20070924_Pilot (DV)" xfId="1138"/>
    <cellStyle name="_Test scoring_UKGDx_20070924_Pilot (DV) 2" xfId="1139"/>
    <cellStyle name="_Test scoring_UKGDx_20070924_Pilot (DV) 3" xfId="1140"/>
    <cellStyle name="_Test scoring_UKGDx_20070924_Pilot (DV) 4" xfId="1141"/>
    <cellStyle name="_Test scoring_UKGDx_20070924_Pilot (DV) 5" xfId="1142"/>
    <cellStyle name="_Test scoring_UKGDx_20070924_Pilot (DV) 6" xfId="1143"/>
    <cellStyle name="_Test scoring_UKGDx_20070924_Pilot (DV) 7" xfId="1144"/>
    <cellStyle name="_Test scoring_UKGDx_20070924_Pilot (DV) 8" xfId="1145"/>
    <cellStyle name="_TGK-14" xfId="1146"/>
    <cellStyle name="_TGK-9" xfId="1147"/>
    <cellStyle name="_TGK-9_1" xfId="1148"/>
    <cellStyle name="_Third Party-IT Data Collection Template" xfId="1149"/>
    <cellStyle name="_Total summary" xfId="1150"/>
    <cellStyle name="_Tower Definition (2)" xfId="1151"/>
    <cellStyle name="_Tower Definition (2)_Baseline - MASTER DATA (ORG) - v5.4 (P&amp;OD) BUSINESS PLAN" xfId="1152"/>
    <cellStyle name="_Tower Definition (2)_Baseline - MASTER DATA (ORG) - v5.4 (P&amp;OD) BUSINESS PLAN_SS templates" xfId="1153"/>
    <cellStyle name="_track 01a" xfId="1154"/>
    <cellStyle name="_Transmission agency" xfId="1155"/>
    <cellStyle name="_UKT RAV Summary (Mar-10) v2" xfId="1156"/>
    <cellStyle name="_Vattenfall Euro CY" xfId="1157"/>
    <cellStyle name="_VT FinMod 72d" xfId="1158"/>
    <cellStyle name="_VT FinMod 72d 2" xfId="1159"/>
    <cellStyle name="_VT FinMod 72d 2 2" xfId="1160"/>
    <cellStyle name="_VT FinMod 72d 3" xfId="1161"/>
    <cellStyle name="_VT FinMod 72d Option Effects" xfId="1162"/>
    <cellStyle name="_VT FinMod 72d Option Effects 2" xfId="1163"/>
    <cellStyle name="_VT FinMod 72d Option Effects 2 2" xfId="1164"/>
    <cellStyle name="_VT FinMod 72d Option Effects 3" xfId="1165"/>
    <cellStyle name="_VT FinMod 72d Option Effects_SGN_14m" xfId="1166"/>
    <cellStyle name="_VT FinMod 72d Option Effects_strategic model 05j (INDEXATION)" xfId="1167"/>
    <cellStyle name="_VT FinMod 72d_SGN_14m" xfId="1168"/>
    <cellStyle name="_VT FinMod 72d_strategic model 05j (INDEXATION)" xfId="1169"/>
    <cellStyle name="_VT FinMod 74a - pre D&amp;T deletion" xfId="1170"/>
    <cellStyle name="_VT FinMod 74a - pre D&amp;T deletion 2" xfId="1171"/>
    <cellStyle name="_VT FinMod 74a - pre D&amp;T deletion 2 2" xfId="1172"/>
    <cellStyle name="_VT FinMod 74a - pre D&amp;T deletion 3" xfId="1173"/>
    <cellStyle name="_VT FinMod 74a - pre D&amp;T deletion_SGN_14m" xfId="1174"/>
    <cellStyle name="_VT FinMod 74a - pre D&amp;T deletion_strategic model 05j (INDEXATION)" xfId="1175"/>
    <cellStyle name="_VT FinMod 76p" xfId="1176"/>
    <cellStyle name="_VT FinMod 76p 2" xfId="1177"/>
    <cellStyle name="_VT FinMod 76p 2 2" xfId="1178"/>
    <cellStyle name="_VT FinMod 76p 3" xfId="1179"/>
    <cellStyle name="_VT FinMod 76p_SGN_14m" xfId="1180"/>
    <cellStyle name="_VT FinMod 76p_strategic model 05j (INDEXATION)" xfId="1181"/>
    <cellStyle name="’Ê‰Ý [0.00]_Area" xfId="1182"/>
    <cellStyle name="’Ê‰Ý_Area" xfId="1183"/>
    <cellStyle name="£" xfId="1184"/>
    <cellStyle name="£ BP" xfId="1185"/>
    <cellStyle name="£[2]" xfId="1186"/>
    <cellStyle name="¥ JY" xfId="1187"/>
    <cellStyle name="€" xfId="1188"/>
    <cellStyle name="=C:\WINNT\SYSTEM32\COMMAND.COM" xfId="1189"/>
    <cellStyle name="=C:\WINNT\SYSTEM32\COMMAND.COM 10" xfId="1190"/>
    <cellStyle name="=C:\WINNT\SYSTEM32\COMMAND.COM 11" xfId="1191"/>
    <cellStyle name="=C:\WINNT\SYSTEM32\COMMAND.COM 12" xfId="1192"/>
    <cellStyle name="=C:\WINNT\SYSTEM32\COMMAND.COM 12 2" xfId="1193"/>
    <cellStyle name="=C:\WINNT\SYSTEM32\COMMAND.COM 13" xfId="1194"/>
    <cellStyle name="=C:\WINNT\SYSTEM32\COMMAND.COM 14" xfId="1195"/>
    <cellStyle name="=C:\WINNT\SYSTEM32\COMMAND.COM 15" xfId="1196"/>
    <cellStyle name="=C:\WINNT\SYSTEM32\COMMAND.COM 16" xfId="1197"/>
    <cellStyle name="=C:\WINNT\SYSTEM32\COMMAND.COM 17" xfId="1198"/>
    <cellStyle name="=C:\WINNT\SYSTEM32\COMMAND.COM 18" xfId="1199"/>
    <cellStyle name="=C:\WINNT\SYSTEM32\COMMAND.COM 19" xfId="1200"/>
    <cellStyle name="=C:\WINNT\SYSTEM32\COMMAND.COM 2" xfId="1201"/>
    <cellStyle name="=C:\WINNT\SYSTEM32\COMMAND.COM 2 2" xfId="1202"/>
    <cellStyle name="=C:\WINNT\SYSTEM32\COMMAND.COM 2 2 10" xfId="1203"/>
    <cellStyle name="=C:\WINNT\SYSTEM32\COMMAND.COM 2 2 11" xfId="1204"/>
    <cellStyle name="=C:\WINNT\SYSTEM32\COMMAND.COM 2 2 12" xfId="1205"/>
    <cellStyle name="=C:\WINNT\SYSTEM32\COMMAND.COM 2 2 13" xfId="1206"/>
    <cellStyle name="=C:\WINNT\SYSTEM32\COMMAND.COM 2 2 14" xfId="1207"/>
    <cellStyle name="=C:\WINNT\SYSTEM32\COMMAND.COM 2 2 15" xfId="1208"/>
    <cellStyle name="=C:\WINNT\SYSTEM32\COMMAND.COM 2 2 16" xfId="1209"/>
    <cellStyle name="=C:\WINNT\SYSTEM32\COMMAND.COM 2 2 17" xfId="1210"/>
    <cellStyle name="=C:\WINNT\SYSTEM32\COMMAND.COM 2 2 18" xfId="1211"/>
    <cellStyle name="=C:\WINNT\SYSTEM32\COMMAND.COM 2 2 19" xfId="1212"/>
    <cellStyle name="=C:\WINNT\SYSTEM32\COMMAND.COM 2 2 2" xfId="1213"/>
    <cellStyle name="=C:\WINNT\SYSTEM32\COMMAND.COM 2 2 2 2" xfId="1214"/>
    <cellStyle name="=C:\WINNT\SYSTEM32\COMMAND.COM 2 2 2_NGN_RIIO-GD1_ BPDT (tab 2.0-4.3)" xfId="1215"/>
    <cellStyle name="=C:\WINNT\SYSTEM32\COMMAND.COM 2 2 20" xfId="1216"/>
    <cellStyle name="=C:\WINNT\SYSTEM32\COMMAND.COM 2 2 21" xfId="1217"/>
    <cellStyle name="=C:\WINNT\SYSTEM32\COMMAND.COM 2 2 22" xfId="1218"/>
    <cellStyle name="=C:\WINNT\SYSTEM32\COMMAND.COM 2 2 23" xfId="1219"/>
    <cellStyle name="=C:\WINNT\SYSTEM32\COMMAND.COM 2 2 24" xfId="1220"/>
    <cellStyle name="=C:\WINNT\SYSTEM32\COMMAND.COM 2 2 25" xfId="1221"/>
    <cellStyle name="=C:\WINNT\SYSTEM32\COMMAND.COM 2 2 26" xfId="1222"/>
    <cellStyle name="=C:\WINNT\SYSTEM32\COMMAND.COM 2 2 27" xfId="1223"/>
    <cellStyle name="=C:\WINNT\SYSTEM32\COMMAND.COM 2 2 28" xfId="1224"/>
    <cellStyle name="=C:\WINNT\SYSTEM32\COMMAND.COM 2 2 29" xfId="1225"/>
    <cellStyle name="=C:\WINNT\SYSTEM32\COMMAND.COM 2 2 3" xfId="1226"/>
    <cellStyle name="=C:\WINNT\SYSTEM32\COMMAND.COM 2 2 30" xfId="1227"/>
    <cellStyle name="=C:\WINNT\SYSTEM32\COMMAND.COM 2 2 31" xfId="1228"/>
    <cellStyle name="=C:\WINNT\SYSTEM32\COMMAND.COM 2 2 32" xfId="1229"/>
    <cellStyle name="=C:\WINNT\SYSTEM32\COMMAND.COM 2 2 33" xfId="1230"/>
    <cellStyle name="=C:\WINNT\SYSTEM32\COMMAND.COM 2 2 34" xfId="1231"/>
    <cellStyle name="=C:\WINNT\SYSTEM32\COMMAND.COM 2 2 35" xfId="1232"/>
    <cellStyle name="=C:\WINNT\SYSTEM32\COMMAND.COM 2 2 36" xfId="1233"/>
    <cellStyle name="=C:\WINNT\SYSTEM32\COMMAND.COM 2 2 37" xfId="1234"/>
    <cellStyle name="=C:\WINNT\SYSTEM32\COMMAND.COM 2 2 38" xfId="1235"/>
    <cellStyle name="=C:\WINNT\SYSTEM32\COMMAND.COM 2 2 39" xfId="1236"/>
    <cellStyle name="=C:\WINNT\SYSTEM32\COMMAND.COM 2 2 4" xfId="1237"/>
    <cellStyle name="=C:\WINNT\SYSTEM32\COMMAND.COM 2 2 40" xfId="1238"/>
    <cellStyle name="=C:\WINNT\SYSTEM32\COMMAND.COM 2 2 41" xfId="1239"/>
    <cellStyle name="=C:\WINNT\SYSTEM32\COMMAND.COM 2 2 42" xfId="1240"/>
    <cellStyle name="=C:\WINNT\SYSTEM32\COMMAND.COM 2 2 43" xfId="1241"/>
    <cellStyle name="=C:\WINNT\SYSTEM32\COMMAND.COM 2 2 44" xfId="1242"/>
    <cellStyle name="=C:\WINNT\SYSTEM32\COMMAND.COM 2 2 45" xfId="1243"/>
    <cellStyle name="=C:\WINNT\SYSTEM32\COMMAND.COM 2 2 46" xfId="1244"/>
    <cellStyle name="=C:\WINNT\SYSTEM32\COMMAND.COM 2 2 47" xfId="1245"/>
    <cellStyle name="=C:\WINNT\SYSTEM32\COMMAND.COM 2 2 48" xfId="1246"/>
    <cellStyle name="=C:\WINNT\SYSTEM32\COMMAND.COM 2 2 5" xfId="1247"/>
    <cellStyle name="=C:\WINNT\SYSTEM32\COMMAND.COM 2 2 6" xfId="1248"/>
    <cellStyle name="=C:\WINNT\SYSTEM32\COMMAND.COM 2 2 7" xfId="1249"/>
    <cellStyle name="=C:\WINNT\SYSTEM32\COMMAND.COM 2 2 8" xfId="1250"/>
    <cellStyle name="=C:\WINNT\SYSTEM32\COMMAND.COM 2 2 9" xfId="1251"/>
    <cellStyle name="=C:\WINNT\SYSTEM32\COMMAND.COM 2 2_1.3s Accounting C Costs Scots" xfId="1252"/>
    <cellStyle name="=C:\WINNT\SYSTEM32\COMMAND.COM 2 3" xfId="1253"/>
    <cellStyle name="=C:\WINNT\SYSTEM32\COMMAND.COM 2 4" xfId="1254"/>
    <cellStyle name="=C:\WINNT\SYSTEM32\COMMAND.COM 2 5" xfId="1255"/>
    <cellStyle name="=C:\WINNT\SYSTEM32\COMMAND.COM 2 6" xfId="1256"/>
    <cellStyle name="=C:\WINNT\SYSTEM32\COMMAND.COM 2 7" xfId="1257"/>
    <cellStyle name="=C:\WINNT\SYSTEM32\COMMAND.COM 2 8" xfId="1258"/>
    <cellStyle name="=C:\WINNT\SYSTEM32\COMMAND.COM 2 9" xfId="1259"/>
    <cellStyle name="=C:\WINNT\SYSTEM32\COMMAND.COM 20" xfId="1260"/>
    <cellStyle name="=C:\WINNT\SYSTEM32\COMMAND.COM 21" xfId="1261"/>
    <cellStyle name="=C:\WINNT\SYSTEM32\COMMAND.COM 22" xfId="1262"/>
    <cellStyle name="=C:\WINNT\SYSTEM32\COMMAND.COM 23" xfId="1263"/>
    <cellStyle name="=C:\WINNT\SYSTEM32\COMMAND.COM 24" xfId="1264"/>
    <cellStyle name="=C:\WINNT\SYSTEM32\COMMAND.COM 25" xfId="1265"/>
    <cellStyle name="=C:\WINNT\SYSTEM32\COMMAND.COM 26" xfId="1266"/>
    <cellStyle name="=C:\WINNT\SYSTEM32\COMMAND.COM 27" xfId="1267"/>
    <cellStyle name="=C:\WINNT\SYSTEM32\COMMAND.COM 28" xfId="1268"/>
    <cellStyle name="=C:\WINNT\SYSTEM32\COMMAND.COM 29" xfId="1269"/>
    <cellStyle name="=C:\WINNT\SYSTEM32\COMMAND.COM 3" xfId="1270"/>
    <cellStyle name="=C:\WINNT\SYSTEM32\COMMAND.COM 3 2" xfId="1271"/>
    <cellStyle name="=C:\WINNT\SYSTEM32\COMMAND.COM 3 3" xfId="1272"/>
    <cellStyle name="=C:\WINNT\SYSTEM32\COMMAND.COM 3 4" xfId="1273"/>
    <cellStyle name="=C:\WINNT\SYSTEM32\COMMAND.COM 3 5" xfId="1274"/>
    <cellStyle name="=C:\WINNT\SYSTEM32\COMMAND.COM 3 6" xfId="1275"/>
    <cellStyle name="=C:\WINNT\SYSTEM32\COMMAND.COM 3 7" xfId="1276"/>
    <cellStyle name="=C:\WINNT\SYSTEM32\COMMAND.COM 3 8" xfId="1277"/>
    <cellStyle name="=C:\WINNT\SYSTEM32\COMMAND.COM 30" xfId="1278"/>
    <cellStyle name="=C:\WINNT\SYSTEM32\COMMAND.COM 31" xfId="1279"/>
    <cellStyle name="=C:\WINNT\SYSTEM32\COMMAND.COM 32" xfId="1280"/>
    <cellStyle name="=C:\WINNT\SYSTEM32\COMMAND.COM 33" xfId="1281"/>
    <cellStyle name="=C:\WINNT\SYSTEM32\COMMAND.COM 34" xfId="1282"/>
    <cellStyle name="=C:\WINNT\SYSTEM32\COMMAND.COM 35" xfId="1283"/>
    <cellStyle name="=C:\WINNT\SYSTEM32\COMMAND.COM 36" xfId="1284"/>
    <cellStyle name="=C:\WINNT\SYSTEM32\COMMAND.COM 37" xfId="1285"/>
    <cellStyle name="=C:\WINNT\SYSTEM32\COMMAND.COM 38" xfId="1286"/>
    <cellStyle name="=C:\WINNT\SYSTEM32\COMMAND.COM 39" xfId="1287"/>
    <cellStyle name="=C:\WINNT\SYSTEM32\COMMAND.COM 4" xfId="1288"/>
    <cellStyle name="=C:\WINNT\SYSTEM32\COMMAND.COM 4 10" xfId="1289"/>
    <cellStyle name="=C:\WINNT\SYSTEM32\COMMAND.COM 4 11" xfId="1290"/>
    <cellStyle name="=C:\WINNT\SYSTEM32\COMMAND.COM 4 12" xfId="1291"/>
    <cellStyle name="=C:\WINNT\SYSTEM32\COMMAND.COM 4 13" xfId="1292"/>
    <cellStyle name="=C:\WINNT\SYSTEM32\COMMAND.COM 4 14" xfId="1293"/>
    <cellStyle name="=C:\WINNT\SYSTEM32\COMMAND.COM 4 15" xfId="1294"/>
    <cellStyle name="=C:\WINNT\SYSTEM32\COMMAND.COM 4 16" xfId="1295"/>
    <cellStyle name="=C:\WINNT\SYSTEM32\COMMAND.COM 4 17" xfId="1296"/>
    <cellStyle name="=C:\WINNT\SYSTEM32\COMMAND.COM 4 18" xfId="1297"/>
    <cellStyle name="=C:\WINNT\SYSTEM32\COMMAND.COM 4 19" xfId="1298"/>
    <cellStyle name="=C:\WINNT\SYSTEM32\COMMAND.COM 4 2" xfId="1299"/>
    <cellStyle name="=C:\WINNT\SYSTEM32\COMMAND.COM 4 20" xfId="1300"/>
    <cellStyle name="=C:\WINNT\SYSTEM32\COMMAND.COM 4 21" xfId="1301"/>
    <cellStyle name="=C:\WINNT\SYSTEM32\COMMAND.COM 4 22" xfId="1302"/>
    <cellStyle name="=C:\WINNT\SYSTEM32\COMMAND.COM 4 23" xfId="1303"/>
    <cellStyle name="=C:\WINNT\SYSTEM32\COMMAND.COM 4 24" xfId="1304"/>
    <cellStyle name="=C:\WINNT\SYSTEM32\COMMAND.COM 4 25" xfId="1305"/>
    <cellStyle name="=C:\WINNT\SYSTEM32\COMMAND.COM 4 26" xfId="1306"/>
    <cellStyle name="=C:\WINNT\SYSTEM32\COMMAND.COM 4 27" xfId="1307"/>
    <cellStyle name="=C:\WINNT\SYSTEM32\COMMAND.COM 4 28" xfId="1308"/>
    <cellStyle name="=C:\WINNT\SYSTEM32\COMMAND.COM 4 29" xfId="1309"/>
    <cellStyle name="=C:\WINNT\SYSTEM32\COMMAND.COM 4 3" xfId="1310"/>
    <cellStyle name="=C:\WINNT\SYSTEM32\COMMAND.COM 4 30" xfId="1311"/>
    <cellStyle name="=C:\WINNT\SYSTEM32\COMMAND.COM 4 31" xfId="1312"/>
    <cellStyle name="=C:\WINNT\SYSTEM32\COMMAND.COM 4 32" xfId="1313"/>
    <cellStyle name="=C:\WINNT\SYSTEM32\COMMAND.COM 4 33" xfId="1314"/>
    <cellStyle name="=C:\WINNT\SYSTEM32\COMMAND.COM 4 34" xfId="1315"/>
    <cellStyle name="=C:\WINNT\SYSTEM32\COMMAND.COM 4 35" xfId="1316"/>
    <cellStyle name="=C:\WINNT\SYSTEM32\COMMAND.COM 4 36" xfId="1317"/>
    <cellStyle name="=C:\WINNT\SYSTEM32\COMMAND.COM 4 37" xfId="1318"/>
    <cellStyle name="=C:\WINNT\SYSTEM32\COMMAND.COM 4 38" xfId="1319"/>
    <cellStyle name="=C:\WINNT\SYSTEM32\COMMAND.COM 4 39" xfId="1320"/>
    <cellStyle name="=C:\WINNT\SYSTEM32\COMMAND.COM 4 4" xfId="1321"/>
    <cellStyle name="=C:\WINNT\SYSTEM32\COMMAND.COM 4 40" xfId="1322"/>
    <cellStyle name="=C:\WINNT\SYSTEM32\COMMAND.COM 4 41" xfId="1323"/>
    <cellStyle name="=C:\WINNT\SYSTEM32\COMMAND.COM 4 42" xfId="1324"/>
    <cellStyle name="=C:\WINNT\SYSTEM32\COMMAND.COM 4 43" xfId="1325"/>
    <cellStyle name="=C:\WINNT\SYSTEM32\COMMAND.COM 4 44" xfId="1326"/>
    <cellStyle name="=C:\WINNT\SYSTEM32\COMMAND.COM 4 45" xfId="1327"/>
    <cellStyle name="=C:\WINNT\SYSTEM32\COMMAND.COM 4 46" xfId="1328"/>
    <cellStyle name="=C:\WINNT\SYSTEM32\COMMAND.COM 4 47" xfId="1329"/>
    <cellStyle name="=C:\WINNT\SYSTEM32\COMMAND.COM 4 5" xfId="1330"/>
    <cellStyle name="=C:\WINNT\SYSTEM32\COMMAND.COM 4 6" xfId="1331"/>
    <cellStyle name="=C:\WINNT\SYSTEM32\COMMAND.COM 4 7" xfId="1332"/>
    <cellStyle name="=C:\WINNT\SYSTEM32\COMMAND.COM 4 8" xfId="1333"/>
    <cellStyle name="=C:\WINNT\SYSTEM32\COMMAND.COM 4 9" xfId="1334"/>
    <cellStyle name="=C:\WINNT\SYSTEM32\COMMAND.COM 4_1.3s Accounting C Costs Scots" xfId="1335"/>
    <cellStyle name="=C:\WINNT\SYSTEM32\COMMAND.COM 40" xfId="1336"/>
    <cellStyle name="=C:\WINNT\SYSTEM32\COMMAND.COM 41" xfId="1337"/>
    <cellStyle name="=C:\WINNT\SYSTEM32\COMMAND.COM 42" xfId="1338"/>
    <cellStyle name="=C:\WINNT\SYSTEM32\COMMAND.COM 43" xfId="1339"/>
    <cellStyle name="=C:\WINNT\SYSTEM32\COMMAND.COM 44" xfId="1340"/>
    <cellStyle name="=C:\WINNT\SYSTEM32\COMMAND.COM 45" xfId="1341"/>
    <cellStyle name="=C:\WINNT\SYSTEM32\COMMAND.COM 46" xfId="1342"/>
    <cellStyle name="=C:\WINNT\SYSTEM32\COMMAND.COM 47" xfId="1343"/>
    <cellStyle name="=C:\WINNT\SYSTEM32\COMMAND.COM 48" xfId="1344"/>
    <cellStyle name="=C:\WINNT\SYSTEM32\COMMAND.COM 49" xfId="1345"/>
    <cellStyle name="=C:\WINNT\SYSTEM32\COMMAND.COM 5" xfId="1346"/>
    <cellStyle name="=C:\WINNT\SYSTEM32\COMMAND.COM 5 10" xfId="1347"/>
    <cellStyle name="=C:\WINNT\SYSTEM32\COMMAND.COM 5 10 2" xfId="1348"/>
    <cellStyle name="=C:\WINNT\SYSTEM32\COMMAND.COM 5 10 3" xfId="1349"/>
    <cellStyle name="=C:\WINNT\SYSTEM32\COMMAND.COM 5 10 4" xfId="1350"/>
    <cellStyle name="=C:\WINNT\SYSTEM32\COMMAND.COM 5 10 5" xfId="1351"/>
    <cellStyle name="=C:\WINNT\SYSTEM32\COMMAND.COM 5 10 6" xfId="1352"/>
    <cellStyle name="=C:\WINNT\SYSTEM32\COMMAND.COM 5 10 7" xfId="1353"/>
    <cellStyle name="=C:\WINNT\SYSTEM32\COMMAND.COM 5 10 8" xfId="1354"/>
    <cellStyle name="=C:\WINNT\SYSTEM32\COMMAND.COM 5 11" xfId="1355"/>
    <cellStyle name="=C:\WINNT\SYSTEM32\COMMAND.COM 5 11 2" xfId="1356"/>
    <cellStyle name="=C:\WINNT\SYSTEM32\COMMAND.COM 5 11 3" xfId="1357"/>
    <cellStyle name="=C:\WINNT\SYSTEM32\COMMAND.COM 5 11 4" xfId="1358"/>
    <cellStyle name="=C:\WINNT\SYSTEM32\COMMAND.COM 5 11 5" xfId="1359"/>
    <cellStyle name="=C:\WINNT\SYSTEM32\COMMAND.COM 5 11 6" xfId="1360"/>
    <cellStyle name="=C:\WINNT\SYSTEM32\COMMAND.COM 5 11 7" xfId="1361"/>
    <cellStyle name="=C:\WINNT\SYSTEM32\COMMAND.COM 5 11 8" xfId="1362"/>
    <cellStyle name="=C:\WINNT\SYSTEM32\COMMAND.COM 5 12" xfId="1363"/>
    <cellStyle name="=C:\WINNT\SYSTEM32\COMMAND.COM 5 12 2" xfId="1364"/>
    <cellStyle name="=C:\WINNT\SYSTEM32\COMMAND.COM 5 12 3" xfId="1365"/>
    <cellStyle name="=C:\WINNT\SYSTEM32\COMMAND.COM 5 12 4" xfId="1366"/>
    <cellStyle name="=C:\WINNT\SYSTEM32\COMMAND.COM 5 12 5" xfId="1367"/>
    <cellStyle name="=C:\WINNT\SYSTEM32\COMMAND.COM 5 12 6" xfId="1368"/>
    <cellStyle name="=C:\WINNT\SYSTEM32\COMMAND.COM 5 12 7" xfId="1369"/>
    <cellStyle name="=C:\WINNT\SYSTEM32\COMMAND.COM 5 12 8" xfId="1370"/>
    <cellStyle name="=C:\WINNT\SYSTEM32\COMMAND.COM 5 13" xfId="1371"/>
    <cellStyle name="=C:\WINNT\SYSTEM32\COMMAND.COM 5 13 2" xfId="1372"/>
    <cellStyle name="=C:\WINNT\SYSTEM32\COMMAND.COM 5 13 3" xfId="1373"/>
    <cellStyle name="=C:\WINNT\SYSTEM32\COMMAND.COM 5 13 4" xfId="1374"/>
    <cellStyle name="=C:\WINNT\SYSTEM32\COMMAND.COM 5 13 5" xfId="1375"/>
    <cellStyle name="=C:\WINNT\SYSTEM32\COMMAND.COM 5 13 6" xfId="1376"/>
    <cellStyle name="=C:\WINNT\SYSTEM32\COMMAND.COM 5 13 7" xfId="1377"/>
    <cellStyle name="=C:\WINNT\SYSTEM32\COMMAND.COM 5 13 8" xfId="1378"/>
    <cellStyle name="=C:\WINNT\SYSTEM32\COMMAND.COM 5 14" xfId="1379"/>
    <cellStyle name="=C:\WINNT\SYSTEM32\COMMAND.COM 5 14 2" xfId="1380"/>
    <cellStyle name="=C:\WINNT\SYSTEM32\COMMAND.COM 5 14 3" xfId="1381"/>
    <cellStyle name="=C:\WINNT\SYSTEM32\COMMAND.COM 5 14 4" xfId="1382"/>
    <cellStyle name="=C:\WINNT\SYSTEM32\COMMAND.COM 5 14 5" xfId="1383"/>
    <cellStyle name="=C:\WINNT\SYSTEM32\COMMAND.COM 5 14 6" xfId="1384"/>
    <cellStyle name="=C:\WINNT\SYSTEM32\COMMAND.COM 5 14 7" xfId="1385"/>
    <cellStyle name="=C:\WINNT\SYSTEM32\COMMAND.COM 5 14 8" xfId="1386"/>
    <cellStyle name="=C:\WINNT\SYSTEM32\COMMAND.COM 5 15" xfId="1387"/>
    <cellStyle name="=C:\WINNT\SYSTEM32\COMMAND.COM 5 15 2" xfId="1388"/>
    <cellStyle name="=C:\WINNT\SYSTEM32\COMMAND.COM 5 15 3" xfId="1389"/>
    <cellStyle name="=C:\WINNT\SYSTEM32\COMMAND.COM 5 15 4" xfId="1390"/>
    <cellStyle name="=C:\WINNT\SYSTEM32\COMMAND.COM 5 15 5" xfId="1391"/>
    <cellStyle name="=C:\WINNT\SYSTEM32\COMMAND.COM 5 15 6" xfId="1392"/>
    <cellStyle name="=C:\WINNT\SYSTEM32\COMMAND.COM 5 15 7" xfId="1393"/>
    <cellStyle name="=C:\WINNT\SYSTEM32\COMMAND.COM 5 15 8" xfId="1394"/>
    <cellStyle name="=C:\WINNT\SYSTEM32\COMMAND.COM 5 16" xfId="1395"/>
    <cellStyle name="=C:\WINNT\SYSTEM32\COMMAND.COM 5 16 2" xfId="1396"/>
    <cellStyle name="=C:\WINNT\SYSTEM32\COMMAND.COM 5 16 3" xfId="1397"/>
    <cellStyle name="=C:\WINNT\SYSTEM32\COMMAND.COM 5 16 4" xfId="1398"/>
    <cellStyle name="=C:\WINNT\SYSTEM32\COMMAND.COM 5 16 5" xfId="1399"/>
    <cellStyle name="=C:\WINNT\SYSTEM32\COMMAND.COM 5 16 6" xfId="1400"/>
    <cellStyle name="=C:\WINNT\SYSTEM32\COMMAND.COM 5 16 7" xfId="1401"/>
    <cellStyle name="=C:\WINNT\SYSTEM32\COMMAND.COM 5 16 8" xfId="1402"/>
    <cellStyle name="=C:\WINNT\SYSTEM32\COMMAND.COM 5 17" xfId="1403"/>
    <cellStyle name="=C:\WINNT\SYSTEM32\COMMAND.COM 5 17 2" xfId="1404"/>
    <cellStyle name="=C:\WINNT\SYSTEM32\COMMAND.COM 5 17 3" xfId="1405"/>
    <cellStyle name="=C:\WINNT\SYSTEM32\COMMAND.COM 5 17 4" xfId="1406"/>
    <cellStyle name="=C:\WINNT\SYSTEM32\COMMAND.COM 5 17 5" xfId="1407"/>
    <cellStyle name="=C:\WINNT\SYSTEM32\COMMAND.COM 5 17 6" xfId="1408"/>
    <cellStyle name="=C:\WINNT\SYSTEM32\COMMAND.COM 5 17 7" xfId="1409"/>
    <cellStyle name="=C:\WINNT\SYSTEM32\COMMAND.COM 5 17 8" xfId="1410"/>
    <cellStyle name="=C:\WINNT\SYSTEM32\COMMAND.COM 5 18" xfId="1411"/>
    <cellStyle name="=C:\WINNT\SYSTEM32\COMMAND.COM 5 18 2" xfId="1412"/>
    <cellStyle name="=C:\WINNT\SYSTEM32\COMMAND.COM 5 18 3" xfId="1413"/>
    <cellStyle name="=C:\WINNT\SYSTEM32\COMMAND.COM 5 18 4" xfId="1414"/>
    <cellStyle name="=C:\WINNT\SYSTEM32\COMMAND.COM 5 18 5" xfId="1415"/>
    <cellStyle name="=C:\WINNT\SYSTEM32\COMMAND.COM 5 18 6" xfId="1416"/>
    <cellStyle name="=C:\WINNT\SYSTEM32\COMMAND.COM 5 18 7" xfId="1417"/>
    <cellStyle name="=C:\WINNT\SYSTEM32\COMMAND.COM 5 18 8" xfId="1418"/>
    <cellStyle name="=C:\WINNT\SYSTEM32\COMMAND.COM 5 19" xfId="1419"/>
    <cellStyle name="=C:\WINNT\SYSTEM32\COMMAND.COM 5 19 2" xfId="1420"/>
    <cellStyle name="=C:\WINNT\SYSTEM32\COMMAND.COM 5 19 3" xfId="1421"/>
    <cellStyle name="=C:\WINNT\SYSTEM32\COMMAND.COM 5 19 4" xfId="1422"/>
    <cellStyle name="=C:\WINNT\SYSTEM32\COMMAND.COM 5 19 5" xfId="1423"/>
    <cellStyle name="=C:\WINNT\SYSTEM32\COMMAND.COM 5 19 6" xfId="1424"/>
    <cellStyle name="=C:\WINNT\SYSTEM32\COMMAND.COM 5 19 7" xfId="1425"/>
    <cellStyle name="=C:\WINNT\SYSTEM32\COMMAND.COM 5 19 8" xfId="1426"/>
    <cellStyle name="=C:\WINNT\SYSTEM32\COMMAND.COM 5 2" xfId="1427"/>
    <cellStyle name="=C:\WINNT\SYSTEM32\COMMAND.COM 5 2 2" xfId="1428"/>
    <cellStyle name="=C:\WINNT\SYSTEM32\COMMAND.COM 5 2 3" xfId="1429"/>
    <cellStyle name="=C:\WINNT\SYSTEM32\COMMAND.COM 5 2 4" xfId="1430"/>
    <cellStyle name="=C:\WINNT\SYSTEM32\COMMAND.COM 5 2 5" xfId="1431"/>
    <cellStyle name="=C:\WINNT\SYSTEM32\COMMAND.COM 5 2 6" xfId="1432"/>
    <cellStyle name="=C:\WINNT\SYSTEM32\COMMAND.COM 5 2 7" xfId="1433"/>
    <cellStyle name="=C:\WINNT\SYSTEM32\COMMAND.COM 5 2 8" xfId="1434"/>
    <cellStyle name="=C:\WINNT\SYSTEM32\COMMAND.COM 5 2 9" xfId="1435"/>
    <cellStyle name="=C:\WINNT\SYSTEM32\COMMAND.COM 5 20" xfId="1436"/>
    <cellStyle name="=C:\WINNT\SYSTEM32\COMMAND.COM 5 20 2" xfId="1437"/>
    <cellStyle name="=C:\WINNT\SYSTEM32\COMMAND.COM 5 20 3" xfId="1438"/>
    <cellStyle name="=C:\WINNT\SYSTEM32\COMMAND.COM 5 20 4" xfId="1439"/>
    <cellStyle name="=C:\WINNT\SYSTEM32\COMMAND.COM 5 20 5" xfId="1440"/>
    <cellStyle name="=C:\WINNT\SYSTEM32\COMMAND.COM 5 20 6" xfId="1441"/>
    <cellStyle name="=C:\WINNT\SYSTEM32\COMMAND.COM 5 20 7" xfId="1442"/>
    <cellStyle name="=C:\WINNT\SYSTEM32\COMMAND.COM 5 20 8" xfId="1443"/>
    <cellStyle name="=C:\WINNT\SYSTEM32\COMMAND.COM 5 21" xfId="1444"/>
    <cellStyle name="=C:\WINNT\SYSTEM32\COMMAND.COM 5 21 2" xfId="1445"/>
    <cellStyle name="=C:\WINNT\SYSTEM32\COMMAND.COM 5 21 3" xfId="1446"/>
    <cellStyle name="=C:\WINNT\SYSTEM32\COMMAND.COM 5 21 4" xfId="1447"/>
    <cellStyle name="=C:\WINNT\SYSTEM32\COMMAND.COM 5 21 5" xfId="1448"/>
    <cellStyle name="=C:\WINNT\SYSTEM32\COMMAND.COM 5 21 6" xfId="1449"/>
    <cellStyle name="=C:\WINNT\SYSTEM32\COMMAND.COM 5 21 7" xfId="1450"/>
    <cellStyle name="=C:\WINNT\SYSTEM32\COMMAND.COM 5 21 8" xfId="1451"/>
    <cellStyle name="=C:\WINNT\SYSTEM32\COMMAND.COM 5 22" xfId="1452"/>
    <cellStyle name="=C:\WINNT\SYSTEM32\COMMAND.COM 5 22 2" xfId="1453"/>
    <cellStyle name="=C:\WINNT\SYSTEM32\COMMAND.COM 5 22 3" xfId="1454"/>
    <cellStyle name="=C:\WINNT\SYSTEM32\COMMAND.COM 5 22 4" xfId="1455"/>
    <cellStyle name="=C:\WINNT\SYSTEM32\COMMAND.COM 5 22 5" xfId="1456"/>
    <cellStyle name="=C:\WINNT\SYSTEM32\COMMAND.COM 5 22 6" xfId="1457"/>
    <cellStyle name="=C:\WINNT\SYSTEM32\COMMAND.COM 5 22 7" xfId="1458"/>
    <cellStyle name="=C:\WINNT\SYSTEM32\COMMAND.COM 5 22 8" xfId="1459"/>
    <cellStyle name="=C:\WINNT\SYSTEM32\COMMAND.COM 5 3" xfId="1460"/>
    <cellStyle name="=C:\WINNT\SYSTEM32\COMMAND.COM 5 3 2" xfId="1461"/>
    <cellStyle name="=C:\WINNT\SYSTEM32\COMMAND.COM 5 3 3" xfId="1462"/>
    <cellStyle name="=C:\WINNT\SYSTEM32\COMMAND.COM 5 3 4" xfId="1463"/>
    <cellStyle name="=C:\WINNT\SYSTEM32\COMMAND.COM 5 3 5" xfId="1464"/>
    <cellStyle name="=C:\WINNT\SYSTEM32\COMMAND.COM 5 3 6" xfId="1465"/>
    <cellStyle name="=C:\WINNT\SYSTEM32\COMMAND.COM 5 3 7" xfId="1466"/>
    <cellStyle name="=C:\WINNT\SYSTEM32\COMMAND.COM 5 3 8" xfId="1467"/>
    <cellStyle name="=C:\WINNT\SYSTEM32\COMMAND.COM 5 4" xfId="1468"/>
    <cellStyle name="=C:\WINNT\SYSTEM32\COMMAND.COM 5 4 2" xfId="1469"/>
    <cellStyle name="=C:\WINNT\SYSTEM32\COMMAND.COM 5 4 3" xfId="1470"/>
    <cellStyle name="=C:\WINNT\SYSTEM32\COMMAND.COM 5 4 4" xfId="1471"/>
    <cellStyle name="=C:\WINNT\SYSTEM32\COMMAND.COM 5 4 5" xfId="1472"/>
    <cellStyle name="=C:\WINNT\SYSTEM32\COMMAND.COM 5 4 6" xfId="1473"/>
    <cellStyle name="=C:\WINNT\SYSTEM32\COMMAND.COM 5 4 7" xfId="1474"/>
    <cellStyle name="=C:\WINNT\SYSTEM32\COMMAND.COM 5 4 8" xfId="1475"/>
    <cellStyle name="=C:\WINNT\SYSTEM32\COMMAND.COM 5 5" xfId="1476"/>
    <cellStyle name="=C:\WINNT\SYSTEM32\COMMAND.COM 5 5 2" xfId="1477"/>
    <cellStyle name="=C:\WINNT\SYSTEM32\COMMAND.COM 5 5 3" xfId="1478"/>
    <cellStyle name="=C:\WINNT\SYSTEM32\COMMAND.COM 5 5 4" xfId="1479"/>
    <cellStyle name="=C:\WINNT\SYSTEM32\COMMAND.COM 5 5 5" xfId="1480"/>
    <cellStyle name="=C:\WINNT\SYSTEM32\COMMAND.COM 5 5 6" xfId="1481"/>
    <cellStyle name="=C:\WINNT\SYSTEM32\COMMAND.COM 5 5 7" xfId="1482"/>
    <cellStyle name="=C:\WINNT\SYSTEM32\COMMAND.COM 5 5 8" xfId="1483"/>
    <cellStyle name="=C:\WINNT\SYSTEM32\COMMAND.COM 5 6" xfId="1484"/>
    <cellStyle name="=C:\WINNT\SYSTEM32\COMMAND.COM 5 6 2" xfId="1485"/>
    <cellStyle name="=C:\WINNT\SYSTEM32\COMMAND.COM 5 6 3" xfId="1486"/>
    <cellStyle name="=C:\WINNT\SYSTEM32\COMMAND.COM 5 6 4" xfId="1487"/>
    <cellStyle name="=C:\WINNT\SYSTEM32\COMMAND.COM 5 6 5" xfId="1488"/>
    <cellStyle name="=C:\WINNT\SYSTEM32\COMMAND.COM 5 6 6" xfId="1489"/>
    <cellStyle name="=C:\WINNT\SYSTEM32\COMMAND.COM 5 6 7" xfId="1490"/>
    <cellStyle name="=C:\WINNT\SYSTEM32\COMMAND.COM 5 6 8" xfId="1491"/>
    <cellStyle name="=C:\WINNT\SYSTEM32\COMMAND.COM 5 7" xfId="1492"/>
    <cellStyle name="=C:\WINNT\SYSTEM32\COMMAND.COM 5 7 2" xfId="1493"/>
    <cellStyle name="=C:\WINNT\SYSTEM32\COMMAND.COM 5 7 3" xfId="1494"/>
    <cellStyle name="=C:\WINNT\SYSTEM32\COMMAND.COM 5 7 4" xfId="1495"/>
    <cellStyle name="=C:\WINNT\SYSTEM32\COMMAND.COM 5 7 5" xfId="1496"/>
    <cellStyle name="=C:\WINNT\SYSTEM32\COMMAND.COM 5 7 6" xfId="1497"/>
    <cellStyle name="=C:\WINNT\SYSTEM32\COMMAND.COM 5 7 7" xfId="1498"/>
    <cellStyle name="=C:\WINNT\SYSTEM32\COMMAND.COM 5 7 8" xfId="1499"/>
    <cellStyle name="=C:\WINNT\SYSTEM32\COMMAND.COM 5 8" xfId="1500"/>
    <cellStyle name="=C:\WINNT\SYSTEM32\COMMAND.COM 5 8 2" xfId="1501"/>
    <cellStyle name="=C:\WINNT\SYSTEM32\COMMAND.COM 5 8 3" xfId="1502"/>
    <cellStyle name="=C:\WINNT\SYSTEM32\COMMAND.COM 5 8 4" xfId="1503"/>
    <cellStyle name="=C:\WINNT\SYSTEM32\COMMAND.COM 5 8 5" xfId="1504"/>
    <cellStyle name="=C:\WINNT\SYSTEM32\COMMAND.COM 5 8 6" xfId="1505"/>
    <cellStyle name="=C:\WINNT\SYSTEM32\COMMAND.COM 5 8 7" xfId="1506"/>
    <cellStyle name="=C:\WINNT\SYSTEM32\COMMAND.COM 5 8 8" xfId="1507"/>
    <cellStyle name="=C:\WINNT\SYSTEM32\COMMAND.COM 5 9" xfId="1508"/>
    <cellStyle name="=C:\WINNT\SYSTEM32\COMMAND.COM 5 9 2" xfId="1509"/>
    <cellStyle name="=C:\WINNT\SYSTEM32\COMMAND.COM 5 9 3" xfId="1510"/>
    <cellStyle name="=C:\WINNT\SYSTEM32\COMMAND.COM 5 9 4" xfId="1511"/>
    <cellStyle name="=C:\WINNT\SYSTEM32\COMMAND.COM 5 9 5" xfId="1512"/>
    <cellStyle name="=C:\WINNT\SYSTEM32\COMMAND.COM 5 9 6" xfId="1513"/>
    <cellStyle name="=C:\WINNT\SYSTEM32\COMMAND.COM 5 9 7" xfId="1514"/>
    <cellStyle name="=C:\WINNT\SYSTEM32\COMMAND.COM 5 9 8" xfId="1515"/>
    <cellStyle name="=C:\WINNT\SYSTEM32\COMMAND.COM 50" xfId="1516"/>
    <cellStyle name="=C:\WINNT\SYSTEM32\COMMAND.COM 51" xfId="1517"/>
    <cellStyle name="=C:\WINNT\SYSTEM32\COMMAND.COM 52" xfId="1518"/>
    <cellStyle name="=C:\WINNT\SYSTEM32\COMMAND.COM 53" xfId="1519"/>
    <cellStyle name="=C:\WINNT\SYSTEM32\COMMAND.COM 54" xfId="1520"/>
    <cellStyle name="=C:\WINNT\SYSTEM32\COMMAND.COM 55" xfId="1521"/>
    <cellStyle name="=C:\WINNT\SYSTEM32\COMMAND.COM 56" xfId="1522"/>
    <cellStyle name="=C:\WINNT\SYSTEM32\COMMAND.COM 57" xfId="1523"/>
    <cellStyle name="=C:\WINNT\SYSTEM32\COMMAND.COM 58" xfId="1524"/>
    <cellStyle name="=C:\WINNT\SYSTEM32\COMMAND.COM 59" xfId="1525"/>
    <cellStyle name="=C:\WINNT\SYSTEM32\COMMAND.COM 6" xfId="1526"/>
    <cellStyle name="=C:\WINNT\SYSTEM32\COMMAND.COM 6 2" xfId="1527"/>
    <cellStyle name="=C:\WINNT\SYSTEM32\COMMAND.COM 6 3" xfId="1528"/>
    <cellStyle name="=C:\WINNT\SYSTEM32\COMMAND.COM 60" xfId="1529"/>
    <cellStyle name="=C:\WINNT\SYSTEM32\COMMAND.COM 61" xfId="1530"/>
    <cellStyle name="=C:\WINNT\SYSTEM32\COMMAND.COM 62" xfId="1531"/>
    <cellStyle name="=C:\WINNT\SYSTEM32\COMMAND.COM 63" xfId="1532"/>
    <cellStyle name="=C:\WINNT\SYSTEM32\COMMAND.COM 64" xfId="1533"/>
    <cellStyle name="=C:\WINNT\SYSTEM32\COMMAND.COM 65" xfId="1534"/>
    <cellStyle name="=C:\WINNT\SYSTEM32\COMMAND.COM 66" xfId="1535"/>
    <cellStyle name="=C:\WINNT\SYSTEM32\COMMAND.COM 7" xfId="1536"/>
    <cellStyle name="=C:\WINNT\SYSTEM32\COMMAND.COM 7 2" xfId="1537"/>
    <cellStyle name="=C:\WINNT\SYSTEM32\COMMAND.COM 7 2 2" xfId="1538"/>
    <cellStyle name="=C:\WINNT\SYSTEM32\COMMAND.COM 7 2 2 2" xfId="1539"/>
    <cellStyle name="=C:\WINNT\SYSTEM32\COMMAND.COM 7 2 3" xfId="1540"/>
    <cellStyle name="=C:\WINNT\SYSTEM32\COMMAND.COM 7 3" xfId="1541"/>
    <cellStyle name="=C:\WINNT\SYSTEM32\COMMAND.COM 7 3 2" xfId="1542"/>
    <cellStyle name="=C:\WINNT\SYSTEM32\COMMAND.COM 7 4" xfId="1543"/>
    <cellStyle name="=C:\WINNT\SYSTEM32\COMMAND.COM 8" xfId="1544"/>
    <cellStyle name="=C:\WINNT\SYSTEM32\COMMAND.COM 8 2" xfId="1545"/>
    <cellStyle name="=C:\WINNT\SYSTEM32\COMMAND.COM 9" xfId="1546"/>
    <cellStyle name="=C:\WINNT\SYSTEM32\COMMAND.COM_1.5 Opex Reconciliation NG" xfId="1547"/>
    <cellStyle name="=C:\WINNT35\SYSTEM32\COMMAND.COM" xfId="1548"/>
    <cellStyle name="=C:\WINNT35\SYSTEM32\COMMAND.COM 10" xfId="1549"/>
    <cellStyle name="=C:\WINNT35\SYSTEM32\COMMAND.COM 11" xfId="1550"/>
    <cellStyle name="=C:\WINNT35\SYSTEM32\COMMAND.COM 12" xfId="1551"/>
    <cellStyle name="=C:\WINNT35\SYSTEM32\COMMAND.COM 13" xfId="1552"/>
    <cellStyle name="=C:\WINNT35\SYSTEM32\COMMAND.COM 14" xfId="1553"/>
    <cellStyle name="=C:\WINNT35\SYSTEM32\COMMAND.COM 15" xfId="1554"/>
    <cellStyle name="=C:\WINNT35\SYSTEM32\COMMAND.COM 16" xfId="1555"/>
    <cellStyle name="=C:\WINNT35\SYSTEM32\COMMAND.COM 17" xfId="1556"/>
    <cellStyle name="=C:\WINNT35\SYSTEM32\COMMAND.COM 18" xfId="1557"/>
    <cellStyle name="=C:\WINNT35\SYSTEM32\COMMAND.COM 19" xfId="1558"/>
    <cellStyle name="=C:\WINNT35\SYSTEM32\COMMAND.COM 2" xfId="1559"/>
    <cellStyle name="=C:\WINNT35\SYSTEM32\COMMAND.COM 20" xfId="1560"/>
    <cellStyle name="=C:\WINNT35\SYSTEM32\COMMAND.COM 21" xfId="1561"/>
    <cellStyle name="=C:\WINNT35\SYSTEM32\COMMAND.COM 22" xfId="1562"/>
    <cellStyle name="=C:\WINNT35\SYSTEM32\COMMAND.COM 23" xfId="1563"/>
    <cellStyle name="=C:\WINNT35\SYSTEM32\COMMAND.COM 24" xfId="1564"/>
    <cellStyle name="=C:\WINNT35\SYSTEM32\COMMAND.COM 25" xfId="1565"/>
    <cellStyle name="=C:\WINNT35\SYSTEM32\COMMAND.COM 26" xfId="1566"/>
    <cellStyle name="=C:\WINNT35\SYSTEM32\COMMAND.COM 27" xfId="1567"/>
    <cellStyle name="=C:\WINNT35\SYSTEM32\COMMAND.COM 28" xfId="1568"/>
    <cellStyle name="=C:\WINNT35\SYSTEM32\COMMAND.COM 29" xfId="1569"/>
    <cellStyle name="=C:\WINNT35\SYSTEM32\COMMAND.COM 3" xfId="1570"/>
    <cellStyle name="=C:\WINNT35\SYSTEM32\COMMAND.COM 30" xfId="1571"/>
    <cellStyle name="=C:\WINNT35\SYSTEM32\COMMAND.COM 31" xfId="1572"/>
    <cellStyle name="=C:\WINNT35\SYSTEM32\COMMAND.COM 32" xfId="1573"/>
    <cellStyle name="=C:\WINNT35\SYSTEM32\COMMAND.COM 33" xfId="1574"/>
    <cellStyle name="=C:\WINNT35\SYSTEM32\COMMAND.COM 34" xfId="1575"/>
    <cellStyle name="=C:\WINNT35\SYSTEM32\COMMAND.COM 35" xfId="1576"/>
    <cellStyle name="=C:\WINNT35\SYSTEM32\COMMAND.COM 36" xfId="1577"/>
    <cellStyle name="=C:\WINNT35\SYSTEM32\COMMAND.COM 37" xfId="1578"/>
    <cellStyle name="=C:\WINNT35\SYSTEM32\COMMAND.COM 38" xfId="1579"/>
    <cellStyle name="=C:\WINNT35\SYSTEM32\COMMAND.COM 39" xfId="1580"/>
    <cellStyle name="=C:\WINNT35\SYSTEM32\COMMAND.COM 4" xfId="1581"/>
    <cellStyle name="=C:\WINNT35\SYSTEM32\COMMAND.COM 40" xfId="1582"/>
    <cellStyle name="=C:\WINNT35\SYSTEM32\COMMAND.COM 41" xfId="1583"/>
    <cellStyle name="=C:\WINNT35\SYSTEM32\COMMAND.COM 42" xfId="1584"/>
    <cellStyle name="=C:\WINNT35\SYSTEM32\COMMAND.COM 43" xfId="1585"/>
    <cellStyle name="=C:\WINNT35\SYSTEM32\COMMAND.COM 44" xfId="1586"/>
    <cellStyle name="=C:\WINNT35\SYSTEM32\COMMAND.COM 45" xfId="1587"/>
    <cellStyle name="=C:\WINNT35\SYSTEM32\COMMAND.COM 46" xfId="1588"/>
    <cellStyle name="=C:\WINNT35\SYSTEM32\COMMAND.COM 47" xfId="1589"/>
    <cellStyle name="=C:\WINNT35\SYSTEM32\COMMAND.COM 5" xfId="1590"/>
    <cellStyle name="=C:\WINNT35\SYSTEM32\COMMAND.COM 6" xfId="1591"/>
    <cellStyle name="=C:\WINNT35\SYSTEM32\COMMAND.COM 7" xfId="1592"/>
    <cellStyle name="=C:\WINNT35\SYSTEM32\COMMAND.COM 8" xfId="1593"/>
    <cellStyle name="=C:\WINNT35\SYSTEM32\COMMAND.COM 9" xfId="1594"/>
    <cellStyle name="=C:\WINNT35\SYSTEM32\COMMAND.COM_1.3s Accounting C Costs Scots" xfId="1595"/>
    <cellStyle name="•W_Area" xfId="1596"/>
    <cellStyle name="0" xfId="1597"/>
    <cellStyle name="0,0_x000a__x000a_NA_x000a__x000a_" xfId="1598"/>
    <cellStyle name="0,0_x000a__x000a_NA_x000a__x000a_ 2" xfId="1599"/>
    <cellStyle name="0_Credit Rating Ratios" xfId="1600"/>
    <cellStyle name="0_Pension numbers in 09 Plan  Budget (3)" xfId="1601"/>
    <cellStyle name="0_Vattenfall Euro CY" xfId="1602"/>
    <cellStyle name="0DP" xfId="1603"/>
    <cellStyle name="0DP bold" xfId="1604"/>
    <cellStyle name="0DP_calcSens" xfId="1605"/>
    <cellStyle name="1000s (0)" xfId="1606"/>
    <cellStyle name="12pt Title" xfId="1607"/>
    <cellStyle name="14pt Title" xfId="1608"/>
    <cellStyle name="1DP" xfId="1609"/>
    <cellStyle name="1DP bold" xfId="1610"/>
    <cellStyle name="1DP_Draft RIIO plan presentation template - Customer Opsx Centre V7" xfId="1611"/>
    <cellStyle name="20% - Accent1 2" xfId="1612"/>
    <cellStyle name="20% - Accent1 2 2" xfId="1613"/>
    <cellStyle name="20% - Accent1 2 2 2" xfId="1614"/>
    <cellStyle name="20% - Accent1 2 2 2 2" xfId="1615"/>
    <cellStyle name="20% - Accent1 2 2 2 2 2" xfId="1616"/>
    <cellStyle name="20% - Accent1 2 2 2 3" xfId="1617"/>
    <cellStyle name="20% - Accent1 2 2 2 4" xfId="1618"/>
    <cellStyle name="20% - Accent1 2 2 3" xfId="1619"/>
    <cellStyle name="20% - Accent1 2 2 3 2" xfId="1620"/>
    <cellStyle name="20% - Accent1 2 2 3 2 2" xfId="1621"/>
    <cellStyle name="20% - Accent1 2 2 4" xfId="1622"/>
    <cellStyle name="20% - Accent1 2 2 5" xfId="1623"/>
    <cellStyle name="20% - Accent1 2 2 6" xfId="1624"/>
    <cellStyle name="20% - Accent1 2 2 6 2" xfId="1625"/>
    <cellStyle name="20% - Accent1 2 3" xfId="1626"/>
    <cellStyle name="20% - Accent1 2 4" xfId="1627"/>
    <cellStyle name="20% - Accent1 2 4 2" xfId="1628"/>
    <cellStyle name="20% - Accent1 2 4 2 2" xfId="1629"/>
    <cellStyle name="20% - Accent1 2 5" xfId="1630"/>
    <cellStyle name="20% - Accent1 2 5 2" xfId="1631"/>
    <cellStyle name="20% - Accent1 2 5 2 2" xfId="1632"/>
    <cellStyle name="20% - Accent1 2 6" xfId="1633"/>
    <cellStyle name="20% - Accent1 2 7" xfId="1634"/>
    <cellStyle name="20% - Accent1 3" xfId="1635"/>
    <cellStyle name="20% - Accent1 3 2" xfId="1636"/>
    <cellStyle name="20% - Accent1 3 3" xfId="1637"/>
    <cellStyle name="20% - Accent1 4" xfId="1638"/>
    <cellStyle name="20% - Accent1 5" xfId="1639"/>
    <cellStyle name="20% - Accent1 6" xfId="1640"/>
    <cellStyle name="20% - Accent1 7" xfId="1641"/>
    <cellStyle name="20% - Accent2 2" xfId="1642"/>
    <cellStyle name="20% - Accent2 2 2" xfId="1643"/>
    <cellStyle name="20% - Accent2 2 2 2" xfId="1644"/>
    <cellStyle name="20% - Accent2 2 2 2 2" xfId="1645"/>
    <cellStyle name="20% - Accent2 2 2 2 2 2" xfId="1646"/>
    <cellStyle name="20% - Accent2 2 2 2 3" xfId="1647"/>
    <cellStyle name="20% - Accent2 2 2 2 4" xfId="1648"/>
    <cellStyle name="20% - Accent2 2 2 3" xfId="1649"/>
    <cellStyle name="20% - Accent2 2 2 3 2" xfId="1650"/>
    <cellStyle name="20% - Accent2 2 2 3 2 2" xfId="1651"/>
    <cellStyle name="20% - Accent2 2 2 4" xfId="1652"/>
    <cellStyle name="20% - Accent2 2 2 5" xfId="1653"/>
    <cellStyle name="20% - Accent2 2 2 6" xfId="1654"/>
    <cellStyle name="20% - Accent2 2 2 6 2" xfId="1655"/>
    <cellStyle name="20% - Accent2 2 3" xfId="1656"/>
    <cellStyle name="20% - Accent2 2 4" xfId="1657"/>
    <cellStyle name="20% - Accent2 2 4 2" xfId="1658"/>
    <cellStyle name="20% - Accent2 2 4 2 2" xfId="1659"/>
    <cellStyle name="20% - Accent2 2 5" xfId="1660"/>
    <cellStyle name="20% - Accent2 2 5 2" xfId="1661"/>
    <cellStyle name="20% - Accent2 2 5 2 2" xfId="1662"/>
    <cellStyle name="20% - Accent2 2 6" xfId="1663"/>
    <cellStyle name="20% - Accent2 2 7" xfId="1664"/>
    <cellStyle name="20% - Accent2 3" xfId="1665"/>
    <cellStyle name="20% - Accent2 3 2" xfId="1666"/>
    <cellStyle name="20% - Accent2 3 3" xfId="1667"/>
    <cellStyle name="20% - Accent2 4" xfId="1668"/>
    <cellStyle name="20% - Accent2 5" xfId="1669"/>
    <cellStyle name="20% - Accent2 6" xfId="1670"/>
    <cellStyle name="20% - Accent2 7" xfId="1671"/>
    <cellStyle name="20% - Accent3 2" xfId="1672"/>
    <cellStyle name="20% - Accent3 2 2" xfId="1673"/>
    <cellStyle name="20% - Accent3 2 2 2" xfId="1674"/>
    <cellStyle name="20% - Accent3 2 2 2 2" xfId="1675"/>
    <cellStyle name="20% - Accent3 2 2 2 2 2" xfId="1676"/>
    <cellStyle name="20% - Accent3 2 2 2 3" xfId="1677"/>
    <cellStyle name="20% - Accent3 2 2 2 4" xfId="1678"/>
    <cellStyle name="20% - Accent3 2 2 3" xfId="1679"/>
    <cellStyle name="20% - Accent3 2 2 3 2" xfId="1680"/>
    <cellStyle name="20% - Accent3 2 2 3 2 2" xfId="1681"/>
    <cellStyle name="20% - Accent3 2 2 4" xfId="1682"/>
    <cellStyle name="20% - Accent3 2 2 5" xfId="1683"/>
    <cellStyle name="20% - Accent3 2 2 6" xfId="1684"/>
    <cellStyle name="20% - Accent3 2 2 6 2" xfId="1685"/>
    <cellStyle name="20% - Accent3 2 3" xfId="1686"/>
    <cellStyle name="20% - Accent3 2 4" xfId="1687"/>
    <cellStyle name="20% - Accent3 2 4 2" xfId="1688"/>
    <cellStyle name="20% - Accent3 2 4 2 2" xfId="1689"/>
    <cellStyle name="20% - Accent3 2 5" xfId="1690"/>
    <cellStyle name="20% - Accent3 2 5 2" xfId="1691"/>
    <cellStyle name="20% - Accent3 2 5 2 2" xfId="1692"/>
    <cellStyle name="20% - Accent3 2 6" xfId="1693"/>
    <cellStyle name="20% - Accent3 2 7" xfId="1694"/>
    <cellStyle name="20% - Accent3 3" xfId="1695"/>
    <cellStyle name="20% - Accent3 3 2" xfId="1696"/>
    <cellStyle name="20% - Accent3 3 3" xfId="1697"/>
    <cellStyle name="20% - Accent3 4" xfId="1698"/>
    <cellStyle name="20% - Accent3 5" xfId="1699"/>
    <cellStyle name="20% - Accent3 6" xfId="1700"/>
    <cellStyle name="20% - Accent3 7" xfId="1701"/>
    <cellStyle name="20% - Accent4 2" xfId="1702"/>
    <cellStyle name="20% - Accent4 2 2" xfId="1703"/>
    <cellStyle name="20% - Accent4 2 2 2" xfId="1704"/>
    <cellStyle name="20% - Accent4 2 2 2 2" xfId="1705"/>
    <cellStyle name="20% - Accent4 2 2 2 2 2" xfId="1706"/>
    <cellStyle name="20% - Accent4 2 2 2 3" xfId="1707"/>
    <cellStyle name="20% - Accent4 2 2 2 4" xfId="1708"/>
    <cellStyle name="20% - Accent4 2 2 3" xfId="1709"/>
    <cellStyle name="20% - Accent4 2 2 3 2" xfId="1710"/>
    <cellStyle name="20% - Accent4 2 2 3 2 2" xfId="1711"/>
    <cellStyle name="20% - Accent4 2 2 4" xfId="1712"/>
    <cellStyle name="20% - Accent4 2 2 5" xfId="1713"/>
    <cellStyle name="20% - Accent4 2 2 6" xfId="1714"/>
    <cellStyle name="20% - Accent4 2 2 6 2" xfId="1715"/>
    <cellStyle name="20% - Accent4 2 3" xfId="1716"/>
    <cellStyle name="20% - Accent4 2 4" xfId="1717"/>
    <cellStyle name="20% - Accent4 2 4 2" xfId="1718"/>
    <cellStyle name="20% - Accent4 2 4 2 2" xfId="1719"/>
    <cellStyle name="20% - Accent4 2 5" xfId="1720"/>
    <cellStyle name="20% - Accent4 2 5 2" xfId="1721"/>
    <cellStyle name="20% - Accent4 2 5 2 2" xfId="1722"/>
    <cellStyle name="20% - Accent4 2 6" xfId="1723"/>
    <cellStyle name="20% - Accent4 2 7" xfId="1724"/>
    <cellStyle name="20% - Accent4 3" xfId="1725"/>
    <cellStyle name="20% - Accent4 3 2" xfId="1726"/>
    <cellStyle name="20% - Accent4 3 3" xfId="1727"/>
    <cellStyle name="20% - Accent4 4" xfId="1728"/>
    <cellStyle name="20% - Accent4 5" xfId="1729"/>
    <cellStyle name="20% - Accent4 6" xfId="1730"/>
    <cellStyle name="20% - Accent4 7" xfId="1731"/>
    <cellStyle name="20% - Accent5 2" xfId="1732"/>
    <cellStyle name="20% - Accent5 2 2" xfId="1733"/>
    <cellStyle name="20% - Accent5 2 2 2" xfId="1734"/>
    <cellStyle name="20% - Accent5 2 2 2 2" xfId="1735"/>
    <cellStyle name="20% - Accent5 2 2 2 2 2" xfId="1736"/>
    <cellStyle name="20% - Accent5 2 2 2 3" xfId="1737"/>
    <cellStyle name="20% - Accent5 2 2 2 4" xfId="1738"/>
    <cellStyle name="20% - Accent5 2 2 3" xfId="1739"/>
    <cellStyle name="20% - Accent5 2 2 3 2" xfId="1740"/>
    <cellStyle name="20% - Accent5 2 2 3 2 2" xfId="1741"/>
    <cellStyle name="20% - Accent5 2 2 4" xfId="1742"/>
    <cellStyle name="20% - Accent5 2 2 5" xfId="1743"/>
    <cellStyle name="20% - Accent5 2 2 6" xfId="1744"/>
    <cellStyle name="20% - Accent5 2 2 6 2" xfId="1745"/>
    <cellStyle name="20% - Accent5 2 3" xfId="1746"/>
    <cellStyle name="20% - Accent5 2 4" xfId="1747"/>
    <cellStyle name="20% - Accent5 2 4 2" xfId="1748"/>
    <cellStyle name="20% - Accent5 2 4 2 2" xfId="1749"/>
    <cellStyle name="20% - Accent5 2 5" xfId="1750"/>
    <cellStyle name="20% - Accent5 2 5 2" xfId="1751"/>
    <cellStyle name="20% - Accent5 2 5 2 2" xfId="1752"/>
    <cellStyle name="20% - Accent5 2 6" xfId="1753"/>
    <cellStyle name="20% - Accent5 2 7" xfId="1754"/>
    <cellStyle name="20% - Accent5 3" xfId="1755"/>
    <cellStyle name="20% - Accent5 3 2" xfId="1756"/>
    <cellStyle name="20% - Accent5 3 3" xfId="1757"/>
    <cellStyle name="20% - Accent5 4" xfId="1758"/>
    <cellStyle name="20% - Accent5 5" xfId="1759"/>
    <cellStyle name="20% - Accent5 6" xfId="1760"/>
    <cellStyle name="20% - Accent5 7" xfId="1761"/>
    <cellStyle name="20% - Accent6 2" xfId="1762"/>
    <cellStyle name="20% - Accent6 2 2" xfId="1763"/>
    <cellStyle name="20% - Accent6 2 2 2" xfId="1764"/>
    <cellStyle name="20% - Accent6 2 2 2 2" xfId="1765"/>
    <cellStyle name="20% - Accent6 2 2 2 2 2" xfId="1766"/>
    <cellStyle name="20% - Accent6 2 2 2 3" xfId="1767"/>
    <cellStyle name="20% - Accent6 2 2 2 4" xfId="1768"/>
    <cellStyle name="20% - Accent6 2 2 3" xfId="1769"/>
    <cellStyle name="20% - Accent6 2 2 3 2" xfId="1770"/>
    <cellStyle name="20% - Accent6 2 2 3 2 2" xfId="1771"/>
    <cellStyle name="20% - Accent6 2 2 4" xfId="1772"/>
    <cellStyle name="20% - Accent6 2 2 5" xfId="1773"/>
    <cellStyle name="20% - Accent6 2 2 6" xfId="1774"/>
    <cellStyle name="20% - Accent6 2 2 6 2" xfId="1775"/>
    <cellStyle name="20% - Accent6 2 3" xfId="1776"/>
    <cellStyle name="20% - Accent6 2 4" xfId="1777"/>
    <cellStyle name="20% - Accent6 2 4 2" xfId="1778"/>
    <cellStyle name="20% - Accent6 2 4 2 2" xfId="1779"/>
    <cellStyle name="20% - Accent6 2 5" xfId="1780"/>
    <cellStyle name="20% - Accent6 2 5 2" xfId="1781"/>
    <cellStyle name="20% - Accent6 2 5 2 2" xfId="1782"/>
    <cellStyle name="20% - Accent6 2 6" xfId="1783"/>
    <cellStyle name="20% - Accent6 2 7" xfId="1784"/>
    <cellStyle name="20% - Accent6 3" xfId="1785"/>
    <cellStyle name="20% - Accent6 3 2" xfId="1786"/>
    <cellStyle name="20% - Accent6 3 3" xfId="1787"/>
    <cellStyle name="20% - Accent6 4" xfId="1788"/>
    <cellStyle name="20% - Accent6 5" xfId="1789"/>
    <cellStyle name="20% - Accent6 6" xfId="1790"/>
    <cellStyle name="20% - Accent6 7" xfId="1791"/>
    <cellStyle name="2DP" xfId="1792"/>
    <cellStyle name="2DP bold" xfId="1793"/>
    <cellStyle name="2DP_Draft RIIO plan presentation template - Customer Opsx Centre V7" xfId="1794"/>
    <cellStyle name="3 V1.00 CORE IMAGE (5200MM3.100 08/01/97)_x000d__x000a__x000d__x000a_[windows]_x000d__x000a_;spooler=yes_x000d__x000a_load=nw" xfId="1795"/>
    <cellStyle name="3 V1.00 CORE IMAGE (5200MM3.100 08/01/97)_x000d__x000a__x000d__x000a_[windows]_x000d__x000a_;spooler=yes_x000d__x000a_load=nw 2" xfId="1796"/>
    <cellStyle name="3DP" xfId="1797"/>
    <cellStyle name="40% - Accent1 2" xfId="2"/>
    <cellStyle name="40% - Accent1 2 10" xfId="4384"/>
    <cellStyle name="40% - Accent1 2 10 2" xfId="4435"/>
    <cellStyle name="40% - Accent1 2 11" xfId="4436"/>
    <cellStyle name="40% - Accent1 2 2" xfId="1799"/>
    <cellStyle name="40% - Accent1 2 2 2" xfId="1800"/>
    <cellStyle name="40% - Accent1 2 2 2 2" xfId="1801"/>
    <cellStyle name="40% - Accent1 2 2 2 2 2" xfId="1802"/>
    <cellStyle name="40% - Accent1 2 2 2 3" xfId="1803"/>
    <cellStyle name="40% - Accent1 2 2 2 4" xfId="1804"/>
    <cellStyle name="40% - Accent1 2 2 3" xfId="1805"/>
    <cellStyle name="40% - Accent1 2 2 3 2" xfId="1806"/>
    <cellStyle name="40% - Accent1 2 2 3 2 2" xfId="1807"/>
    <cellStyle name="40% - Accent1 2 2 4" xfId="1808"/>
    <cellStyle name="40% - Accent1 2 2 5" xfId="1809"/>
    <cellStyle name="40% - Accent1 2 2 6" xfId="1810"/>
    <cellStyle name="40% - Accent1 2 2 6 2" xfId="1811"/>
    <cellStyle name="40% - Accent1 2 3" xfId="1812"/>
    <cellStyle name="40% - Accent1 2 4" xfId="1813"/>
    <cellStyle name="40% - Accent1 2 4 2" xfId="1814"/>
    <cellStyle name="40% - Accent1 2 4 2 2" xfId="1815"/>
    <cellStyle name="40% - Accent1 2 5" xfId="1816"/>
    <cellStyle name="40% - Accent1 2 5 2" xfId="1817"/>
    <cellStyle name="40% - Accent1 2 5 2 2" xfId="1818"/>
    <cellStyle name="40% - Accent1 2 6" xfId="1819"/>
    <cellStyle name="40% - Accent1 2 7" xfId="1820"/>
    <cellStyle name="40% - Accent1 2 8" xfId="1798"/>
    <cellStyle name="40% - Accent1 2 9" xfId="4306"/>
    <cellStyle name="40% - Accent1 2 9 2" xfId="4437"/>
    <cellStyle name="40% - Accent1 3" xfId="1821"/>
    <cellStyle name="40% - Accent1 3 2" xfId="1822"/>
    <cellStyle name="40% - Accent1 3 3" xfId="1823"/>
    <cellStyle name="40% - Accent1 4" xfId="1824"/>
    <cellStyle name="40% - Accent1 5" xfId="1825"/>
    <cellStyle name="40% - Accent1 6" xfId="1826"/>
    <cellStyle name="40% - Accent1 7" xfId="1827"/>
    <cellStyle name="40% - Accent2 2" xfId="1828"/>
    <cellStyle name="40% - Accent2 2 2" xfId="1829"/>
    <cellStyle name="40% - Accent2 2 2 2" xfId="1830"/>
    <cellStyle name="40% - Accent2 2 2 2 2" xfId="1831"/>
    <cellStyle name="40% - Accent2 2 2 2 2 2" xfId="1832"/>
    <cellStyle name="40% - Accent2 2 2 2 3" xfId="1833"/>
    <cellStyle name="40% - Accent2 2 2 2 4" xfId="1834"/>
    <cellStyle name="40% - Accent2 2 2 3" xfId="1835"/>
    <cellStyle name="40% - Accent2 2 2 3 2" xfId="1836"/>
    <cellStyle name="40% - Accent2 2 2 3 2 2" xfId="1837"/>
    <cellStyle name="40% - Accent2 2 2 4" xfId="1838"/>
    <cellStyle name="40% - Accent2 2 2 5" xfId="1839"/>
    <cellStyle name="40% - Accent2 2 2 6" xfId="1840"/>
    <cellStyle name="40% - Accent2 2 2 6 2" xfId="1841"/>
    <cellStyle name="40% - Accent2 2 3" xfId="1842"/>
    <cellStyle name="40% - Accent2 2 4" xfId="1843"/>
    <cellStyle name="40% - Accent2 2 4 2" xfId="1844"/>
    <cellStyle name="40% - Accent2 2 4 2 2" xfId="1845"/>
    <cellStyle name="40% - Accent2 2 5" xfId="1846"/>
    <cellStyle name="40% - Accent2 2 5 2" xfId="1847"/>
    <cellStyle name="40% - Accent2 2 5 2 2" xfId="1848"/>
    <cellStyle name="40% - Accent2 2 6" xfId="1849"/>
    <cellStyle name="40% - Accent2 2 7" xfId="1850"/>
    <cellStyle name="40% - Accent2 3" xfId="1851"/>
    <cellStyle name="40% - Accent2 3 2" xfId="1852"/>
    <cellStyle name="40% - Accent2 3 3" xfId="1853"/>
    <cellStyle name="40% - Accent2 4" xfId="1854"/>
    <cellStyle name="40% - Accent2 5" xfId="1855"/>
    <cellStyle name="40% - Accent2 6" xfId="1856"/>
    <cellStyle name="40% - Accent2 7" xfId="1857"/>
    <cellStyle name="40% - Accent3 2" xfId="1858"/>
    <cellStyle name="40% - Accent3 2 2" xfId="1859"/>
    <cellStyle name="40% - Accent3 2 2 2" xfId="1860"/>
    <cellStyle name="40% - Accent3 2 2 2 2" xfId="1861"/>
    <cellStyle name="40% - Accent3 2 2 2 2 2" xfId="1862"/>
    <cellStyle name="40% - Accent3 2 2 2 3" xfId="1863"/>
    <cellStyle name="40% - Accent3 2 2 2 4" xfId="1864"/>
    <cellStyle name="40% - Accent3 2 2 3" xfId="1865"/>
    <cellStyle name="40% - Accent3 2 2 3 2" xfId="1866"/>
    <cellStyle name="40% - Accent3 2 2 3 2 2" xfId="1867"/>
    <cellStyle name="40% - Accent3 2 2 4" xfId="1868"/>
    <cellStyle name="40% - Accent3 2 2 5" xfId="1869"/>
    <cellStyle name="40% - Accent3 2 2 6" xfId="1870"/>
    <cellStyle name="40% - Accent3 2 2 6 2" xfId="1871"/>
    <cellStyle name="40% - Accent3 2 3" xfId="1872"/>
    <cellStyle name="40% - Accent3 2 4" xfId="1873"/>
    <cellStyle name="40% - Accent3 2 4 2" xfId="1874"/>
    <cellStyle name="40% - Accent3 2 4 2 2" xfId="1875"/>
    <cellStyle name="40% - Accent3 2 5" xfId="1876"/>
    <cellStyle name="40% - Accent3 2 5 2" xfId="1877"/>
    <cellStyle name="40% - Accent3 2 5 2 2" xfId="1878"/>
    <cellStyle name="40% - Accent3 2 6" xfId="1879"/>
    <cellStyle name="40% - Accent3 2 7" xfId="1880"/>
    <cellStyle name="40% - Accent3 3" xfId="1881"/>
    <cellStyle name="40% - Accent3 3 2" xfId="1882"/>
    <cellStyle name="40% - Accent3 3 3" xfId="1883"/>
    <cellStyle name="40% - Accent3 4" xfId="1884"/>
    <cellStyle name="40% - Accent3 5" xfId="1885"/>
    <cellStyle name="40% - Accent3 6" xfId="1886"/>
    <cellStyle name="40% - Accent3 7" xfId="1887"/>
    <cellStyle name="40% - Accent4 2" xfId="1888"/>
    <cellStyle name="40% - Accent4 2 2" xfId="1889"/>
    <cellStyle name="40% - Accent4 2 2 2" xfId="1890"/>
    <cellStyle name="40% - Accent4 2 2 2 2" xfId="1891"/>
    <cellStyle name="40% - Accent4 2 2 2 2 2" xfId="1892"/>
    <cellStyle name="40% - Accent4 2 2 2 3" xfId="1893"/>
    <cellStyle name="40% - Accent4 2 2 2 4" xfId="1894"/>
    <cellStyle name="40% - Accent4 2 2 3" xfId="1895"/>
    <cellStyle name="40% - Accent4 2 2 3 2" xfId="1896"/>
    <cellStyle name="40% - Accent4 2 2 3 2 2" xfId="1897"/>
    <cellStyle name="40% - Accent4 2 2 4" xfId="1898"/>
    <cellStyle name="40% - Accent4 2 2 5" xfId="1899"/>
    <cellStyle name="40% - Accent4 2 2 6" xfId="1900"/>
    <cellStyle name="40% - Accent4 2 2 6 2" xfId="1901"/>
    <cellStyle name="40% - Accent4 2 3" xfId="1902"/>
    <cellStyle name="40% - Accent4 2 4" xfId="1903"/>
    <cellStyle name="40% - Accent4 2 4 2" xfId="1904"/>
    <cellStyle name="40% - Accent4 2 4 2 2" xfId="1905"/>
    <cellStyle name="40% - Accent4 2 5" xfId="1906"/>
    <cellStyle name="40% - Accent4 2 5 2" xfId="1907"/>
    <cellStyle name="40% - Accent4 2 5 2 2" xfId="1908"/>
    <cellStyle name="40% - Accent4 2 6" xfId="1909"/>
    <cellStyle name="40% - Accent4 2 7" xfId="1910"/>
    <cellStyle name="40% - Accent4 3" xfId="1911"/>
    <cellStyle name="40% - Accent4 3 2" xfId="1912"/>
    <cellStyle name="40% - Accent4 3 3" xfId="1913"/>
    <cellStyle name="40% - Accent4 4" xfId="1914"/>
    <cellStyle name="40% - Accent4 5" xfId="1915"/>
    <cellStyle name="40% - Accent4 6" xfId="1916"/>
    <cellStyle name="40% - Accent4 7" xfId="1917"/>
    <cellStyle name="40% - Accent5 2" xfId="1918"/>
    <cellStyle name="40% - Accent5 2 2" xfId="1919"/>
    <cellStyle name="40% - Accent5 2 2 2" xfId="1920"/>
    <cellStyle name="40% - Accent5 2 2 2 2" xfId="1921"/>
    <cellStyle name="40% - Accent5 2 2 2 2 2" xfId="1922"/>
    <cellStyle name="40% - Accent5 2 2 2 3" xfId="1923"/>
    <cellStyle name="40% - Accent5 2 2 2 4" xfId="1924"/>
    <cellStyle name="40% - Accent5 2 2 3" xfId="1925"/>
    <cellStyle name="40% - Accent5 2 2 3 2" xfId="1926"/>
    <cellStyle name="40% - Accent5 2 2 3 2 2" xfId="1927"/>
    <cellStyle name="40% - Accent5 2 2 4" xfId="1928"/>
    <cellStyle name="40% - Accent5 2 2 5" xfId="1929"/>
    <cellStyle name="40% - Accent5 2 2 6" xfId="1930"/>
    <cellStyle name="40% - Accent5 2 2 6 2" xfId="1931"/>
    <cellStyle name="40% - Accent5 2 3" xfId="1932"/>
    <cellStyle name="40% - Accent5 2 4" xfId="1933"/>
    <cellStyle name="40% - Accent5 2 4 2" xfId="1934"/>
    <cellStyle name="40% - Accent5 2 4 2 2" xfId="1935"/>
    <cellStyle name="40% - Accent5 2 5" xfId="1936"/>
    <cellStyle name="40% - Accent5 2 5 2" xfId="1937"/>
    <cellStyle name="40% - Accent5 2 5 2 2" xfId="1938"/>
    <cellStyle name="40% - Accent5 2 6" xfId="1939"/>
    <cellStyle name="40% - Accent5 2 7" xfId="1940"/>
    <cellStyle name="40% - Accent5 3" xfId="1941"/>
    <cellStyle name="40% - Accent5 3 2" xfId="1942"/>
    <cellStyle name="40% - Accent5 3 3" xfId="1943"/>
    <cellStyle name="40% - Accent5 4" xfId="1944"/>
    <cellStyle name="40% - Accent5 5" xfId="1945"/>
    <cellStyle name="40% - Accent5 6" xfId="1946"/>
    <cellStyle name="40% - Accent5 7" xfId="1947"/>
    <cellStyle name="40% - Accent6 2" xfId="1948"/>
    <cellStyle name="40% - Accent6 2 2" xfId="1949"/>
    <cellStyle name="40% - Accent6 2 2 2" xfId="1950"/>
    <cellStyle name="40% - Accent6 2 2 2 2" xfId="1951"/>
    <cellStyle name="40% - Accent6 2 2 2 2 2" xfId="1952"/>
    <cellStyle name="40% - Accent6 2 2 2 3" xfId="1953"/>
    <cellStyle name="40% - Accent6 2 2 2 4" xfId="1954"/>
    <cellStyle name="40% - Accent6 2 2 3" xfId="1955"/>
    <cellStyle name="40% - Accent6 2 2 3 2" xfId="1956"/>
    <cellStyle name="40% - Accent6 2 2 3 2 2" xfId="1957"/>
    <cellStyle name="40% - Accent6 2 2 4" xfId="1958"/>
    <cellStyle name="40% - Accent6 2 2 5" xfId="1959"/>
    <cellStyle name="40% - Accent6 2 2 6" xfId="1960"/>
    <cellStyle name="40% - Accent6 2 2 6 2" xfId="1961"/>
    <cellStyle name="40% - Accent6 2 3" xfId="1962"/>
    <cellStyle name="40% - Accent6 2 4" xfId="1963"/>
    <cellStyle name="40% - Accent6 2 4 2" xfId="1964"/>
    <cellStyle name="40% - Accent6 2 4 2 2" xfId="1965"/>
    <cellStyle name="40% - Accent6 2 5" xfId="1966"/>
    <cellStyle name="40% - Accent6 2 5 2" xfId="1967"/>
    <cellStyle name="40% - Accent6 2 5 2 2" xfId="1968"/>
    <cellStyle name="40% - Accent6 2 6" xfId="1969"/>
    <cellStyle name="40% - Accent6 2 7" xfId="1970"/>
    <cellStyle name="40% - Accent6 3" xfId="1971"/>
    <cellStyle name="40% - Accent6 3 2" xfId="1972"/>
    <cellStyle name="40% - Accent6 3 3" xfId="1973"/>
    <cellStyle name="40% - Accent6 4" xfId="1974"/>
    <cellStyle name="40% - Accent6 5" xfId="1975"/>
    <cellStyle name="40% - Accent6 6" xfId="1976"/>
    <cellStyle name="40% - Accent6 7" xfId="1977"/>
    <cellStyle name="60% - Accent1 2" xfId="1978"/>
    <cellStyle name="60% - Accent1 2 2" xfId="1979"/>
    <cellStyle name="60% - Accent1 2 2 2" xfId="1980"/>
    <cellStyle name="60% - Accent1 2 2 2 2" xfId="1981"/>
    <cellStyle name="60% - Accent1 2 2 2 2 2" xfId="1982"/>
    <cellStyle name="60% - Accent1 2 2 2 3" xfId="1983"/>
    <cellStyle name="60% - Accent1 2 2 2 4" xfId="1984"/>
    <cellStyle name="60% - Accent1 2 2 3" xfId="1985"/>
    <cellStyle name="60% - Accent1 2 2 3 2" xfId="1986"/>
    <cellStyle name="60% - Accent1 2 2 3 2 2" xfId="1987"/>
    <cellStyle name="60% - Accent1 2 2 4" xfId="1988"/>
    <cellStyle name="60% - Accent1 2 2 5" xfId="1989"/>
    <cellStyle name="60% - Accent1 2 2 6" xfId="1990"/>
    <cellStyle name="60% - Accent1 2 2 6 2" xfId="1991"/>
    <cellStyle name="60% - Accent1 2 3" xfId="1992"/>
    <cellStyle name="60% - Accent1 2 4" xfId="1993"/>
    <cellStyle name="60% - Accent1 2 4 2" xfId="1994"/>
    <cellStyle name="60% - Accent1 2 4 2 2" xfId="1995"/>
    <cellStyle name="60% - Accent1 2 5" xfId="1996"/>
    <cellStyle name="60% - Accent1 2 5 2" xfId="1997"/>
    <cellStyle name="60% - Accent1 2 5 2 2" xfId="1998"/>
    <cellStyle name="60% - Accent1 2 6" xfId="1999"/>
    <cellStyle name="60% - Accent1 2 7" xfId="2000"/>
    <cellStyle name="60% - Accent1 3" xfId="2001"/>
    <cellStyle name="60% - Accent1 3 2" xfId="2002"/>
    <cellStyle name="60% - Accent1 3 3" xfId="2003"/>
    <cellStyle name="60% - Accent1 4" xfId="2004"/>
    <cellStyle name="60% - Accent1 5" xfId="2005"/>
    <cellStyle name="60% - Accent1 6" xfId="2006"/>
    <cellStyle name="60% - Accent1 7" xfId="2007"/>
    <cellStyle name="60% - Accent2 2" xfId="2008"/>
    <cellStyle name="60% - Accent2 2 2" xfId="2009"/>
    <cellStyle name="60% - Accent2 2 2 2" xfId="2010"/>
    <cellStyle name="60% - Accent2 2 2 2 2" xfId="2011"/>
    <cellStyle name="60% - Accent2 2 2 2 2 2" xfId="2012"/>
    <cellStyle name="60% - Accent2 2 2 2 3" xfId="2013"/>
    <cellStyle name="60% - Accent2 2 2 2 4" xfId="2014"/>
    <cellStyle name="60% - Accent2 2 2 3" xfId="2015"/>
    <cellStyle name="60% - Accent2 2 2 3 2" xfId="2016"/>
    <cellStyle name="60% - Accent2 2 2 3 2 2" xfId="2017"/>
    <cellStyle name="60% - Accent2 2 2 4" xfId="2018"/>
    <cellStyle name="60% - Accent2 2 2 5" xfId="2019"/>
    <cellStyle name="60% - Accent2 2 2 6" xfId="2020"/>
    <cellStyle name="60% - Accent2 2 2 6 2" xfId="2021"/>
    <cellStyle name="60% - Accent2 2 3" xfId="2022"/>
    <cellStyle name="60% - Accent2 2 4" xfId="2023"/>
    <cellStyle name="60% - Accent2 2 4 2" xfId="2024"/>
    <cellStyle name="60% - Accent2 2 4 2 2" xfId="2025"/>
    <cellStyle name="60% - Accent2 2 5" xfId="2026"/>
    <cellStyle name="60% - Accent2 2 5 2" xfId="2027"/>
    <cellStyle name="60% - Accent2 2 5 2 2" xfId="2028"/>
    <cellStyle name="60% - Accent2 2 6" xfId="2029"/>
    <cellStyle name="60% - Accent2 2 7" xfId="2030"/>
    <cellStyle name="60% - Accent2 3" xfId="2031"/>
    <cellStyle name="60% - Accent2 3 2" xfId="2032"/>
    <cellStyle name="60% - Accent2 3 3" xfId="2033"/>
    <cellStyle name="60% - Accent2 4" xfId="2034"/>
    <cellStyle name="60% - Accent2 5" xfId="2035"/>
    <cellStyle name="60% - Accent2 6" xfId="2036"/>
    <cellStyle name="60% - Accent2 7" xfId="2037"/>
    <cellStyle name="60% - Accent3 2" xfId="2038"/>
    <cellStyle name="60% - Accent3 2 2" xfId="2039"/>
    <cellStyle name="60% - Accent3 2 2 2" xfId="2040"/>
    <cellStyle name="60% - Accent3 2 2 2 2" xfId="2041"/>
    <cellStyle name="60% - Accent3 2 2 2 2 2" xfId="2042"/>
    <cellStyle name="60% - Accent3 2 2 2 3" xfId="2043"/>
    <cellStyle name="60% - Accent3 2 2 2 4" xfId="2044"/>
    <cellStyle name="60% - Accent3 2 2 3" xfId="2045"/>
    <cellStyle name="60% - Accent3 2 2 3 2" xfId="2046"/>
    <cellStyle name="60% - Accent3 2 2 3 2 2" xfId="2047"/>
    <cellStyle name="60% - Accent3 2 2 4" xfId="2048"/>
    <cellStyle name="60% - Accent3 2 2 5" xfId="2049"/>
    <cellStyle name="60% - Accent3 2 2 6" xfId="2050"/>
    <cellStyle name="60% - Accent3 2 2 6 2" xfId="2051"/>
    <cellStyle name="60% - Accent3 2 3" xfId="2052"/>
    <cellStyle name="60% - Accent3 2 4" xfId="2053"/>
    <cellStyle name="60% - Accent3 2 4 2" xfId="2054"/>
    <cellStyle name="60% - Accent3 2 4 2 2" xfId="2055"/>
    <cellStyle name="60% - Accent3 2 5" xfId="2056"/>
    <cellStyle name="60% - Accent3 2 5 2" xfId="2057"/>
    <cellStyle name="60% - Accent3 2 5 2 2" xfId="2058"/>
    <cellStyle name="60% - Accent3 2 6" xfId="2059"/>
    <cellStyle name="60% - Accent3 2 7" xfId="2060"/>
    <cellStyle name="60% - Accent3 3" xfId="2061"/>
    <cellStyle name="60% - Accent3 3 2" xfId="2062"/>
    <cellStyle name="60% - Accent3 3 3" xfId="2063"/>
    <cellStyle name="60% - Accent3 4" xfId="2064"/>
    <cellStyle name="60% - Accent3 5" xfId="2065"/>
    <cellStyle name="60% - Accent3 6" xfId="2066"/>
    <cellStyle name="60% - Accent3 7" xfId="2067"/>
    <cellStyle name="60% - Accent4 2" xfId="2068"/>
    <cellStyle name="60% - Accent4 2 2" xfId="2069"/>
    <cellStyle name="60% - Accent4 2 2 2" xfId="2070"/>
    <cellStyle name="60% - Accent4 2 2 2 2" xfId="2071"/>
    <cellStyle name="60% - Accent4 2 2 2 2 2" xfId="2072"/>
    <cellStyle name="60% - Accent4 2 2 2 3" xfId="2073"/>
    <cellStyle name="60% - Accent4 2 2 2 4" xfId="2074"/>
    <cellStyle name="60% - Accent4 2 2 3" xfId="2075"/>
    <cellStyle name="60% - Accent4 2 2 3 2" xfId="2076"/>
    <cellStyle name="60% - Accent4 2 2 3 2 2" xfId="2077"/>
    <cellStyle name="60% - Accent4 2 2 4" xfId="2078"/>
    <cellStyle name="60% - Accent4 2 2 5" xfId="2079"/>
    <cellStyle name="60% - Accent4 2 2 6" xfId="2080"/>
    <cellStyle name="60% - Accent4 2 2 6 2" xfId="2081"/>
    <cellStyle name="60% - Accent4 2 3" xfId="2082"/>
    <cellStyle name="60% - Accent4 2 4" xfId="2083"/>
    <cellStyle name="60% - Accent4 2 4 2" xfId="2084"/>
    <cellStyle name="60% - Accent4 2 4 2 2" xfId="2085"/>
    <cellStyle name="60% - Accent4 2 5" xfId="2086"/>
    <cellStyle name="60% - Accent4 2 5 2" xfId="2087"/>
    <cellStyle name="60% - Accent4 2 5 2 2" xfId="2088"/>
    <cellStyle name="60% - Accent4 2 6" xfId="2089"/>
    <cellStyle name="60% - Accent4 2 7" xfId="2090"/>
    <cellStyle name="60% - Accent4 3" xfId="2091"/>
    <cellStyle name="60% - Accent4 3 2" xfId="2092"/>
    <cellStyle name="60% - Accent4 3 3" xfId="2093"/>
    <cellStyle name="60% - Accent4 4" xfId="2094"/>
    <cellStyle name="60% - Accent4 5" xfId="2095"/>
    <cellStyle name="60% - Accent4 6" xfId="2096"/>
    <cellStyle name="60% - Accent4 7" xfId="2097"/>
    <cellStyle name="60% - Accent5 2" xfId="2098"/>
    <cellStyle name="60% - Accent5 2 2" xfId="2099"/>
    <cellStyle name="60% - Accent5 2 2 2" xfId="2100"/>
    <cellStyle name="60% - Accent5 2 2 2 2" xfId="2101"/>
    <cellStyle name="60% - Accent5 2 2 2 2 2" xfId="2102"/>
    <cellStyle name="60% - Accent5 2 2 2 3" xfId="2103"/>
    <cellStyle name="60% - Accent5 2 2 2 4" xfId="2104"/>
    <cellStyle name="60% - Accent5 2 2 3" xfId="2105"/>
    <cellStyle name="60% - Accent5 2 2 3 2" xfId="2106"/>
    <cellStyle name="60% - Accent5 2 2 3 2 2" xfId="2107"/>
    <cellStyle name="60% - Accent5 2 2 4" xfId="2108"/>
    <cellStyle name="60% - Accent5 2 2 5" xfId="2109"/>
    <cellStyle name="60% - Accent5 2 2 6" xfId="2110"/>
    <cellStyle name="60% - Accent5 2 2 6 2" xfId="2111"/>
    <cellStyle name="60% - Accent5 2 3" xfId="2112"/>
    <cellStyle name="60% - Accent5 2 4" xfId="2113"/>
    <cellStyle name="60% - Accent5 2 4 2" xfId="2114"/>
    <cellStyle name="60% - Accent5 2 4 2 2" xfId="2115"/>
    <cellStyle name="60% - Accent5 2 5" xfId="2116"/>
    <cellStyle name="60% - Accent5 2 5 2" xfId="2117"/>
    <cellStyle name="60% - Accent5 2 5 2 2" xfId="2118"/>
    <cellStyle name="60% - Accent5 2 6" xfId="2119"/>
    <cellStyle name="60% - Accent5 2 7" xfId="2120"/>
    <cellStyle name="60% - Accent5 3" xfId="2121"/>
    <cellStyle name="60% - Accent5 3 2" xfId="2122"/>
    <cellStyle name="60% - Accent5 3 3" xfId="2123"/>
    <cellStyle name="60% - Accent5 4" xfId="2124"/>
    <cellStyle name="60% - Accent5 5" xfId="2125"/>
    <cellStyle name="60% - Accent5 6" xfId="2126"/>
    <cellStyle name="60% - Accent5 7" xfId="2127"/>
    <cellStyle name="60% - Accent6 2" xfId="2128"/>
    <cellStyle name="60% - Accent6 2 2" xfId="2129"/>
    <cellStyle name="60% - Accent6 2 2 2" xfId="2130"/>
    <cellStyle name="60% - Accent6 2 2 2 2" xfId="2131"/>
    <cellStyle name="60% - Accent6 2 2 2 2 2" xfId="2132"/>
    <cellStyle name="60% - Accent6 2 2 2 3" xfId="2133"/>
    <cellStyle name="60% - Accent6 2 2 2 4" xfId="2134"/>
    <cellStyle name="60% - Accent6 2 2 3" xfId="2135"/>
    <cellStyle name="60% - Accent6 2 2 3 2" xfId="2136"/>
    <cellStyle name="60% - Accent6 2 2 3 2 2" xfId="2137"/>
    <cellStyle name="60% - Accent6 2 2 4" xfId="2138"/>
    <cellStyle name="60% - Accent6 2 2 5" xfId="2139"/>
    <cellStyle name="60% - Accent6 2 2 6" xfId="2140"/>
    <cellStyle name="60% - Accent6 2 2 6 2" xfId="2141"/>
    <cellStyle name="60% - Accent6 2 3" xfId="2142"/>
    <cellStyle name="60% - Accent6 2 4" xfId="2143"/>
    <cellStyle name="60% - Accent6 2 4 2" xfId="2144"/>
    <cellStyle name="60% - Accent6 2 4 2 2" xfId="2145"/>
    <cellStyle name="60% - Accent6 2 5" xfId="2146"/>
    <cellStyle name="60% - Accent6 2 5 2" xfId="2147"/>
    <cellStyle name="60% - Accent6 2 5 2 2" xfId="2148"/>
    <cellStyle name="60% - Accent6 2 6" xfId="2149"/>
    <cellStyle name="60% - Accent6 2 7" xfId="2150"/>
    <cellStyle name="60% - Accent6 3" xfId="2151"/>
    <cellStyle name="60% - Accent6 3 2" xfId="2152"/>
    <cellStyle name="60% - Accent6 3 3" xfId="2153"/>
    <cellStyle name="60% - Accent6 4" xfId="2154"/>
    <cellStyle name="60% - Accent6 5" xfId="2155"/>
    <cellStyle name="60% - Accent6 6" xfId="2156"/>
    <cellStyle name="60% - Accent6 7" xfId="2157"/>
    <cellStyle name="aaa" xfId="2158"/>
    <cellStyle name="Accent1 - 20%" xfId="2159"/>
    <cellStyle name="Accent1 - 20% 2" xfId="2160"/>
    <cellStyle name="Accent1 - 40%" xfId="2161"/>
    <cellStyle name="Accent1 - 40% 2" xfId="2162"/>
    <cellStyle name="Accent1 - 60%" xfId="2163"/>
    <cellStyle name="Accent1 2" xfId="2164"/>
    <cellStyle name="Accent1 2 2" xfId="2165"/>
    <cellStyle name="Accent1 2 2 2" xfId="2166"/>
    <cellStyle name="Accent1 2 2 2 2" xfId="2167"/>
    <cellStyle name="Accent1 2 2 2 2 2" xfId="2168"/>
    <cellStyle name="Accent1 2 2 2 3" xfId="2169"/>
    <cellStyle name="Accent1 2 2 2 4" xfId="2170"/>
    <cellStyle name="Accent1 2 2 3" xfId="2171"/>
    <cellStyle name="Accent1 2 2 3 2" xfId="2172"/>
    <cellStyle name="Accent1 2 2 3 2 2" xfId="2173"/>
    <cellStyle name="Accent1 2 2 4" xfId="2174"/>
    <cellStyle name="Accent1 2 2 5" xfId="2175"/>
    <cellStyle name="Accent1 2 2 6" xfId="2176"/>
    <cellStyle name="Accent1 2 2 6 2" xfId="2177"/>
    <cellStyle name="Accent1 2 3" xfId="2178"/>
    <cellStyle name="Accent1 2 4" xfId="2179"/>
    <cellStyle name="Accent1 2 4 2" xfId="2180"/>
    <cellStyle name="Accent1 2 4 2 2" xfId="2181"/>
    <cellStyle name="Accent1 2 5" xfId="2182"/>
    <cellStyle name="Accent1 2 5 2" xfId="2183"/>
    <cellStyle name="Accent1 2 5 2 2" xfId="2184"/>
    <cellStyle name="Accent1 2 6" xfId="2185"/>
    <cellStyle name="Accent1 2 7" xfId="2186"/>
    <cellStyle name="Accent1 3" xfId="2187"/>
    <cellStyle name="Accent1 3 2" xfId="2188"/>
    <cellStyle name="Accent1 3 3" xfId="2189"/>
    <cellStyle name="Accent1 4" xfId="2190"/>
    <cellStyle name="Accent1 5" xfId="2191"/>
    <cellStyle name="Accent1 6" xfId="2192"/>
    <cellStyle name="Accent1 7" xfId="2193"/>
    <cellStyle name="Accent2 - 20%" xfId="2194"/>
    <cellStyle name="Accent2 - 20% 2" xfId="2195"/>
    <cellStyle name="Accent2 - 40%" xfId="2196"/>
    <cellStyle name="Accent2 - 40% 2" xfId="2197"/>
    <cellStyle name="Accent2 - 60%" xfId="2198"/>
    <cellStyle name="Accent2 2" xfId="2199"/>
    <cellStyle name="Accent2 2 2" xfId="2200"/>
    <cellStyle name="Accent2 2 2 2" xfId="2201"/>
    <cellStyle name="Accent2 2 2 2 2" xfId="2202"/>
    <cellStyle name="Accent2 2 2 2 2 2" xfId="2203"/>
    <cellStyle name="Accent2 2 2 2 3" xfId="2204"/>
    <cellStyle name="Accent2 2 2 2 4" xfId="2205"/>
    <cellStyle name="Accent2 2 2 3" xfId="2206"/>
    <cellStyle name="Accent2 2 2 3 2" xfId="2207"/>
    <cellStyle name="Accent2 2 2 3 2 2" xfId="2208"/>
    <cellStyle name="Accent2 2 2 4" xfId="2209"/>
    <cellStyle name="Accent2 2 2 5" xfId="2210"/>
    <cellStyle name="Accent2 2 2 6" xfId="2211"/>
    <cellStyle name="Accent2 2 2 6 2" xfId="2212"/>
    <cellStyle name="Accent2 2 3" xfId="2213"/>
    <cellStyle name="Accent2 2 4" xfId="2214"/>
    <cellStyle name="Accent2 2 4 2" xfId="2215"/>
    <cellStyle name="Accent2 2 4 2 2" xfId="2216"/>
    <cellStyle name="Accent2 2 5" xfId="2217"/>
    <cellStyle name="Accent2 2 5 2" xfId="2218"/>
    <cellStyle name="Accent2 2 5 2 2" xfId="2219"/>
    <cellStyle name="Accent2 2 6" xfId="2220"/>
    <cellStyle name="Accent2 2 7" xfId="2221"/>
    <cellStyle name="Accent2 3" xfId="2222"/>
    <cellStyle name="Accent2 3 2" xfId="2223"/>
    <cellStyle name="Accent2 3 3" xfId="2224"/>
    <cellStyle name="Accent2 4" xfId="2225"/>
    <cellStyle name="Accent2 5" xfId="2226"/>
    <cellStyle name="Accent2 6" xfId="2227"/>
    <cellStyle name="Accent2 7" xfId="2228"/>
    <cellStyle name="Accent3 - 20%" xfId="2229"/>
    <cellStyle name="Accent3 - 20% 2" xfId="2230"/>
    <cellStyle name="Accent3 - 40%" xfId="2231"/>
    <cellStyle name="Accent3 - 40% 2" xfId="2232"/>
    <cellStyle name="Accent3 - 60%" xfId="2233"/>
    <cellStyle name="Accent3 2" xfId="2234"/>
    <cellStyle name="Accent3 2 2" xfId="2235"/>
    <cellStyle name="Accent3 2 2 2" xfId="2236"/>
    <cellStyle name="Accent3 2 2 2 2" xfId="2237"/>
    <cellStyle name="Accent3 2 2 2 2 2" xfId="2238"/>
    <cellStyle name="Accent3 2 2 2 3" xfId="2239"/>
    <cellStyle name="Accent3 2 2 2 4" xfId="2240"/>
    <cellStyle name="Accent3 2 2 3" xfId="2241"/>
    <cellStyle name="Accent3 2 2 3 2" xfId="2242"/>
    <cellStyle name="Accent3 2 2 3 2 2" xfId="2243"/>
    <cellStyle name="Accent3 2 2 4" xfId="2244"/>
    <cellStyle name="Accent3 2 2 5" xfId="2245"/>
    <cellStyle name="Accent3 2 2 6" xfId="2246"/>
    <cellStyle name="Accent3 2 2 6 2" xfId="2247"/>
    <cellStyle name="Accent3 2 3" xfId="2248"/>
    <cellStyle name="Accent3 2 4" xfId="2249"/>
    <cellStyle name="Accent3 2 4 2" xfId="2250"/>
    <cellStyle name="Accent3 2 4 2 2" xfId="2251"/>
    <cellStyle name="Accent3 2 5" xfId="2252"/>
    <cellStyle name="Accent3 2 5 2" xfId="2253"/>
    <cellStyle name="Accent3 2 5 2 2" xfId="2254"/>
    <cellStyle name="Accent3 2 6" xfId="2255"/>
    <cellStyle name="Accent3 2 7" xfId="2256"/>
    <cellStyle name="Accent3 3" xfId="2257"/>
    <cellStyle name="Accent3 3 2" xfId="2258"/>
    <cellStyle name="Accent3 3 3" xfId="2259"/>
    <cellStyle name="Accent3 4" xfId="2260"/>
    <cellStyle name="Accent3 5" xfId="2261"/>
    <cellStyle name="Accent3 6" xfId="2262"/>
    <cellStyle name="Accent3 7" xfId="2263"/>
    <cellStyle name="Accent4 - 20%" xfId="2264"/>
    <cellStyle name="Accent4 - 20% 2" xfId="2265"/>
    <cellStyle name="Accent4 - 40%" xfId="2266"/>
    <cellStyle name="Accent4 - 40% 2" xfId="2267"/>
    <cellStyle name="Accent4 - 60%" xfId="2268"/>
    <cellStyle name="Accent4 2" xfId="2269"/>
    <cellStyle name="Accent4 2 2" xfId="2270"/>
    <cellStyle name="Accent4 2 2 2" xfId="2271"/>
    <cellStyle name="Accent4 2 2 2 2" xfId="2272"/>
    <cellStyle name="Accent4 2 2 2 2 2" xfId="2273"/>
    <cellStyle name="Accent4 2 2 2 3" xfId="2274"/>
    <cellStyle name="Accent4 2 2 2 4" xfId="2275"/>
    <cellStyle name="Accent4 2 2 3" xfId="2276"/>
    <cellStyle name="Accent4 2 2 3 2" xfId="2277"/>
    <cellStyle name="Accent4 2 2 3 2 2" xfId="2278"/>
    <cellStyle name="Accent4 2 2 4" xfId="2279"/>
    <cellStyle name="Accent4 2 2 5" xfId="2280"/>
    <cellStyle name="Accent4 2 2 6" xfId="2281"/>
    <cellStyle name="Accent4 2 2 6 2" xfId="2282"/>
    <cellStyle name="Accent4 2 3" xfId="2283"/>
    <cellStyle name="Accent4 2 4" xfId="2284"/>
    <cellStyle name="Accent4 2 4 2" xfId="2285"/>
    <cellStyle name="Accent4 2 4 2 2" xfId="2286"/>
    <cellStyle name="Accent4 2 5" xfId="2287"/>
    <cellStyle name="Accent4 2 5 2" xfId="2288"/>
    <cellStyle name="Accent4 2 5 2 2" xfId="2289"/>
    <cellStyle name="Accent4 2 6" xfId="2290"/>
    <cellStyle name="Accent4 2 7" xfId="2291"/>
    <cellStyle name="Accent4 3" xfId="2292"/>
    <cellStyle name="Accent4 3 2" xfId="2293"/>
    <cellStyle name="Accent4 3 3" xfId="2294"/>
    <cellStyle name="Accent4 4" xfId="2295"/>
    <cellStyle name="Accent4 5" xfId="2296"/>
    <cellStyle name="Accent4 6" xfId="2297"/>
    <cellStyle name="Accent4 7" xfId="2298"/>
    <cellStyle name="Accent5 - 20%" xfId="2299"/>
    <cellStyle name="Accent5 - 20% 2" xfId="2300"/>
    <cellStyle name="Accent5 - 40%" xfId="2301"/>
    <cellStyle name="Accent5 - 40% 2" xfId="2302"/>
    <cellStyle name="Accent5 - 60%" xfId="2303"/>
    <cellStyle name="Accent5 2" xfId="2304"/>
    <cellStyle name="Accent5 2 2" xfId="2305"/>
    <cellStyle name="Accent5 2 2 2" xfId="2306"/>
    <cellStyle name="Accent5 2 2 2 2" xfId="2307"/>
    <cellStyle name="Accent5 2 2 2 2 2" xfId="2308"/>
    <cellStyle name="Accent5 2 2 2 3" xfId="2309"/>
    <cellStyle name="Accent5 2 2 2 4" xfId="2310"/>
    <cellStyle name="Accent5 2 2 3" xfId="2311"/>
    <cellStyle name="Accent5 2 2 3 2" xfId="2312"/>
    <cellStyle name="Accent5 2 2 3 2 2" xfId="2313"/>
    <cellStyle name="Accent5 2 2 4" xfId="2314"/>
    <cellStyle name="Accent5 2 2 5" xfId="2315"/>
    <cellStyle name="Accent5 2 2 6" xfId="2316"/>
    <cellStyle name="Accent5 2 2 6 2" xfId="2317"/>
    <cellStyle name="Accent5 2 3" xfId="2318"/>
    <cellStyle name="Accent5 2 4" xfId="2319"/>
    <cellStyle name="Accent5 2 4 2" xfId="2320"/>
    <cellStyle name="Accent5 2 4 2 2" xfId="2321"/>
    <cellStyle name="Accent5 2 5" xfId="2322"/>
    <cellStyle name="Accent5 2 5 2" xfId="2323"/>
    <cellStyle name="Accent5 2 5 2 2" xfId="2324"/>
    <cellStyle name="Accent5 2 6" xfId="2325"/>
    <cellStyle name="Accent5 2 7" xfId="2326"/>
    <cellStyle name="Accent5 3" xfId="2327"/>
    <cellStyle name="Accent5 3 2" xfId="2328"/>
    <cellStyle name="Accent5 3 3" xfId="2329"/>
    <cellStyle name="Accent5 4" xfId="2330"/>
    <cellStyle name="Accent5 5" xfId="2331"/>
    <cellStyle name="Accent5 6" xfId="2332"/>
    <cellStyle name="Accent5 7" xfId="2333"/>
    <cellStyle name="Accent6 - 20%" xfId="2334"/>
    <cellStyle name="Accent6 - 20% 2" xfId="2335"/>
    <cellStyle name="Accent6 - 40%" xfId="2336"/>
    <cellStyle name="Accent6 - 40% 2" xfId="2337"/>
    <cellStyle name="Accent6 - 60%" xfId="2338"/>
    <cellStyle name="Accent6 2" xfId="2339"/>
    <cellStyle name="Accent6 2 2" xfId="2340"/>
    <cellStyle name="Accent6 2 2 2" xfId="2341"/>
    <cellStyle name="Accent6 2 2 2 2" xfId="2342"/>
    <cellStyle name="Accent6 2 2 2 2 2" xfId="2343"/>
    <cellStyle name="Accent6 2 2 2 3" xfId="2344"/>
    <cellStyle name="Accent6 2 2 2 4" xfId="2345"/>
    <cellStyle name="Accent6 2 2 3" xfId="2346"/>
    <cellStyle name="Accent6 2 2 3 2" xfId="2347"/>
    <cellStyle name="Accent6 2 2 3 2 2" xfId="2348"/>
    <cellStyle name="Accent6 2 2 4" xfId="2349"/>
    <cellStyle name="Accent6 2 2 5" xfId="2350"/>
    <cellStyle name="Accent6 2 2 6" xfId="2351"/>
    <cellStyle name="Accent6 2 2 6 2" xfId="2352"/>
    <cellStyle name="Accent6 2 3" xfId="2353"/>
    <cellStyle name="Accent6 2 4" xfId="2354"/>
    <cellStyle name="Accent6 2 4 2" xfId="2355"/>
    <cellStyle name="Accent6 2 4 2 2" xfId="2356"/>
    <cellStyle name="Accent6 2 5" xfId="2357"/>
    <cellStyle name="Accent6 2 5 2" xfId="2358"/>
    <cellStyle name="Accent6 2 5 2 2" xfId="2359"/>
    <cellStyle name="Accent6 2 6" xfId="2360"/>
    <cellStyle name="Accent6 2 7" xfId="2361"/>
    <cellStyle name="Accent6 3" xfId="2362"/>
    <cellStyle name="Accent6 3 2" xfId="2363"/>
    <cellStyle name="Accent6 3 3" xfId="2364"/>
    <cellStyle name="Accent6 4" xfId="2365"/>
    <cellStyle name="Accent6 5" xfId="2366"/>
    <cellStyle name="Accent6 6" xfId="2367"/>
    <cellStyle name="Accent6 7" xfId="2368"/>
    <cellStyle name="Acrual" xfId="2369"/>
    <cellStyle name="Actual" xfId="2370"/>
    <cellStyle name="Actual Date" xfId="2371"/>
    <cellStyle name="ÅëÈ­ [0]_±âÅ¸" xfId="2372"/>
    <cellStyle name="ÅëÈ­_±âÅ¸" xfId="2373"/>
    <cellStyle name="AFE" xfId="2374"/>
    <cellStyle name="Allign center" xfId="2375"/>
    <cellStyle name="alternate" xfId="2376"/>
    <cellStyle name="Ancillary" xfId="2377"/>
    <cellStyle name="Anos" xfId="2378"/>
    <cellStyle name="Array" xfId="2379"/>
    <cellStyle name="ÄÞ¸¶ [0]_±âÅ¸" xfId="2380"/>
    <cellStyle name="ÄÞ¸¶_±âÅ¸" xfId="2381"/>
    <cellStyle name="Bad 2" xfId="2382"/>
    <cellStyle name="Bad 2 10" xfId="2383"/>
    <cellStyle name="Bad 2 11" xfId="2384"/>
    <cellStyle name="Bad 2 12" xfId="2385"/>
    <cellStyle name="Bad 2 13" xfId="2386"/>
    <cellStyle name="Bad 2 14" xfId="2387"/>
    <cellStyle name="Bad 2 15" xfId="2388"/>
    <cellStyle name="Bad 2 16" xfId="2389"/>
    <cellStyle name="Bad 2 17" xfId="2390"/>
    <cellStyle name="Bad 2 18" xfId="2391"/>
    <cellStyle name="Bad 2 19" xfId="2392"/>
    <cellStyle name="Bad 2 2" xfId="2393"/>
    <cellStyle name="Bad 2 2 2" xfId="2394"/>
    <cellStyle name="Bad 2 2 2 2" xfId="2395"/>
    <cellStyle name="Bad 2 2 2 2 2" xfId="2396"/>
    <cellStyle name="Bad 2 2 2 3" xfId="2397"/>
    <cellStyle name="Bad 2 2 2 4" xfId="2398"/>
    <cellStyle name="Bad 2 2 3" xfId="2399"/>
    <cellStyle name="Bad 2 2 3 2" xfId="2400"/>
    <cellStyle name="Bad 2 2 3 2 2" xfId="2401"/>
    <cellStyle name="Bad 2 2 4" xfId="2402"/>
    <cellStyle name="Bad 2 2 5" xfId="2403"/>
    <cellStyle name="Bad 2 2 6" xfId="2404"/>
    <cellStyle name="Bad 2 2 6 2" xfId="2405"/>
    <cellStyle name="Bad 2 20" xfId="2406"/>
    <cellStyle name="Bad 2 21" xfId="2407"/>
    <cellStyle name="Bad 2 22" xfId="2408"/>
    <cellStyle name="Bad 2 23" xfId="2409"/>
    <cellStyle name="Bad 2 24" xfId="2410"/>
    <cellStyle name="Bad 2 25" xfId="2411"/>
    <cellStyle name="Bad 2 26" xfId="2412"/>
    <cellStyle name="Bad 2 27" xfId="2413"/>
    <cellStyle name="Bad 2 28" xfId="2414"/>
    <cellStyle name="Bad 2 29" xfId="2415"/>
    <cellStyle name="Bad 2 3" xfId="2416"/>
    <cellStyle name="Bad 2 30" xfId="2417"/>
    <cellStyle name="Bad 2 31" xfId="2418"/>
    <cellStyle name="Bad 2 32" xfId="2419"/>
    <cellStyle name="Bad 2 33" xfId="2420"/>
    <cellStyle name="Bad 2 34" xfId="2421"/>
    <cellStyle name="Bad 2 35" xfId="2422"/>
    <cellStyle name="Bad 2 36" xfId="2423"/>
    <cellStyle name="Bad 2 37" xfId="2424"/>
    <cellStyle name="Bad 2 38" xfId="2425"/>
    <cellStyle name="Bad 2 39" xfId="2426"/>
    <cellStyle name="Bad 2 4" xfId="2427"/>
    <cellStyle name="Bad 2 4 2" xfId="2428"/>
    <cellStyle name="Bad 2 4 2 2" xfId="2429"/>
    <cellStyle name="Bad 2 40" xfId="2430"/>
    <cellStyle name="Bad 2 41" xfId="2431"/>
    <cellStyle name="Bad 2 42" xfId="2432"/>
    <cellStyle name="Bad 2 43" xfId="2433"/>
    <cellStyle name="Bad 2 44" xfId="2434"/>
    <cellStyle name="Bad 2 45" xfId="2435"/>
    <cellStyle name="Bad 2 46" xfId="2436"/>
    <cellStyle name="Bad 2 47" xfId="2437"/>
    <cellStyle name="Bad 2 48" xfId="2438"/>
    <cellStyle name="Bad 2 49" xfId="2439"/>
    <cellStyle name="Bad 2 5" xfId="2440"/>
    <cellStyle name="Bad 2 5 2" xfId="2441"/>
    <cellStyle name="Bad 2 5 2 2" xfId="2442"/>
    <cellStyle name="Bad 2 50" xfId="2443"/>
    <cellStyle name="Bad 2 51" xfId="2444"/>
    <cellStyle name="Bad 2 52" xfId="2445"/>
    <cellStyle name="Bad 2 53" xfId="2446"/>
    <cellStyle name="Bad 2 54" xfId="2447"/>
    <cellStyle name="Bad 2 55" xfId="2448"/>
    <cellStyle name="Bad 2 56" xfId="2449"/>
    <cellStyle name="Bad 2 57" xfId="2450"/>
    <cellStyle name="Bad 2 58" xfId="2451"/>
    <cellStyle name="Bad 2 59" xfId="2452"/>
    <cellStyle name="Bad 2 6" xfId="2453"/>
    <cellStyle name="Bad 2 60" xfId="2454"/>
    <cellStyle name="Bad 2 61" xfId="2455"/>
    <cellStyle name="Bad 2 62" xfId="2456"/>
    <cellStyle name="Bad 2 63" xfId="2457"/>
    <cellStyle name="Bad 2 7" xfId="2458"/>
    <cellStyle name="Bad 2 8" xfId="2459"/>
    <cellStyle name="Bad 2 9" xfId="2460"/>
    <cellStyle name="Bad 3" xfId="2461"/>
    <cellStyle name="Bad 3 10" xfId="2462"/>
    <cellStyle name="Bad 3 11" xfId="2463"/>
    <cellStyle name="Bad 3 12" xfId="2464"/>
    <cellStyle name="Bad 3 13" xfId="2465"/>
    <cellStyle name="Bad 3 14" xfId="2466"/>
    <cellStyle name="Bad 3 2" xfId="2467"/>
    <cellStyle name="Bad 3 3" xfId="2468"/>
    <cellStyle name="Bad 3 4" xfId="2469"/>
    <cellStyle name="Bad 3 5" xfId="2470"/>
    <cellStyle name="Bad 3 6" xfId="2471"/>
    <cellStyle name="Bad 3 7" xfId="2472"/>
    <cellStyle name="Bad 3 8" xfId="2473"/>
    <cellStyle name="Bad 3 9" xfId="2474"/>
    <cellStyle name="Bad 4" xfId="2475"/>
    <cellStyle name="Bad 4 2" xfId="2476"/>
    <cellStyle name="Bad 4 3" xfId="2477"/>
    <cellStyle name="Bad 5" xfId="2478"/>
    <cellStyle name="Bad 6" xfId="2479"/>
    <cellStyle name="Bad 7" xfId="2480"/>
    <cellStyle name="Bad 8" xfId="2481"/>
    <cellStyle name="Band 1" xfId="2482"/>
    <cellStyle name="Band 2" xfId="2483"/>
    <cellStyle name="billion" xfId="2484"/>
    <cellStyle name="blank" xfId="2485"/>
    <cellStyle name="BlankCellReferenced" xfId="2486"/>
    <cellStyle name="blue axis cells" xfId="2487"/>
    <cellStyle name="Blue Percent" xfId="2488"/>
    <cellStyle name="blue text cells" xfId="2489"/>
    <cellStyle name="BMHeading" xfId="2490"/>
    <cellStyle name="BMPercent" xfId="2491"/>
    <cellStyle name="Body" xfId="2492"/>
    <cellStyle name="Bold/Border" xfId="2493"/>
    <cellStyle name="BooleanYorN" xfId="2494"/>
    <cellStyle name="bp--" xfId="2495"/>
    <cellStyle name="brakcomma" xfId="2496"/>
    <cellStyle name="Brand Default" xfId="2497"/>
    <cellStyle name="Brand Source" xfId="2498"/>
    <cellStyle name="Brand Subtitle with Underline" xfId="2499"/>
    <cellStyle name="Brand Title" xfId="2500"/>
    <cellStyle name="Bullet" xfId="2501"/>
    <cellStyle name="c" xfId="2502"/>
    <cellStyle name="c_Bal Sheets" xfId="2503"/>
    <cellStyle name="c_Credit (2)" xfId="2504"/>
    <cellStyle name="c_Earnings" xfId="2505"/>
    <cellStyle name="c_Earnings (2)" xfId="2506"/>
    <cellStyle name="c_finsumm" xfId="2507"/>
    <cellStyle name="c_GoroWipTax-to2050_fromCo_Oct21_99" xfId="2508"/>
    <cellStyle name="c_HardInc " xfId="2509"/>
    <cellStyle name="c_Hist Inputs (2)" xfId="2510"/>
    <cellStyle name="c_IEL_finsumm" xfId="2511"/>
    <cellStyle name="c_IEL_finsumm1" xfId="2512"/>
    <cellStyle name="c_LBO Summary" xfId="2513"/>
    <cellStyle name="c_Schedules" xfId="2514"/>
    <cellStyle name="c_Trans Assump (2)" xfId="2515"/>
    <cellStyle name="c_Unit Price Sen. (2)" xfId="2516"/>
    <cellStyle name="Ç¥ÁØ_¿ù°£¿ä¾àº¸°í" xfId="2517"/>
    <cellStyle name="CALC Amount" xfId="2518"/>
    <cellStyle name="CALC Amount [1]" xfId="2519"/>
    <cellStyle name="CALC Amount [2]" xfId="2520"/>
    <cellStyle name="CALC Amount Total" xfId="2521"/>
    <cellStyle name="CALC Amount Total [1]" xfId="2522"/>
    <cellStyle name="CALC Amount Total [1] 2" xfId="2523"/>
    <cellStyle name="CALC Amount Total [2]" xfId="2524"/>
    <cellStyle name="CALC Amount Total [2] 2" xfId="2525"/>
    <cellStyle name="CALC Amount Total 2" xfId="2526"/>
    <cellStyle name="CALC Currency" xfId="2527"/>
    <cellStyle name="Calc Currency (0)" xfId="2528"/>
    <cellStyle name="CALC Currency [1]" xfId="2529"/>
    <cellStyle name="CALC Currency [2]" xfId="2530"/>
    <cellStyle name="CALC Currency Total" xfId="2531"/>
    <cellStyle name="CALC Currency Total [1]" xfId="2532"/>
    <cellStyle name="CALC Currency Total [1] 2" xfId="2533"/>
    <cellStyle name="CALC Currency Total [2]" xfId="2534"/>
    <cellStyle name="CALC Currency Total [2] 2" xfId="2535"/>
    <cellStyle name="CALC Currency Total 2" xfId="2536"/>
    <cellStyle name="CALC Date Long" xfId="2537"/>
    <cellStyle name="CALC Date Short" xfId="2538"/>
    <cellStyle name="CALC Percent" xfId="2539"/>
    <cellStyle name="CALC Percent [1]" xfId="2540"/>
    <cellStyle name="CALC Percent [2]" xfId="2541"/>
    <cellStyle name="CALC Percent Total" xfId="2542"/>
    <cellStyle name="CALC Percent Total [1]" xfId="2543"/>
    <cellStyle name="CALC Percent Total [1] 2" xfId="2544"/>
    <cellStyle name="CALC Percent Total [2]" xfId="2545"/>
    <cellStyle name="CALC Percent Total [2] 2" xfId="2546"/>
    <cellStyle name="CALC Percent Total 2" xfId="2547"/>
    <cellStyle name="Calc0" xfId="2548"/>
    <cellStyle name="Calc1" xfId="2549"/>
    <cellStyle name="Calc2" xfId="2550"/>
    <cellStyle name="Calc4" xfId="2551"/>
    <cellStyle name="CalcInput" xfId="2552"/>
    <cellStyle name="Calcs" xfId="2553"/>
    <cellStyle name="Calculation 2" xfId="2554"/>
    <cellStyle name="Calculation 2 10" xfId="2555"/>
    <cellStyle name="Calculation 2 11" xfId="2556"/>
    <cellStyle name="Calculation 2 12" xfId="2557"/>
    <cellStyle name="Calculation 2 13" xfId="2558"/>
    <cellStyle name="Calculation 2 14" xfId="2559"/>
    <cellStyle name="Calculation 2 15" xfId="2560"/>
    <cellStyle name="Calculation 2 16" xfId="2561"/>
    <cellStyle name="Calculation 2 17" xfId="2562"/>
    <cellStyle name="Calculation 2 18" xfId="2563"/>
    <cellStyle name="Calculation 2 19" xfId="2564"/>
    <cellStyle name="Calculation 2 2" xfId="2565"/>
    <cellStyle name="Calculation 2 2 10" xfId="2566"/>
    <cellStyle name="Calculation 2 2 11" xfId="2567"/>
    <cellStyle name="Calculation 2 2 12" xfId="2568"/>
    <cellStyle name="Calculation 2 2 13" xfId="2569"/>
    <cellStyle name="Calculation 2 2 14" xfId="2570"/>
    <cellStyle name="Calculation 2 2 15" xfId="2571"/>
    <cellStyle name="Calculation 2 2 16" xfId="2572"/>
    <cellStyle name="Calculation 2 2 17" xfId="2573"/>
    <cellStyle name="Calculation 2 2 18" xfId="2574"/>
    <cellStyle name="Calculation 2 2 19" xfId="2575"/>
    <cellStyle name="Calculation 2 2 2" xfId="2576"/>
    <cellStyle name="Calculation 2 2 20" xfId="2577"/>
    <cellStyle name="Calculation 2 2 21" xfId="2578"/>
    <cellStyle name="Calculation 2 2 22" xfId="2579"/>
    <cellStyle name="Calculation 2 2 23" xfId="2580"/>
    <cellStyle name="Calculation 2 2 24" xfId="2581"/>
    <cellStyle name="Calculation 2 2 25" xfId="2582"/>
    <cellStyle name="Calculation 2 2 26" xfId="2583"/>
    <cellStyle name="Calculation 2 2 27" xfId="2584"/>
    <cellStyle name="Calculation 2 2 28" xfId="2585"/>
    <cellStyle name="Calculation 2 2 29" xfId="2586"/>
    <cellStyle name="Calculation 2 2 3" xfId="2587"/>
    <cellStyle name="Calculation 2 2 30" xfId="2588"/>
    <cellStyle name="Calculation 2 2 31" xfId="2589"/>
    <cellStyle name="Calculation 2 2 32" xfId="2590"/>
    <cellStyle name="Calculation 2 2 4" xfId="2591"/>
    <cellStyle name="Calculation 2 2 5" xfId="2592"/>
    <cellStyle name="Calculation 2 2 6" xfId="2593"/>
    <cellStyle name="Calculation 2 2 7" xfId="2594"/>
    <cellStyle name="Calculation 2 2 8" xfId="2595"/>
    <cellStyle name="Calculation 2 2 9" xfId="2596"/>
    <cellStyle name="Calculation 2 20" xfId="2597"/>
    <cellStyle name="Calculation 2 21" xfId="2598"/>
    <cellStyle name="Calculation 2 22" xfId="2599"/>
    <cellStyle name="Calculation 2 23" xfId="2600"/>
    <cellStyle name="Calculation 2 24" xfId="2601"/>
    <cellStyle name="Calculation 2 25" xfId="2602"/>
    <cellStyle name="Calculation 2 26" xfId="2603"/>
    <cellStyle name="Calculation 2 27" xfId="2604"/>
    <cellStyle name="Calculation 2 28" xfId="2605"/>
    <cellStyle name="Calculation 2 29" xfId="2606"/>
    <cellStyle name="Calculation 2 3" xfId="2607"/>
    <cellStyle name="Calculation 2 3 10" xfId="2608"/>
    <cellStyle name="Calculation 2 3 11" xfId="2609"/>
    <cellStyle name="Calculation 2 3 12" xfId="2610"/>
    <cellStyle name="Calculation 2 3 13" xfId="2611"/>
    <cellStyle name="Calculation 2 3 14" xfId="2612"/>
    <cellStyle name="Calculation 2 3 15" xfId="2613"/>
    <cellStyle name="Calculation 2 3 16" xfId="2614"/>
    <cellStyle name="Calculation 2 3 17" xfId="2615"/>
    <cellStyle name="Calculation 2 3 18" xfId="2616"/>
    <cellStyle name="Calculation 2 3 19" xfId="2617"/>
    <cellStyle name="Calculation 2 3 2" xfId="2618"/>
    <cellStyle name="Calculation 2 3 20" xfId="2619"/>
    <cellStyle name="Calculation 2 3 21" xfId="2620"/>
    <cellStyle name="Calculation 2 3 22" xfId="2621"/>
    <cellStyle name="Calculation 2 3 23" xfId="2622"/>
    <cellStyle name="Calculation 2 3 24" xfId="2623"/>
    <cellStyle name="Calculation 2 3 25" xfId="2624"/>
    <cellStyle name="Calculation 2 3 26" xfId="2625"/>
    <cellStyle name="Calculation 2 3 27" xfId="2626"/>
    <cellStyle name="Calculation 2 3 28" xfId="2627"/>
    <cellStyle name="Calculation 2 3 29" xfId="2628"/>
    <cellStyle name="Calculation 2 3 3" xfId="2629"/>
    <cellStyle name="Calculation 2 3 30" xfId="2630"/>
    <cellStyle name="Calculation 2 3 31" xfId="2631"/>
    <cellStyle name="Calculation 2 3 32" xfId="2632"/>
    <cellStyle name="Calculation 2 3 4" xfId="2633"/>
    <cellStyle name="Calculation 2 3 5" xfId="2634"/>
    <cellStyle name="Calculation 2 3 6" xfId="2635"/>
    <cellStyle name="Calculation 2 3 7" xfId="2636"/>
    <cellStyle name="Calculation 2 3 8" xfId="2637"/>
    <cellStyle name="Calculation 2 3 9" xfId="2638"/>
    <cellStyle name="Calculation 2 30" xfId="2639"/>
    <cellStyle name="Calculation 2 31" xfId="2640"/>
    <cellStyle name="Calculation 2 32" xfId="2641"/>
    <cellStyle name="Calculation 2 33" xfId="2642"/>
    <cellStyle name="Calculation 2 34" xfId="2643"/>
    <cellStyle name="Calculation 2 35" xfId="2644"/>
    <cellStyle name="Calculation 2 36" xfId="2645"/>
    <cellStyle name="Calculation 2 4" xfId="2646"/>
    <cellStyle name="Calculation 2 4 10" xfId="2647"/>
    <cellStyle name="Calculation 2 4 11" xfId="2648"/>
    <cellStyle name="Calculation 2 4 12" xfId="2649"/>
    <cellStyle name="Calculation 2 4 13" xfId="2650"/>
    <cellStyle name="Calculation 2 4 14" xfId="2651"/>
    <cellStyle name="Calculation 2 4 15" xfId="2652"/>
    <cellStyle name="Calculation 2 4 16" xfId="2653"/>
    <cellStyle name="Calculation 2 4 17" xfId="2654"/>
    <cellStyle name="Calculation 2 4 18" xfId="2655"/>
    <cellStyle name="Calculation 2 4 19" xfId="2656"/>
    <cellStyle name="Calculation 2 4 2" xfId="2657"/>
    <cellStyle name="Calculation 2 4 20" xfId="2658"/>
    <cellStyle name="Calculation 2 4 21" xfId="2659"/>
    <cellStyle name="Calculation 2 4 22" xfId="2660"/>
    <cellStyle name="Calculation 2 4 23" xfId="2661"/>
    <cellStyle name="Calculation 2 4 24" xfId="2662"/>
    <cellStyle name="Calculation 2 4 25" xfId="2663"/>
    <cellStyle name="Calculation 2 4 26" xfId="2664"/>
    <cellStyle name="Calculation 2 4 27" xfId="2665"/>
    <cellStyle name="Calculation 2 4 28" xfId="2666"/>
    <cellStyle name="Calculation 2 4 29" xfId="2667"/>
    <cellStyle name="Calculation 2 4 3" xfId="2668"/>
    <cellStyle name="Calculation 2 4 30" xfId="2669"/>
    <cellStyle name="Calculation 2 4 31" xfId="2670"/>
    <cellStyle name="Calculation 2 4 32" xfId="2671"/>
    <cellStyle name="Calculation 2 4 4" xfId="2672"/>
    <cellStyle name="Calculation 2 4 5" xfId="2673"/>
    <cellStyle name="Calculation 2 4 6" xfId="2674"/>
    <cellStyle name="Calculation 2 4 7" xfId="2675"/>
    <cellStyle name="Calculation 2 4 8" xfId="2676"/>
    <cellStyle name="Calculation 2 4 9" xfId="2677"/>
    <cellStyle name="Calculation 2 5" xfId="2678"/>
    <cellStyle name="Calculation 2 5 10" xfId="2679"/>
    <cellStyle name="Calculation 2 5 11" xfId="2680"/>
    <cellStyle name="Calculation 2 5 12" xfId="2681"/>
    <cellStyle name="Calculation 2 5 13" xfId="2682"/>
    <cellStyle name="Calculation 2 5 14" xfId="2683"/>
    <cellStyle name="Calculation 2 5 15" xfId="2684"/>
    <cellStyle name="Calculation 2 5 16" xfId="2685"/>
    <cellStyle name="Calculation 2 5 17" xfId="2686"/>
    <cellStyle name="Calculation 2 5 18" xfId="2687"/>
    <cellStyle name="Calculation 2 5 19" xfId="2688"/>
    <cellStyle name="Calculation 2 5 2" xfId="2689"/>
    <cellStyle name="Calculation 2 5 20" xfId="2690"/>
    <cellStyle name="Calculation 2 5 21" xfId="2691"/>
    <cellStyle name="Calculation 2 5 22" xfId="2692"/>
    <cellStyle name="Calculation 2 5 23" xfId="2693"/>
    <cellStyle name="Calculation 2 5 24" xfId="2694"/>
    <cellStyle name="Calculation 2 5 25" xfId="2695"/>
    <cellStyle name="Calculation 2 5 26" xfId="2696"/>
    <cellStyle name="Calculation 2 5 27" xfId="2697"/>
    <cellStyle name="Calculation 2 5 28" xfId="2698"/>
    <cellStyle name="Calculation 2 5 29" xfId="2699"/>
    <cellStyle name="Calculation 2 5 3" xfId="2700"/>
    <cellStyle name="Calculation 2 5 30" xfId="2701"/>
    <cellStyle name="Calculation 2 5 31" xfId="2702"/>
    <cellStyle name="Calculation 2 5 32" xfId="2703"/>
    <cellStyle name="Calculation 2 5 4" xfId="2704"/>
    <cellStyle name="Calculation 2 5 5" xfId="2705"/>
    <cellStyle name="Calculation 2 5 6" xfId="2706"/>
    <cellStyle name="Calculation 2 5 7" xfId="2707"/>
    <cellStyle name="Calculation 2 5 8" xfId="2708"/>
    <cellStyle name="Calculation 2 5 9" xfId="2709"/>
    <cellStyle name="Calculation 2 6" xfId="2710"/>
    <cellStyle name="Calculation 2 7" xfId="2711"/>
    <cellStyle name="Calculation 2 8" xfId="2712"/>
    <cellStyle name="Calculation 2 9" xfId="2713"/>
    <cellStyle name="Calculation 3" xfId="2714"/>
    <cellStyle name="CalculationDate" xfId="2715"/>
    <cellStyle name="Cash (0dp)" xfId="2716"/>
    <cellStyle name="Cash (0dp+NZ)" xfId="2717"/>
    <cellStyle name="Cash (2dp)" xfId="2718"/>
    <cellStyle name="Cash (2dp+NZ)" xfId="2719"/>
    <cellStyle name="Check" xfId="2720"/>
    <cellStyle name="Check Cell 2" xfId="2721"/>
    <cellStyle name="Check Cell 3" xfId="2722"/>
    <cellStyle name="ColBlue" xfId="2723"/>
    <cellStyle name="ColGreen" xfId="2724"/>
    <cellStyle name="ColRed" xfId="2725"/>
    <cellStyle name="column Head Underlined" xfId="2726"/>
    <cellStyle name="Column Heading" xfId="2727"/>
    <cellStyle name="ColumnHeading" xfId="2728"/>
    <cellStyle name="ColumnHeadings" xfId="2729"/>
    <cellStyle name="ColumnHeadings2" xfId="2730"/>
    <cellStyle name="Comma" xfId="4252" builtinId="3"/>
    <cellStyle name="Comma  - Style1" xfId="2731"/>
    <cellStyle name="Comma  - Style2" xfId="2732"/>
    <cellStyle name="Comma  - Style3" xfId="2733"/>
    <cellStyle name="Comma  - Style4" xfId="2734"/>
    <cellStyle name="Comma  - Style5" xfId="2735"/>
    <cellStyle name="Comma  - Style6" xfId="2736"/>
    <cellStyle name="Comma  - Style7" xfId="2737"/>
    <cellStyle name="Comma  - Style8" xfId="2738"/>
    <cellStyle name="Comma (0)" xfId="2739"/>
    <cellStyle name="Comma (0dp)" xfId="2740"/>
    <cellStyle name="Comma (0dp+NZ)" xfId="2741"/>
    <cellStyle name="Comma (1)" xfId="2742"/>
    <cellStyle name="Comma (2)" xfId="2743"/>
    <cellStyle name="Comma (2dp)" xfId="2744"/>
    <cellStyle name="Comma (2dp) Dashed" xfId="2745"/>
    <cellStyle name="Comma (2dp) Nil" xfId="2746"/>
    <cellStyle name="Comma (2dp)_Budget Est Oct 03" xfId="2747"/>
    <cellStyle name="Comma (2dp+NZ)" xfId="2748"/>
    <cellStyle name="Comma (nz)" xfId="2749"/>
    <cellStyle name="Comma [1]" xfId="2750"/>
    <cellStyle name="Comma [2]" xfId="2751"/>
    <cellStyle name="Comma [3]" xfId="2752"/>
    <cellStyle name="Comma 0" xfId="2753"/>
    <cellStyle name="Comma 0*" xfId="2754"/>
    <cellStyle name="Comma 0_Model_Sep_2_02" xfId="2755"/>
    <cellStyle name="Comma 10" xfId="2756"/>
    <cellStyle name="Comma 11" xfId="2757"/>
    <cellStyle name="Comma 12" xfId="2758"/>
    <cellStyle name="Comma 13" xfId="2759"/>
    <cellStyle name="Comma 14" xfId="2760"/>
    <cellStyle name="Comma 15" xfId="2761"/>
    <cellStyle name="Comma 16" xfId="2762"/>
    <cellStyle name="Comma 17" xfId="2763"/>
    <cellStyle name="Comma 18" xfId="2764"/>
    <cellStyle name="Comma 19" xfId="2765"/>
    <cellStyle name="Comma 19 2" xfId="2766"/>
    <cellStyle name="Comma 19 2 2" xfId="4297"/>
    <cellStyle name="Comma 19 2 2 2" xfId="4438"/>
    <cellStyle name="Comma 19 2 3" xfId="4439"/>
    <cellStyle name="Comma 19 3" xfId="4296"/>
    <cellStyle name="Comma 19 3 2" xfId="4440"/>
    <cellStyle name="Comma 19 4" xfId="4441"/>
    <cellStyle name="Comma 2" xfId="5"/>
    <cellStyle name="Comma 2 10" xfId="2768"/>
    <cellStyle name="Comma 2 10 10" xfId="2769"/>
    <cellStyle name="Comma 2 10 11" xfId="2770"/>
    <cellStyle name="Comma 2 10 12" xfId="2771"/>
    <cellStyle name="Comma 2 10 2" xfId="2772"/>
    <cellStyle name="Comma 2 10 2 2" xfId="2773"/>
    <cellStyle name="Comma 2 10 2 3" xfId="2774"/>
    <cellStyle name="Comma 2 10 3" xfId="2775"/>
    <cellStyle name="Comma 2 10 4" xfId="2776"/>
    <cellStyle name="Comma 2 10 5" xfId="2777"/>
    <cellStyle name="Comma 2 10 6" xfId="2778"/>
    <cellStyle name="Comma 2 10 6 2" xfId="2779"/>
    <cellStyle name="Comma 2 10 7" xfId="2780"/>
    <cellStyle name="Comma 2 10 7 2" xfId="2781"/>
    <cellStyle name="Comma 2 10 7 3" xfId="2782"/>
    <cellStyle name="Comma 2 10 8" xfId="2783"/>
    <cellStyle name="Comma 2 10 9" xfId="2784"/>
    <cellStyle name="Comma 2 100" xfId="2785"/>
    <cellStyle name="Comma 2 101" xfId="2786"/>
    <cellStyle name="Comma 2 102" xfId="2787"/>
    <cellStyle name="Comma 2 103" xfId="2788"/>
    <cellStyle name="Comma 2 104" xfId="2789"/>
    <cellStyle name="Comma 2 105" xfId="2790"/>
    <cellStyle name="Comma 2 106" xfId="2791"/>
    <cellStyle name="Comma 2 107" xfId="2792"/>
    <cellStyle name="Comma 2 108" xfId="2793"/>
    <cellStyle name="Comma 2 109" xfId="2794"/>
    <cellStyle name="Comma 2 11" xfId="2795"/>
    <cellStyle name="Comma 2 110" xfId="2796"/>
    <cellStyle name="Comma 2 111" xfId="2797"/>
    <cellStyle name="Comma 2 112" xfId="2798"/>
    <cellStyle name="Comma 2 113" xfId="2799"/>
    <cellStyle name="Comma 2 114" xfId="2800"/>
    <cellStyle name="Comma 2 115" xfId="2801"/>
    <cellStyle name="Comma 2 116" xfId="2802"/>
    <cellStyle name="Comma 2 117" xfId="2803"/>
    <cellStyle name="Comma 2 118" xfId="2804"/>
    <cellStyle name="Comma 2 119" xfId="2805"/>
    <cellStyle name="Comma 2 12" xfId="2806"/>
    <cellStyle name="Comma 2 120" xfId="2807"/>
    <cellStyle name="Comma 2 121" xfId="2808"/>
    <cellStyle name="Comma 2 122" xfId="2809"/>
    <cellStyle name="Comma 2 123" xfId="2810"/>
    <cellStyle name="Comma 2 124" xfId="2811"/>
    <cellStyle name="Comma 2 125" xfId="2812"/>
    <cellStyle name="Comma 2 126" xfId="2813"/>
    <cellStyle name="Comma 2 127" xfId="2814"/>
    <cellStyle name="Comma 2 128" xfId="2767"/>
    <cellStyle name="Comma 2 129" xfId="4308"/>
    <cellStyle name="Comma 2 13" xfId="2815"/>
    <cellStyle name="Comma 2 14" xfId="2816"/>
    <cellStyle name="Comma 2 15" xfId="2817"/>
    <cellStyle name="Comma 2 16" xfId="2818"/>
    <cellStyle name="Comma 2 17" xfId="2819"/>
    <cellStyle name="Comma 2 18" xfId="2820"/>
    <cellStyle name="Comma 2 19" xfId="2821"/>
    <cellStyle name="Comma 2 2" xfId="4"/>
    <cellStyle name="Comma 2 2 10" xfId="2823"/>
    <cellStyle name="Comma 2 2 11" xfId="2824"/>
    <cellStyle name="Comma 2 2 12" xfId="2825"/>
    <cellStyle name="Comma 2 2 13" xfId="2826"/>
    <cellStyle name="Comma 2 2 14" xfId="2827"/>
    <cellStyle name="Comma 2 2 15" xfId="2828"/>
    <cellStyle name="Comma 2 2 16" xfId="2829"/>
    <cellStyle name="Comma 2 2 17" xfId="2830"/>
    <cellStyle name="Comma 2 2 18" xfId="2831"/>
    <cellStyle name="Comma 2 2 19" xfId="2832"/>
    <cellStyle name="Comma 2 2 2" xfId="2833"/>
    <cellStyle name="Comma 2 2 2 10" xfId="2834"/>
    <cellStyle name="Comma 2 2 2 11" xfId="2835"/>
    <cellStyle name="Comma 2 2 2 12" xfId="2836"/>
    <cellStyle name="Comma 2 2 2 13" xfId="2837"/>
    <cellStyle name="Comma 2 2 2 14" xfId="2838"/>
    <cellStyle name="Comma 2 2 2 15" xfId="2839"/>
    <cellStyle name="Comma 2 2 2 16" xfId="4442"/>
    <cellStyle name="Comma 2 2 2 2" xfId="2840"/>
    <cellStyle name="Comma 2 2 2 2 2" xfId="2841"/>
    <cellStyle name="Comma 2 2 2 2 2 10" xfId="2842"/>
    <cellStyle name="Comma 2 2 2 2 2 11" xfId="2843"/>
    <cellStyle name="Comma 2 2 2 2 2 12" xfId="2844"/>
    <cellStyle name="Comma 2 2 2 2 2 13" xfId="2845"/>
    <cellStyle name="Comma 2 2 2 2 2 14" xfId="2846"/>
    <cellStyle name="Comma 2 2 2 2 2 2" xfId="2847"/>
    <cellStyle name="Comma 2 2 2 2 2 3" xfId="2848"/>
    <cellStyle name="Comma 2 2 2 2 2 4" xfId="2849"/>
    <cellStyle name="Comma 2 2 2 2 2 5" xfId="2850"/>
    <cellStyle name="Comma 2 2 2 2 2 6" xfId="2851"/>
    <cellStyle name="Comma 2 2 2 2 2 7" xfId="2852"/>
    <cellStyle name="Comma 2 2 2 2 2 8" xfId="2853"/>
    <cellStyle name="Comma 2 2 2 2 2 9" xfId="2854"/>
    <cellStyle name="Comma 2 2 2 3" xfId="2855"/>
    <cellStyle name="Comma 2 2 2 4" xfId="2856"/>
    <cellStyle name="Comma 2 2 2 5" xfId="2857"/>
    <cellStyle name="Comma 2 2 2 6" xfId="2858"/>
    <cellStyle name="Comma 2 2 2 7" xfId="2859"/>
    <cellStyle name="Comma 2 2 2 8" xfId="2860"/>
    <cellStyle name="Comma 2 2 2 9" xfId="2861"/>
    <cellStyle name="Comma 2 2 20" xfId="2862"/>
    <cellStyle name="Comma 2 2 21" xfId="2863"/>
    <cellStyle name="Comma 2 2 22" xfId="2864"/>
    <cellStyle name="Comma 2 2 23" xfId="2865"/>
    <cellStyle name="Comma 2 2 24" xfId="2866"/>
    <cellStyle name="Comma 2 2 25" xfId="2867"/>
    <cellStyle name="Comma 2 2 26" xfId="2868"/>
    <cellStyle name="Comma 2 2 27" xfId="2869"/>
    <cellStyle name="Comma 2 2 28" xfId="2870"/>
    <cellStyle name="Comma 2 2 29" xfId="2871"/>
    <cellStyle name="Comma 2 2 3" xfId="2872"/>
    <cellStyle name="Comma 2 2 3 10" xfId="2873"/>
    <cellStyle name="Comma 2 2 3 11" xfId="2874"/>
    <cellStyle name="Comma 2 2 3 12" xfId="2875"/>
    <cellStyle name="Comma 2 2 3 13" xfId="2876"/>
    <cellStyle name="Comma 2 2 3 2" xfId="2877"/>
    <cellStyle name="Comma 2 2 3 3" xfId="2878"/>
    <cellStyle name="Comma 2 2 3 4" xfId="2879"/>
    <cellStyle name="Comma 2 2 3 5" xfId="2880"/>
    <cellStyle name="Comma 2 2 3 6" xfId="2881"/>
    <cellStyle name="Comma 2 2 3 7" xfId="2882"/>
    <cellStyle name="Comma 2 2 3 8" xfId="2883"/>
    <cellStyle name="Comma 2 2 3 9" xfId="2884"/>
    <cellStyle name="Comma 2 2 30" xfId="2885"/>
    <cellStyle name="Comma 2 2 31" xfId="2886"/>
    <cellStyle name="Comma 2 2 32" xfId="2887"/>
    <cellStyle name="Comma 2 2 33" xfId="2888"/>
    <cellStyle name="Comma 2 2 34" xfId="2889"/>
    <cellStyle name="Comma 2 2 35" xfId="2890"/>
    <cellStyle name="Comma 2 2 36" xfId="2891"/>
    <cellStyle name="Comma 2 2 37" xfId="2892"/>
    <cellStyle name="Comma 2 2 38" xfId="2893"/>
    <cellStyle name="Comma 2 2 39" xfId="2894"/>
    <cellStyle name="Comma 2 2 4" xfId="2895"/>
    <cellStyle name="Comma 2 2 40" xfId="2896"/>
    <cellStyle name="Comma 2 2 41" xfId="2897"/>
    <cellStyle name="Comma 2 2 42" xfId="2898"/>
    <cellStyle name="Comma 2 2 43" xfId="2899"/>
    <cellStyle name="Comma 2 2 44" xfId="2900"/>
    <cellStyle name="Comma 2 2 45" xfId="2901"/>
    <cellStyle name="Comma 2 2 46" xfId="2902"/>
    <cellStyle name="Comma 2 2 47" xfId="2903"/>
    <cellStyle name="Comma 2 2 48" xfId="2822"/>
    <cellStyle name="Comma 2 2 49" xfId="4307"/>
    <cellStyle name="Comma 2 2 5" xfId="2904"/>
    <cellStyle name="Comma 2 2 6" xfId="2905"/>
    <cellStyle name="Comma 2 2 7" xfId="2906"/>
    <cellStyle name="Comma 2 2 8" xfId="2907"/>
    <cellStyle name="Comma 2 2 9" xfId="2908"/>
    <cellStyle name="Comma 2 2_3.1.2 DB Pension Detail" xfId="2909"/>
    <cellStyle name="Comma 2 20" xfId="2910"/>
    <cellStyle name="Comma 2 21" xfId="2911"/>
    <cellStyle name="Comma 2 22" xfId="2912"/>
    <cellStyle name="Comma 2 23" xfId="2913"/>
    <cellStyle name="Comma 2 24" xfId="2914"/>
    <cellStyle name="Comma 2 25" xfId="2915"/>
    <cellStyle name="Comma 2 26" xfId="2916"/>
    <cellStyle name="Comma 2 27" xfId="2917"/>
    <cellStyle name="Comma 2 28" xfId="2918"/>
    <cellStyle name="Comma 2 29" xfId="2919"/>
    <cellStyle name="Comma 2 3" xfId="2920"/>
    <cellStyle name="Comma 2 3 10" xfId="2921"/>
    <cellStyle name="Comma 2 3 11" xfId="2922"/>
    <cellStyle name="Comma 2 3 12" xfId="2923"/>
    <cellStyle name="Comma 2 3 13" xfId="2924"/>
    <cellStyle name="Comma 2 3 14" xfId="2925"/>
    <cellStyle name="Comma 2 3 15" xfId="2926"/>
    <cellStyle name="Comma 2 3 16" xfId="2927"/>
    <cellStyle name="Comma 2 3 17" xfId="2928"/>
    <cellStyle name="Comma 2 3 18" xfId="2929"/>
    <cellStyle name="Comma 2 3 19" xfId="2930"/>
    <cellStyle name="Comma 2 3 2" xfId="2931"/>
    <cellStyle name="Comma 2 3 2 2" xfId="2932"/>
    <cellStyle name="Comma 2 3 2 2 10" xfId="2933"/>
    <cellStyle name="Comma 2 3 2 2 11" xfId="2934"/>
    <cellStyle name="Comma 2 3 2 2 12" xfId="2935"/>
    <cellStyle name="Comma 2 3 2 2 13" xfId="2936"/>
    <cellStyle name="Comma 2 3 2 2 14" xfId="2937"/>
    <cellStyle name="Comma 2 3 2 2 15" xfId="2938"/>
    <cellStyle name="Comma 2 3 2 2 2" xfId="2939"/>
    <cellStyle name="Comma 2 3 2 2 3" xfId="2940"/>
    <cellStyle name="Comma 2 3 2 2 4" xfId="2941"/>
    <cellStyle name="Comma 2 3 2 2 5" xfId="2942"/>
    <cellStyle name="Comma 2 3 2 2 6" xfId="2943"/>
    <cellStyle name="Comma 2 3 2 2 7" xfId="2944"/>
    <cellStyle name="Comma 2 3 2 2 8" xfId="2945"/>
    <cellStyle name="Comma 2 3 2 2 9" xfId="2946"/>
    <cellStyle name="Comma 2 3 2_3.1.2 DB Pension Detail" xfId="2947"/>
    <cellStyle name="Comma 2 3 20" xfId="2948"/>
    <cellStyle name="Comma 2 3 21" xfId="2949"/>
    <cellStyle name="Comma 2 3 22" xfId="2950"/>
    <cellStyle name="Comma 2 3 23" xfId="2951"/>
    <cellStyle name="Comma 2 3 24" xfId="2952"/>
    <cellStyle name="Comma 2 3 25" xfId="2953"/>
    <cellStyle name="Comma 2 3 26" xfId="2954"/>
    <cellStyle name="Comma 2 3 27" xfId="2955"/>
    <cellStyle name="Comma 2 3 28" xfId="2956"/>
    <cellStyle name="Comma 2 3 29" xfId="2957"/>
    <cellStyle name="Comma 2 3 3" xfId="2958"/>
    <cellStyle name="Comma 2 3 3 10" xfId="2959"/>
    <cellStyle name="Comma 2 3 3 11" xfId="2960"/>
    <cellStyle name="Comma 2 3 3 12" xfId="2961"/>
    <cellStyle name="Comma 2 3 3 13" xfId="2962"/>
    <cellStyle name="Comma 2 3 3 2" xfId="2963"/>
    <cellStyle name="Comma 2 3 3 3" xfId="2964"/>
    <cellStyle name="Comma 2 3 3 4" xfId="2965"/>
    <cellStyle name="Comma 2 3 3 5" xfId="2966"/>
    <cellStyle name="Comma 2 3 3 6" xfId="2967"/>
    <cellStyle name="Comma 2 3 3 7" xfId="2968"/>
    <cellStyle name="Comma 2 3 3 8" xfId="2969"/>
    <cellStyle name="Comma 2 3 3 9" xfId="2970"/>
    <cellStyle name="Comma 2 3 30" xfId="2971"/>
    <cellStyle name="Comma 2 3 31" xfId="2972"/>
    <cellStyle name="Comma 2 3 32" xfId="2973"/>
    <cellStyle name="Comma 2 3 33" xfId="2974"/>
    <cellStyle name="Comma 2 3 34" xfId="2975"/>
    <cellStyle name="Comma 2 3 35" xfId="2976"/>
    <cellStyle name="Comma 2 3 36" xfId="2977"/>
    <cellStyle name="Comma 2 3 37" xfId="2978"/>
    <cellStyle name="Comma 2 3 38" xfId="2979"/>
    <cellStyle name="Comma 2 3 39" xfId="2980"/>
    <cellStyle name="Comma 2 3 4" xfId="2981"/>
    <cellStyle name="Comma 2 3 40" xfId="2982"/>
    <cellStyle name="Comma 2 3 41" xfId="2983"/>
    <cellStyle name="Comma 2 3 42" xfId="2984"/>
    <cellStyle name="Comma 2 3 43" xfId="2985"/>
    <cellStyle name="Comma 2 3 44" xfId="2986"/>
    <cellStyle name="Comma 2 3 45" xfId="2987"/>
    <cellStyle name="Comma 2 3 46" xfId="2988"/>
    <cellStyle name="Comma 2 3 47" xfId="2989"/>
    <cellStyle name="Comma 2 3 48" xfId="2990"/>
    <cellStyle name="Comma 2 3 5" xfId="2991"/>
    <cellStyle name="Comma 2 3 6" xfId="2992"/>
    <cellStyle name="Comma 2 3 7" xfId="2993"/>
    <cellStyle name="Comma 2 3 8" xfId="2994"/>
    <cellStyle name="Comma 2 3 9" xfId="2995"/>
    <cellStyle name="Comma 2 3_3.1.2 DB Pension Detail" xfId="2996"/>
    <cellStyle name="Comma 2 30" xfId="2997"/>
    <cellStyle name="Comma 2 31" xfId="2998"/>
    <cellStyle name="Comma 2 32" xfId="2999"/>
    <cellStyle name="Comma 2 33" xfId="3000"/>
    <cellStyle name="Comma 2 34" xfId="3001"/>
    <cellStyle name="Comma 2 35" xfId="3002"/>
    <cellStyle name="Comma 2 36" xfId="3003"/>
    <cellStyle name="Comma 2 37" xfId="3004"/>
    <cellStyle name="Comma 2 38" xfId="3005"/>
    <cellStyle name="Comma 2 39" xfId="3006"/>
    <cellStyle name="Comma 2 4" xfId="3007"/>
    <cellStyle name="Comma 2 4 10" xfId="3008"/>
    <cellStyle name="Comma 2 4 11" xfId="3009"/>
    <cellStyle name="Comma 2 4 12" xfId="3010"/>
    <cellStyle name="Comma 2 4 13" xfId="3011"/>
    <cellStyle name="Comma 2 4 14" xfId="3012"/>
    <cellStyle name="Comma 2 4 15" xfId="3013"/>
    <cellStyle name="Comma 2 4 16" xfId="3014"/>
    <cellStyle name="Comma 2 4 17" xfId="3015"/>
    <cellStyle name="Comma 2 4 18" xfId="3016"/>
    <cellStyle name="Comma 2 4 19" xfId="3017"/>
    <cellStyle name="Comma 2 4 2" xfId="3018"/>
    <cellStyle name="Comma 2 4 2 10" xfId="3019"/>
    <cellStyle name="Comma 2 4 2 11" xfId="3020"/>
    <cellStyle name="Comma 2 4 2 12" xfId="3021"/>
    <cellStyle name="Comma 2 4 2 13" xfId="3022"/>
    <cellStyle name="Comma 2 4 2 14" xfId="3023"/>
    <cellStyle name="Comma 2 4 2 15" xfId="3024"/>
    <cellStyle name="Comma 2 4 2 16" xfId="3025"/>
    <cellStyle name="Comma 2 4 2 17" xfId="3026"/>
    <cellStyle name="Comma 2 4 2 2" xfId="3027"/>
    <cellStyle name="Comma 2 4 2 3" xfId="3028"/>
    <cellStyle name="Comma 2 4 2 4" xfId="3029"/>
    <cellStyle name="Comma 2 4 2 5" xfId="3030"/>
    <cellStyle name="Comma 2 4 2 6" xfId="3031"/>
    <cellStyle name="Comma 2 4 2 7" xfId="3032"/>
    <cellStyle name="Comma 2 4 2 8" xfId="3033"/>
    <cellStyle name="Comma 2 4 2 9" xfId="3034"/>
    <cellStyle name="Comma 2 4 20" xfId="3035"/>
    <cellStyle name="Comma 2 4 21" xfId="3036"/>
    <cellStyle name="Comma 2 4 22" xfId="3037"/>
    <cellStyle name="Comma 2 4 23" xfId="3038"/>
    <cellStyle name="Comma 2 4 24" xfId="3039"/>
    <cellStyle name="Comma 2 4 25" xfId="3040"/>
    <cellStyle name="Comma 2 4 26" xfId="3041"/>
    <cellStyle name="Comma 2 4 27" xfId="3042"/>
    <cellStyle name="Comma 2 4 28" xfId="3043"/>
    <cellStyle name="Comma 2 4 29" xfId="3044"/>
    <cellStyle name="Comma 2 4 3" xfId="3045"/>
    <cellStyle name="Comma 2 4 30" xfId="3046"/>
    <cellStyle name="Comma 2 4 31" xfId="3047"/>
    <cellStyle name="Comma 2 4 32" xfId="3048"/>
    <cellStyle name="Comma 2 4 33" xfId="3049"/>
    <cellStyle name="Comma 2 4 34" xfId="3050"/>
    <cellStyle name="Comma 2 4 35" xfId="3051"/>
    <cellStyle name="Comma 2 4 36" xfId="3052"/>
    <cellStyle name="Comma 2 4 37" xfId="3053"/>
    <cellStyle name="Comma 2 4 38" xfId="3054"/>
    <cellStyle name="Comma 2 4 39" xfId="3055"/>
    <cellStyle name="Comma 2 4 4" xfId="3056"/>
    <cellStyle name="Comma 2 4 40" xfId="3057"/>
    <cellStyle name="Comma 2 4 41" xfId="3058"/>
    <cellStyle name="Comma 2 4 42" xfId="3059"/>
    <cellStyle name="Comma 2 4 43" xfId="3060"/>
    <cellStyle name="Comma 2 4 44" xfId="3061"/>
    <cellStyle name="Comma 2 4 45" xfId="3062"/>
    <cellStyle name="Comma 2 4 46" xfId="3063"/>
    <cellStyle name="Comma 2 4 47" xfId="3064"/>
    <cellStyle name="Comma 2 4 48" xfId="3065"/>
    <cellStyle name="Comma 2 4 49" xfId="3066"/>
    <cellStyle name="Comma 2 4 5" xfId="3067"/>
    <cellStyle name="Comma 2 4 50" xfId="3068"/>
    <cellStyle name="Comma 2 4 51" xfId="3069"/>
    <cellStyle name="Comma 2 4 52" xfId="3070"/>
    <cellStyle name="Comma 2 4 53" xfId="3071"/>
    <cellStyle name="Comma 2 4 54" xfId="3072"/>
    <cellStyle name="Comma 2 4 55" xfId="3073"/>
    <cellStyle name="Comma 2 4 56" xfId="3074"/>
    <cellStyle name="Comma 2 4 57" xfId="3075"/>
    <cellStyle name="Comma 2 4 58" xfId="3076"/>
    <cellStyle name="Comma 2 4 59" xfId="3077"/>
    <cellStyle name="Comma 2 4 6" xfId="3078"/>
    <cellStyle name="Comma 2 4 60" xfId="3079"/>
    <cellStyle name="Comma 2 4 61" xfId="3080"/>
    <cellStyle name="Comma 2 4 62" xfId="3081"/>
    <cellStyle name="Comma 2 4 63" xfId="3082"/>
    <cellStyle name="Comma 2 4 64" xfId="3083"/>
    <cellStyle name="Comma 2 4 65" xfId="3084"/>
    <cellStyle name="Comma 2 4 66" xfId="3085"/>
    <cellStyle name="Comma 2 4 67" xfId="3086"/>
    <cellStyle name="Comma 2 4 68" xfId="3087"/>
    <cellStyle name="Comma 2 4 69" xfId="3088"/>
    <cellStyle name="Comma 2 4 7" xfId="3089"/>
    <cellStyle name="Comma 2 4 70" xfId="3090"/>
    <cellStyle name="Comma 2 4 71" xfId="3091"/>
    <cellStyle name="Comma 2 4 72" xfId="3092"/>
    <cellStyle name="Comma 2 4 73" xfId="3093"/>
    <cellStyle name="Comma 2 4 74" xfId="3094"/>
    <cellStyle name="Comma 2 4 75" xfId="3095"/>
    <cellStyle name="Comma 2 4 76" xfId="3096"/>
    <cellStyle name="Comma 2 4 77" xfId="3097"/>
    <cellStyle name="Comma 2 4 78" xfId="3098"/>
    <cellStyle name="Comma 2 4 8" xfId="3099"/>
    <cellStyle name="Comma 2 4 9" xfId="3100"/>
    <cellStyle name="Comma 2 40" xfId="3101"/>
    <cellStyle name="Comma 2 41" xfId="3102"/>
    <cellStyle name="Comma 2 42" xfId="3103"/>
    <cellStyle name="Comma 2 43" xfId="3104"/>
    <cellStyle name="Comma 2 44" xfId="3105"/>
    <cellStyle name="Comma 2 45" xfId="3106"/>
    <cellStyle name="Comma 2 46" xfId="3107"/>
    <cellStyle name="Comma 2 47" xfId="3108"/>
    <cellStyle name="Comma 2 48" xfId="3109"/>
    <cellStyle name="Comma 2 49" xfId="3110"/>
    <cellStyle name="Comma 2 5" xfId="3111"/>
    <cellStyle name="Comma 2 50" xfId="3112"/>
    <cellStyle name="Comma 2 51" xfId="3113"/>
    <cellStyle name="Comma 2 51 10" xfId="3114"/>
    <cellStyle name="Comma 2 51 11" xfId="3115"/>
    <cellStyle name="Comma 2 51 12" xfId="3116"/>
    <cellStyle name="Comma 2 51 13" xfId="3117"/>
    <cellStyle name="Comma 2 51 14" xfId="3118"/>
    <cellStyle name="Comma 2 51 15" xfId="3119"/>
    <cellStyle name="Comma 2 51 16" xfId="3120"/>
    <cellStyle name="Comma 2 51 17" xfId="3121"/>
    <cellStyle name="Comma 2 51 2" xfId="3122"/>
    <cellStyle name="Comma 2 51 3" xfId="3123"/>
    <cellStyle name="Comma 2 51 4" xfId="3124"/>
    <cellStyle name="Comma 2 51 5" xfId="3125"/>
    <cellStyle name="Comma 2 51 6" xfId="3126"/>
    <cellStyle name="Comma 2 51 7" xfId="3127"/>
    <cellStyle name="Comma 2 51 8" xfId="3128"/>
    <cellStyle name="Comma 2 51 9" xfId="3129"/>
    <cellStyle name="Comma 2 52" xfId="3130"/>
    <cellStyle name="Comma 2 52 10" xfId="3131"/>
    <cellStyle name="Comma 2 52 11" xfId="3132"/>
    <cellStyle name="Comma 2 52 12" xfId="3133"/>
    <cellStyle name="Comma 2 52 13" xfId="3134"/>
    <cellStyle name="Comma 2 52 14" xfId="3135"/>
    <cellStyle name="Comma 2 52 15" xfId="3136"/>
    <cellStyle name="Comma 2 52 16" xfId="3137"/>
    <cellStyle name="Comma 2 52 17" xfId="3138"/>
    <cellStyle name="Comma 2 52 2" xfId="3139"/>
    <cellStyle name="Comma 2 52 3" xfId="3140"/>
    <cellStyle name="Comma 2 52 4" xfId="3141"/>
    <cellStyle name="Comma 2 52 5" xfId="3142"/>
    <cellStyle name="Comma 2 52 6" xfId="3143"/>
    <cellStyle name="Comma 2 52 7" xfId="3144"/>
    <cellStyle name="Comma 2 52 8" xfId="3145"/>
    <cellStyle name="Comma 2 52 9" xfId="3146"/>
    <cellStyle name="Comma 2 53" xfId="3147"/>
    <cellStyle name="Comma 2 54" xfId="3148"/>
    <cellStyle name="Comma 2 55" xfId="3149"/>
    <cellStyle name="Comma 2 56" xfId="3150"/>
    <cellStyle name="Comma 2 57" xfId="3151"/>
    <cellStyle name="Comma 2 58" xfId="3152"/>
    <cellStyle name="Comma 2 59" xfId="3153"/>
    <cellStyle name="Comma 2 6" xfId="3154"/>
    <cellStyle name="Comma 2 60" xfId="3155"/>
    <cellStyle name="Comma 2 61" xfId="3156"/>
    <cellStyle name="Comma 2 62" xfId="3157"/>
    <cellStyle name="Comma 2 63" xfId="3158"/>
    <cellStyle name="Comma 2 64" xfId="3159"/>
    <cellStyle name="Comma 2 65" xfId="3160"/>
    <cellStyle name="Comma 2 66" xfId="3161"/>
    <cellStyle name="Comma 2 67" xfId="3162"/>
    <cellStyle name="Comma 2 68" xfId="3163"/>
    <cellStyle name="Comma 2 69" xfId="3164"/>
    <cellStyle name="Comma 2 7" xfId="3165"/>
    <cellStyle name="Comma 2 70" xfId="3166"/>
    <cellStyle name="Comma 2 71" xfId="3167"/>
    <cellStyle name="Comma 2 72" xfId="3168"/>
    <cellStyle name="Comma 2 73" xfId="3169"/>
    <cellStyle name="Comma 2 74" xfId="3170"/>
    <cellStyle name="Comma 2 75" xfId="3171"/>
    <cellStyle name="Comma 2 76" xfId="3172"/>
    <cellStyle name="Comma 2 77" xfId="3173"/>
    <cellStyle name="Comma 2 78" xfId="3174"/>
    <cellStyle name="Comma 2 79" xfId="3175"/>
    <cellStyle name="Comma 2 8" xfId="3176"/>
    <cellStyle name="Comma 2 80" xfId="3177"/>
    <cellStyle name="Comma 2 81" xfId="3178"/>
    <cellStyle name="Comma 2 82" xfId="3179"/>
    <cellStyle name="Comma 2 83" xfId="3180"/>
    <cellStyle name="Comma 2 84" xfId="3181"/>
    <cellStyle name="Comma 2 85" xfId="3182"/>
    <cellStyle name="Comma 2 86" xfId="3183"/>
    <cellStyle name="Comma 2 87" xfId="3184"/>
    <cellStyle name="Comma 2 88" xfId="3185"/>
    <cellStyle name="Comma 2 89" xfId="3186"/>
    <cellStyle name="Comma 2 9" xfId="3187"/>
    <cellStyle name="Comma 2 90" xfId="3188"/>
    <cellStyle name="Comma 2 91" xfId="3189"/>
    <cellStyle name="Comma 2 92" xfId="3190"/>
    <cellStyle name="Comma 2 93" xfId="3191"/>
    <cellStyle name="Comma 2 94" xfId="3192"/>
    <cellStyle name="Comma 2 95" xfId="3193"/>
    <cellStyle name="Comma 2 96" xfId="3194"/>
    <cellStyle name="Comma 2 97" xfId="3195"/>
    <cellStyle name="Comma 2 98" xfId="3196"/>
    <cellStyle name="Comma 2 99" xfId="3197"/>
    <cellStyle name="Comma 2*" xfId="3198"/>
    <cellStyle name="Comma 2_2.11 Staff NG BS" xfId="3199"/>
    <cellStyle name="Comma 20" xfId="3200"/>
    <cellStyle name="Comma 20 2" xfId="3201"/>
    <cellStyle name="Comma 20 3" xfId="3202"/>
    <cellStyle name="Comma 21" xfId="3203"/>
    <cellStyle name="Comma 21 2" xfId="3204"/>
    <cellStyle name="Comma 21 3" xfId="3205"/>
    <cellStyle name="Comma 21 4" xfId="3206"/>
    <cellStyle name="Comma 22" xfId="3207"/>
    <cellStyle name="Comma 22 2" xfId="4298"/>
    <cellStyle name="Comma 22 2 2" xfId="4443"/>
    <cellStyle name="Comma 22 3" xfId="4444"/>
    <cellStyle name="Comma 23" xfId="4272"/>
    <cellStyle name="Comma 24" xfId="4276"/>
    <cellStyle name="Comma 25" xfId="4394"/>
    <cellStyle name="Comma 26" xfId="4395"/>
    <cellStyle name="Comma 27" xfId="4405"/>
    <cellStyle name="Comma 28" xfId="4406"/>
    <cellStyle name="Comma 29" xfId="4407"/>
    <cellStyle name="Comma 3" xfId="6"/>
    <cellStyle name="Comma 3 10" xfId="3208"/>
    <cellStyle name="Comma 3 100" xfId="3209"/>
    <cellStyle name="Comma 3 101" xfId="3210"/>
    <cellStyle name="Comma 3 102" xfId="3211"/>
    <cellStyle name="Comma 3 103" xfId="3212"/>
    <cellStyle name="Comma 3 104" xfId="3213"/>
    <cellStyle name="Comma 3 105" xfId="3214"/>
    <cellStyle name="Comma 3 106" xfId="3215"/>
    <cellStyle name="Comma 3 107" xfId="3216"/>
    <cellStyle name="Comma 3 108" xfId="3217"/>
    <cellStyle name="Comma 3 109" xfId="3218"/>
    <cellStyle name="Comma 3 11" xfId="3219"/>
    <cellStyle name="Comma 3 110" xfId="3220"/>
    <cellStyle name="Comma 3 111" xfId="3221"/>
    <cellStyle name="Comma 3 112" xfId="3222"/>
    <cellStyle name="Comma 3 113" xfId="3223"/>
    <cellStyle name="Comma 3 114" xfId="3224"/>
    <cellStyle name="Comma 3 115" xfId="3225"/>
    <cellStyle name="Comma 3 116" xfId="3226"/>
    <cellStyle name="Comma 3 117" xfId="3227"/>
    <cellStyle name="Comma 3 118" xfId="3228"/>
    <cellStyle name="Comma 3 119" xfId="3229"/>
    <cellStyle name="Comma 3 12" xfId="3230"/>
    <cellStyle name="Comma 3 120" xfId="3231"/>
    <cellStyle name="Comma 3 121" xfId="3232"/>
    <cellStyle name="Comma 3 122" xfId="3233"/>
    <cellStyle name="Comma 3 123" xfId="3234"/>
    <cellStyle name="Comma 3 124" xfId="3235"/>
    <cellStyle name="Comma 3 125" xfId="3236"/>
    <cellStyle name="Comma 3 126" xfId="3237"/>
    <cellStyle name="Comma 3 13" xfId="3238"/>
    <cellStyle name="Comma 3 14" xfId="3239"/>
    <cellStyle name="Comma 3 15" xfId="3240"/>
    <cellStyle name="Comma 3 16" xfId="3241"/>
    <cellStyle name="Comma 3 17" xfId="3242"/>
    <cellStyle name="Comma 3 18" xfId="3243"/>
    <cellStyle name="Comma 3 19" xfId="3244"/>
    <cellStyle name="Comma 3 2" xfId="3245"/>
    <cellStyle name="Comma 3 2 2" xfId="3246"/>
    <cellStyle name="Comma 3 2 2 10" xfId="3247"/>
    <cellStyle name="Comma 3 2 2 11" xfId="3248"/>
    <cellStyle name="Comma 3 2 2 12" xfId="3249"/>
    <cellStyle name="Comma 3 2 2 13" xfId="3250"/>
    <cellStyle name="Comma 3 2 2 14" xfId="3251"/>
    <cellStyle name="Comma 3 2 2 2" xfId="3252"/>
    <cellStyle name="Comma 3 2 2 3" xfId="3253"/>
    <cellStyle name="Comma 3 2 2 4" xfId="3254"/>
    <cellStyle name="Comma 3 2 2 5" xfId="3255"/>
    <cellStyle name="Comma 3 2 2 6" xfId="3256"/>
    <cellStyle name="Comma 3 2 2 7" xfId="3257"/>
    <cellStyle name="Comma 3 2 2 8" xfId="3258"/>
    <cellStyle name="Comma 3 2 2 9" xfId="3259"/>
    <cellStyle name="Comma 3 2 3" xfId="3260"/>
    <cellStyle name="Comma 3 2 3 2" xfId="3261"/>
    <cellStyle name="Comma 3 2 4" xfId="3262"/>
    <cellStyle name="Comma 3 2 5" xfId="3263"/>
    <cellStyle name="Comma 3 2_3.1.2 DB Pension Detail" xfId="3264"/>
    <cellStyle name="Comma 3 20" xfId="3265"/>
    <cellStyle name="Comma 3 21" xfId="3266"/>
    <cellStyle name="Comma 3 22" xfId="3267"/>
    <cellStyle name="Comma 3 23" xfId="3268"/>
    <cellStyle name="Comma 3 24" xfId="3269"/>
    <cellStyle name="Comma 3 25" xfId="3270"/>
    <cellStyle name="Comma 3 26" xfId="3271"/>
    <cellStyle name="Comma 3 27" xfId="3272"/>
    <cellStyle name="Comma 3 28" xfId="3273"/>
    <cellStyle name="Comma 3 29" xfId="3274"/>
    <cellStyle name="Comma 3 3" xfId="3275"/>
    <cellStyle name="Comma 3 3 2" xfId="3276"/>
    <cellStyle name="Comma 3 3 2 2" xfId="3277"/>
    <cellStyle name="Comma 3 3 3" xfId="3278"/>
    <cellStyle name="Comma 3 3 4" xfId="3279"/>
    <cellStyle name="Comma 3 30" xfId="3280"/>
    <cellStyle name="Comma 3 31" xfId="3281"/>
    <cellStyle name="Comma 3 32" xfId="3282"/>
    <cellStyle name="Comma 3 33" xfId="3283"/>
    <cellStyle name="Comma 3 34" xfId="3284"/>
    <cellStyle name="Comma 3 35" xfId="3285"/>
    <cellStyle name="Comma 3 36" xfId="3286"/>
    <cellStyle name="Comma 3 37" xfId="3287"/>
    <cellStyle name="Comma 3 38" xfId="3288"/>
    <cellStyle name="Comma 3 39" xfId="3289"/>
    <cellStyle name="Comma 3 4" xfId="3290"/>
    <cellStyle name="Comma 3 40" xfId="3291"/>
    <cellStyle name="Comma 3 41" xfId="3292"/>
    <cellStyle name="Comma 3 42" xfId="3293"/>
    <cellStyle name="Comma 3 43" xfId="3294"/>
    <cellStyle name="Comma 3 44" xfId="3295"/>
    <cellStyle name="Comma 3 45" xfId="3296"/>
    <cellStyle name="Comma 3 46" xfId="3297"/>
    <cellStyle name="Comma 3 47" xfId="3298"/>
    <cellStyle name="Comma 3 48" xfId="3299"/>
    <cellStyle name="Comma 3 49" xfId="3300"/>
    <cellStyle name="Comma 3 5" xfId="3301"/>
    <cellStyle name="Comma 3 50" xfId="3302"/>
    <cellStyle name="Comma 3 51" xfId="3303"/>
    <cellStyle name="Comma 3 51 10" xfId="3304"/>
    <cellStyle name="Comma 3 51 11" xfId="3305"/>
    <cellStyle name="Comma 3 51 12" xfId="3306"/>
    <cellStyle name="Comma 3 51 13" xfId="3307"/>
    <cellStyle name="Comma 3 51 14" xfId="3308"/>
    <cellStyle name="Comma 3 51 15" xfId="3309"/>
    <cellStyle name="Comma 3 51 16" xfId="3310"/>
    <cellStyle name="Comma 3 51 17" xfId="3311"/>
    <cellStyle name="Comma 3 51 2" xfId="3312"/>
    <cellStyle name="Comma 3 51 3" xfId="3313"/>
    <cellStyle name="Comma 3 51 4" xfId="3314"/>
    <cellStyle name="Comma 3 51 5" xfId="3315"/>
    <cellStyle name="Comma 3 51 6" xfId="3316"/>
    <cellStyle name="Comma 3 51 7" xfId="3317"/>
    <cellStyle name="Comma 3 51 8" xfId="3318"/>
    <cellStyle name="Comma 3 51 9" xfId="3319"/>
    <cellStyle name="Comma 3 52" xfId="3320"/>
    <cellStyle name="Comma 3 52 10" xfId="3321"/>
    <cellStyle name="Comma 3 52 11" xfId="3322"/>
    <cellStyle name="Comma 3 52 12" xfId="3323"/>
    <cellStyle name="Comma 3 52 13" xfId="3324"/>
    <cellStyle name="Comma 3 52 14" xfId="3325"/>
    <cellStyle name="Comma 3 52 15" xfId="3326"/>
    <cellStyle name="Comma 3 52 16" xfId="3327"/>
    <cellStyle name="Comma 3 52 17" xfId="3328"/>
    <cellStyle name="Comma 3 52 2" xfId="3329"/>
    <cellStyle name="Comma 3 52 3" xfId="3330"/>
    <cellStyle name="Comma 3 52 4" xfId="3331"/>
    <cellStyle name="Comma 3 52 5" xfId="3332"/>
    <cellStyle name="Comma 3 52 6" xfId="3333"/>
    <cellStyle name="Comma 3 52 7" xfId="3334"/>
    <cellStyle name="Comma 3 52 8" xfId="3335"/>
    <cellStyle name="Comma 3 52 9" xfId="3336"/>
    <cellStyle name="Comma 3 53" xfId="3337"/>
    <cellStyle name="Comma 3 54" xfId="3338"/>
    <cellStyle name="Comma 3 55" xfId="3339"/>
    <cellStyle name="Comma 3 56" xfId="3340"/>
    <cellStyle name="Comma 3 57" xfId="3341"/>
    <cellStyle name="Comma 3 58" xfId="3342"/>
    <cellStyle name="Comma 3 59" xfId="3343"/>
    <cellStyle name="Comma 3 6" xfId="3344"/>
    <cellStyle name="Comma 3 60" xfId="3345"/>
    <cellStyle name="Comma 3 61" xfId="3346"/>
    <cellStyle name="Comma 3 62" xfId="3347"/>
    <cellStyle name="Comma 3 63" xfId="3348"/>
    <cellStyle name="Comma 3 64" xfId="3349"/>
    <cellStyle name="Comma 3 65" xfId="3350"/>
    <cellStyle name="Comma 3 66" xfId="3351"/>
    <cellStyle name="Comma 3 67" xfId="3352"/>
    <cellStyle name="Comma 3 68" xfId="3353"/>
    <cellStyle name="Comma 3 69" xfId="3354"/>
    <cellStyle name="Comma 3 7" xfId="3355"/>
    <cellStyle name="Comma 3 70" xfId="3356"/>
    <cellStyle name="Comma 3 71" xfId="3357"/>
    <cellStyle name="Comma 3 72" xfId="3358"/>
    <cellStyle name="Comma 3 73" xfId="3359"/>
    <cellStyle name="Comma 3 74" xfId="3360"/>
    <cellStyle name="Comma 3 75" xfId="3361"/>
    <cellStyle name="Comma 3 76" xfId="3362"/>
    <cellStyle name="Comma 3 77" xfId="3363"/>
    <cellStyle name="Comma 3 78" xfId="3364"/>
    <cellStyle name="Comma 3 79" xfId="3365"/>
    <cellStyle name="Comma 3 8" xfId="3366"/>
    <cellStyle name="Comma 3 80" xfId="3367"/>
    <cellStyle name="Comma 3 81" xfId="3368"/>
    <cellStyle name="Comma 3 82" xfId="3369"/>
    <cellStyle name="Comma 3 83" xfId="3370"/>
    <cellStyle name="Comma 3 84" xfId="3371"/>
    <cellStyle name="Comma 3 85" xfId="3372"/>
    <cellStyle name="Comma 3 86" xfId="3373"/>
    <cellStyle name="Comma 3 87" xfId="3374"/>
    <cellStyle name="Comma 3 88" xfId="3375"/>
    <cellStyle name="Comma 3 89" xfId="3376"/>
    <cellStyle name="Comma 3 9" xfId="3377"/>
    <cellStyle name="Comma 3 90" xfId="3378"/>
    <cellStyle name="Comma 3 91" xfId="3379"/>
    <cellStyle name="Comma 3 92" xfId="3380"/>
    <cellStyle name="Comma 3 93" xfId="3381"/>
    <cellStyle name="Comma 3 94" xfId="3382"/>
    <cellStyle name="Comma 3 95" xfId="3383"/>
    <cellStyle name="Comma 3 96" xfId="3384"/>
    <cellStyle name="Comma 3 97" xfId="3385"/>
    <cellStyle name="Comma 3 98" xfId="3386"/>
    <cellStyle name="Comma 3 99" xfId="3387"/>
    <cellStyle name="Comma 3*" xfId="3388"/>
    <cellStyle name="Comma 3_3.1.2 DB Pension Detail" xfId="3389"/>
    <cellStyle name="Comma 30" xfId="4408"/>
    <cellStyle name="Comma 31" xfId="4409"/>
    <cellStyle name="Comma 32" xfId="4410"/>
    <cellStyle name="Comma 33" xfId="4411"/>
    <cellStyle name="Comma 34" xfId="4412"/>
    <cellStyle name="Comma 35" xfId="4413"/>
    <cellStyle name="Comma 36" xfId="4670"/>
    <cellStyle name="Comma 4" xfId="3390"/>
    <cellStyle name="Comma 4 10" xfId="3391"/>
    <cellStyle name="Comma 4 11" xfId="3392"/>
    <cellStyle name="Comma 4 12" xfId="3393"/>
    <cellStyle name="Comma 4 13" xfId="3394"/>
    <cellStyle name="Comma 4 14" xfId="3395"/>
    <cellStyle name="Comma 4 15" xfId="3396"/>
    <cellStyle name="Comma 4 16" xfId="3397"/>
    <cellStyle name="Comma 4 17" xfId="3398"/>
    <cellStyle name="Comma 4 18" xfId="3399"/>
    <cellStyle name="Comma 4 19" xfId="3400"/>
    <cellStyle name="Comma 4 2" xfId="3401"/>
    <cellStyle name="Comma 4 2 10" xfId="3402"/>
    <cellStyle name="Comma 4 2 100" xfId="3403"/>
    <cellStyle name="Comma 4 2 101" xfId="3404"/>
    <cellStyle name="Comma 4 2 102" xfId="3405"/>
    <cellStyle name="Comma 4 2 103" xfId="3406"/>
    <cellStyle name="Comma 4 2 104" xfId="3407"/>
    <cellStyle name="Comma 4 2 105" xfId="3408"/>
    <cellStyle name="Comma 4 2 106" xfId="3409"/>
    <cellStyle name="Comma 4 2 107" xfId="3410"/>
    <cellStyle name="Comma 4 2 108" xfId="3411"/>
    <cellStyle name="Comma 4 2 109" xfId="3412"/>
    <cellStyle name="Comma 4 2 11" xfId="3413"/>
    <cellStyle name="Comma 4 2 12" xfId="3414"/>
    <cellStyle name="Comma 4 2 13" xfId="3415"/>
    <cellStyle name="Comma 4 2 14" xfId="3416"/>
    <cellStyle name="Comma 4 2 15" xfId="3417"/>
    <cellStyle name="Comma 4 2 16" xfId="3418"/>
    <cellStyle name="Comma 4 2 17" xfId="3419"/>
    <cellStyle name="Comma 4 2 18" xfId="3420"/>
    <cellStyle name="Comma 4 2 19" xfId="3421"/>
    <cellStyle name="Comma 4 2 2" xfId="3422"/>
    <cellStyle name="Comma 4 2 2 10" xfId="3423"/>
    <cellStyle name="Comma 4 2 2 11" xfId="3424"/>
    <cellStyle name="Comma 4 2 2 12" xfId="3425"/>
    <cellStyle name="Comma 4 2 2 13" xfId="3426"/>
    <cellStyle name="Comma 4 2 2 2" xfId="3427"/>
    <cellStyle name="Comma 4 2 2 3" xfId="3428"/>
    <cellStyle name="Comma 4 2 2 4" xfId="3429"/>
    <cellStyle name="Comma 4 2 2 5" xfId="3430"/>
    <cellStyle name="Comma 4 2 2 6" xfId="3431"/>
    <cellStyle name="Comma 4 2 2 7" xfId="3432"/>
    <cellStyle name="Comma 4 2 2 8" xfId="3433"/>
    <cellStyle name="Comma 4 2 2 9" xfId="3434"/>
    <cellStyle name="Comma 4 2 20" xfId="3435"/>
    <cellStyle name="Comma 4 2 21" xfId="3436"/>
    <cellStyle name="Comma 4 2 22" xfId="3437"/>
    <cellStyle name="Comma 4 2 23" xfId="3438"/>
    <cellStyle name="Comma 4 2 23 10" xfId="3439"/>
    <cellStyle name="Comma 4 2 23 11" xfId="3440"/>
    <cellStyle name="Comma 4 2 23 12" xfId="3441"/>
    <cellStyle name="Comma 4 2 23 13" xfId="3442"/>
    <cellStyle name="Comma 4 2 23 14" xfId="3443"/>
    <cellStyle name="Comma 4 2 23 15" xfId="3444"/>
    <cellStyle name="Comma 4 2 23 16" xfId="3445"/>
    <cellStyle name="Comma 4 2 23 17" xfId="3446"/>
    <cellStyle name="Comma 4 2 23 2" xfId="3447"/>
    <cellStyle name="Comma 4 2 23 3" xfId="3448"/>
    <cellStyle name="Comma 4 2 23 4" xfId="3449"/>
    <cellStyle name="Comma 4 2 23 5" xfId="3450"/>
    <cellStyle name="Comma 4 2 23 6" xfId="3451"/>
    <cellStyle name="Comma 4 2 23 7" xfId="3452"/>
    <cellStyle name="Comma 4 2 23 8" xfId="3453"/>
    <cellStyle name="Comma 4 2 23 9" xfId="3454"/>
    <cellStyle name="Comma 4 2 24" xfId="3455"/>
    <cellStyle name="Comma 4 2 25" xfId="3456"/>
    <cellStyle name="Comma 4 2 26" xfId="3457"/>
    <cellStyle name="Comma 4 2 27" xfId="3458"/>
    <cellStyle name="Comma 4 2 28" xfId="3459"/>
    <cellStyle name="Comma 4 2 29" xfId="3460"/>
    <cellStyle name="Comma 4 2 3" xfId="3461"/>
    <cellStyle name="Comma 4 2 30" xfId="3462"/>
    <cellStyle name="Comma 4 2 31" xfId="3463"/>
    <cellStyle name="Comma 4 2 32" xfId="3464"/>
    <cellStyle name="Comma 4 2 33" xfId="3465"/>
    <cellStyle name="Comma 4 2 34" xfId="3466"/>
    <cellStyle name="Comma 4 2 35" xfId="3467"/>
    <cellStyle name="Comma 4 2 36" xfId="3468"/>
    <cellStyle name="Comma 4 2 37" xfId="3469"/>
    <cellStyle name="Comma 4 2 38" xfId="3470"/>
    <cellStyle name="Comma 4 2 39" xfId="3471"/>
    <cellStyle name="Comma 4 2 4" xfId="3472"/>
    <cellStyle name="Comma 4 2 40" xfId="3473"/>
    <cellStyle name="Comma 4 2 41" xfId="3474"/>
    <cellStyle name="Comma 4 2 42" xfId="3475"/>
    <cellStyle name="Comma 4 2 43" xfId="3476"/>
    <cellStyle name="Comma 4 2 44" xfId="3477"/>
    <cellStyle name="Comma 4 2 45" xfId="3478"/>
    <cellStyle name="Comma 4 2 46" xfId="3479"/>
    <cellStyle name="Comma 4 2 47" xfId="3480"/>
    <cellStyle name="Comma 4 2 48" xfId="3481"/>
    <cellStyle name="Comma 4 2 49" xfId="3482"/>
    <cellStyle name="Comma 4 2 5" xfId="3483"/>
    <cellStyle name="Comma 4 2 50" xfId="3484"/>
    <cellStyle name="Comma 4 2 51" xfId="3485"/>
    <cellStyle name="Comma 4 2 52" xfId="3486"/>
    <cellStyle name="Comma 4 2 53" xfId="3487"/>
    <cellStyle name="Comma 4 2 54" xfId="3488"/>
    <cellStyle name="Comma 4 2 55" xfId="3489"/>
    <cellStyle name="Comma 4 2 56" xfId="3490"/>
    <cellStyle name="Comma 4 2 57" xfId="3491"/>
    <cellStyle name="Comma 4 2 58" xfId="3492"/>
    <cellStyle name="Comma 4 2 59" xfId="3493"/>
    <cellStyle name="Comma 4 2 6" xfId="3494"/>
    <cellStyle name="Comma 4 2 60" xfId="3495"/>
    <cellStyle name="Comma 4 2 61" xfId="3496"/>
    <cellStyle name="Comma 4 2 62" xfId="3497"/>
    <cellStyle name="Comma 4 2 63" xfId="3498"/>
    <cellStyle name="Comma 4 2 64" xfId="3499"/>
    <cellStyle name="Comma 4 2 65" xfId="3500"/>
    <cellStyle name="Comma 4 2 66" xfId="3501"/>
    <cellStyle name="Comma 4 2 67" xfId="3502"/>
    <cellStyle name="Comma 4 2 68" xfId="3503"/>
    <cellStyle name="Comma 4 2 69" xfId="3504"/>
    <cellStyle name="Comma 4 2 7" xfId="3505"/>
    <cellStyle name="Comma 4 2 70" xfId="3506"/>
    <cellStyle name="Comma 4 2 71" xfId="3507"/>
    <cellStyle name="Comma 4 2 72" xfId="3508"/>
    <cellStyle name="Comma 4 2 73" xfId="3509"/>
    <cellStyle name="Comma 4 2 74" xfId="3510"/>
    <cellStyle name="Comma 4 2 75" xfId="3511"/>
    <cellStyle name="Comma 4 2 76" xfId="3512"/>
    <cellStyle name="Comma 4 2 77" xfId="3513"/>
    <cellStyle name="Comma 4 2 78" xfId="3514"/>
    <cellStyle name="Comma 4 2 79" xfId="3515"/>
    <cellStyle name="Comma 4 2 8" xfId="3516"/>
    <cellStyle name="Comma 4 2 80" xfId="3517"/>
    <cellStyle name="Comma 4 2 81" xfId="3518"/>
    <cellStyle name="Comma 4 2 82" xfId="3519"/>
    <cellStyle name="Comma 4 2 83" xfId="3520"/>
    <cellStyle name="Comma 4 2 84" xfId="3521"/>
    <cellStyle name="Comma 4 2 85" xfId="3522"/>
    <cellStyle name="Comma 4 2 86" xfId="3523"/>
    <cellStyle name="Comma 4 2 87" xfId="3524"/>
    <cellStyle name="Comma 4 2 88" xfId="3525"/>
    <cellStyle name="Comma 4 2 89" xfId="3526"/>
    <cellStyle name="Comma 4 2 9" xfId="3527"/>
    <cellStyle name="Comma 4 2 90" xfId="3528"/>
    <cellStyle name="Comma 4 2 91" xfId="3529"/>
    <cellStyle name="Comma 4 2 92" xfId="3530"/>
    <cellStyle name="Comma 4 2 93" xfId="3531"/>
    <cellStyle name="Comma 4 2 94" xfId="3532"/>
    <cellStyle name="Comma 4 2 95" xfId="3533"/>
    <cellStyle name="Comma 4 2 96" xfId="3534"/>
    <cellStyle name="Comma 4 2 97" xfId="3535"/>
    <cellStyle name="Comma 4 2 98" xfId="3536"/>
    <cellStyle name="Comma 4 2 99" xfId="3537"/>
    <cellStyle name="Comma 4 20" xfId="3538"/>
    <cellStyle name="Comma 4 21" xfId="3539"/>
    <cellStyle name="Comma 4 22" xfId="3540"/>
    <cellStyle name="Comma 4 23" xfId="3541"/>
    <cellStyle name="Comma 4 24" xfId="3542"/>
    <cellStyle name="Comma 4 25" xfId="3543"/>
    <cellStyle name="Comma 4 26" xfId="3544"/>
    <cellStyle name="Comma 4 27" xfId="3545"/>
    <cellStyle name="Comma 4 28" xfId="3546"/>
    <cellStyle name="Comma 4 29" xfId="3547"/>
    <cellStyle name="Comma 4 3" xfId="3548"/>
    <cellStyle name="Comma 4 3 10" xfId="3549"/>
    <cellStyle name="Comma 4 3 11" xfId="3550"/>
    <cellStyle name="Comma 4 3 12" xfId="3551"/>
    <cellStyle name="Comma 4 3 13" xfId="3552"/>
    <cellStyle name="Comma 4 3 14" xfId="3553"/>
    <cellStyle name="Comma 4 3 15" xfId="3554"/>
    <cellStyle name="Comma 4 3 16" xfId="3555"/>
    <cellStyle name="Comma 4 3 17" xfId="3556"/>
    <cellStyle name="Comma 4 3 2" xfId="3557"/>
    <cellStyle name="Comma 4 3 3" xfId="3558"/>
    <cellStyle name="Comma 4 3 4" xfId="3559"/>
    <cellStyle name="Comma 4 3 5" xfId="3560"/>
    <cellStyle name="Comma 4 3 6" xfId="3561"/>
    <cellStyle name="Comma 4 3 7" xfId="3562"/>
    <cellStyle name="Comma 4 3 8" xfId="3563"/>
    <cellStyle name="Comma 4 3 9" xfId="3564"/>
    <cellStyle name="Comma 4 30" xfId="3565"/>
    <cellStyle name="Comma 4 31" xfId="3566"/>
    <cellStyle name="Comma 4 32" xfId="3567"/>
    <cellStyle name="Comma 4 33" xfId="3568"/>
    <cellStyle name="Comma 4 34" xfId="3569"/>
    <cellStyle name="Comma 4 35" xfId="3570"/>
    <cellStyle name="Comma 4 36" xfId="3571"/>
    <cellStyle name="Comma 4 37" xfId="3572"/>
    <cellStyle name="Comma 4 38" xfId="3573"/>
    <cellStyle name="Comma 4 39" xfId="3574"/>
    <cellStyle name="Comma 4 4" xfId="3575"/>
    <cellStyle name="Comma 4 4 10" xfId="3576"/>
    <cellStyle name="Comma 4 4 11" xfId="3577"/>
    <cellStyle name="Comma 4 4 12" xfId="3578"/>
    <cellStyle name="Comma 4 4 13" xfId="3579"/>
    <cellStyle name="Comma 4 4 14" xfId="3580"/>
    <cellStyle name="Comma 4 4 15" xfId="3581"/>
    <cellStyle name="Comma 4 4 16" xfId="3582"/>
    <cellStyle name="Comma 4 4 17" xfId="3583"/>
    <cellStyle name="Comma 4 4 2" xfId="3584"/>
    <cellStyle name="Comma 4 4 3" xfId="3585"/>
    <cellStyle name="Comma 4 4 4" xfId="3586"/>
    <cellStyle name="Comma 4 4 5" xfId="3587"/>
    <cellStyle name="Comma 4 4 6" xfId="3588"/>
    <cellStyle name="Comma 4 4 7" xfId="3589"/>
    <cellStyle name="Comma 4 4 8" xfId="3590"/>
    <cellStyle name="Comma 4 4 9" xfId="3591"/>
    <cellStyle name="Comma 4 40" xfId="3592"/>
    <cellStyle name="Comma 4 41" xfId="3593"/>
    <cellStyle name="Comma 4 42" xfId="3594"/>
    <cellStyle name="Comma 4 43" xfId="3595"/>
    <cellStyle name="Comma 4 44" xfId="3596"/>
    <cellStyle name="Comma 4 45" xfId="3597"/>
    <cellStyle name="Comma 4 46" xfId="3598"/>
    <cellStyle name="Comma 4 47" xfId="3599"/>
    <cellStyle name="Comma 4 48" xfId="3600"/>
    <cellStyle name="Comma 4 49" xfId="3601"/>
    <cellStyle name="Comma 4 5" xfId="3602"/>
    <cellStyle name="Comma 4 50" xfId="3603"/>
    <cellStyle name="Comma 4 51" xfId="3604"/>
    <cellStyle name="Comma 4 52" xfId="3605"/>
    <cellStyle name="Comma 4 53" xfId="3606"/>
    <cellStyle name="Comma 4 54" xfId="3607"/>
    <cellStyle name="Comma 4 55" xfId="3608"/>
    <cellStyle name="Comma 4 56" xfId="3609"/>
    <cellStyle name="Comma 4 57" xfId="3610"/>
    <cellStyle name="Comma 4 58" xfId="3611"/>
    <cellStyle name="Comma 4 59" xfId="3612"/>
    <cellStyle name="Comma 4 6" xfId="3613"/>
    <cellStyle name="Comma 4 60" xfId="3614"/>
    <cellStyle name="Comma 4 61" xfId="3615"/>
    <cellStyle name="Comma 4 62" xfId="3616"/>
    <cellStyle name="Comma 4 63" xfId="3617"/>
    <cellStyle name="Comma 4 64" xfId="3618"/>
    <cellStyle name="Comma 4 65" xfId="3619"/>
    <cellStyle name="Comma 4 66" xfId="3620"/>
    <cellStyle name="Comma 4 67" xfId="3621"/>
    <cellStyle name="Comma 4 68" xfId="3622"/>
    <cellStyle name="Comma 4 69" xfId="3623"/>
    <cellStyle name="Comma 4 7" xfId="3624"/>
    <cellStyle name="Comma 4 70" xfId="3625"/>
    <cellStyle name="Comma 4 71" xfId="3626"/>
    <cellStyle name="Comma 4 72" xfId="3627"/>
    <cellStyle name="Comma 4 73" xfId="3628"/>
    <cellStyle name="Comma 4 74" xfId="3629"/>
    <cellStyle name="Comma 4 75" xfId="3630"/>
    <cellStyle name="Comma 4 76" xfId="3631"/>
    <cellStyle name="Comma 4 77" xfId="3632"/>
    <cellStyle name="Comma 4 78" xfId="3633"/>
    <cellStyle name="Comma 4 79" xfId="4445"/>
    <cellStyle name="Comma 4 79 2" xfId="4446"/>
    <cellStyle name="Comma 4 8" xfId="3634"/>
    <cellStyle name="Comma 4 80" xfId="4447"/>
    <cellStyle name="Comma 4 80 2" xfId="4448"/>
    <cellStyle name="Comma 4 81" xfId="4449"/>
    <cellStyle name="Comma 4 9" xfId="3635"/>
    <cellStyle name="Comma 5" xfId="3636"/>
    <cellStyle name="Comma 5 10" xfId="3637"/>
    <cellStyle name="Comma 5 11" xfId="3638"/>
    <cellStyle name="Comma 5 12" xfId="3639"/>
    <cellStyle name="Comma 5 13" xfId="3640"/>
    <cellStyle name="Comma 5 14" xfId="3641"/>
    <cellStyle name="Comma 5 15" xfId="3642"/>
    <cellStyle name="Comma 5 16" xfId="3643"/>
    <cellStyle name="Comma 5 17" xfId="3644"/>
    <cellStyle name="Comma 5 18" xfId="3645"/>
    <cellStyle name="Comma 5 19" xfId="3646"/>
    <cellStyle name="Comma 5 2" xfId="3647"/>
    <cellStyle name="Comma 5 2 10" xfId="3648"/>
    <cellStyle name="Comma 5 2 11" xfId="3649"/>
    <cellStyle name="Comma 5 2 12" xfId="3650"/>
    <cellStyle name="Comma 5 2 13" xfId="3651"/>
    <cellStyle name="Comma 5 2 14" xfId="3652"/>
    <cellStyle name="Comma 5 2 15" xfId="3653"/>
    <cellStyle name="Comma 5 2 16" xfId="3654"/>
    <cellStyle name="Comma 5 2 17" xfId="3655"/>
    <cellStyle name="Comma 5 2 2" xfId="3656"/>
    <cellStyle name="Comma 5 2 2 10" xfId="3657"/>
    <cellStyle name="Comma 5 2 2 11" xfId="3658"/>
    <cellStyle name="Comma 5 2 2 12" xfId="3659"/>
    <cellStyle name="Comma 5 2 2 13" xfId="3660"/>
    <cellStyle name="Comma 5 2 2 14" xfId="3661"/>
    <cellStyle name="Comma 5 2 2 15" xfId="3662"/>
    <cellStyle name="Comma 5 2 2 16" xfId="3663"/>
    <cellStyle name="Comma 5 2 2 2" xfId="3664"/>
    <cellStyle name="Comma 5 2 2 2 10" xfId="3665"/>
    <cellStyle name="Comma 5 2 2 2 11" xfId="3666"/>
    <cellStyle name="Comma 5 2 2 2 12" xfId="3667"/>
    <cellStyle name="Comma 5 2 2 2 13" xfId="3668"/>
    <cellStyle name="Comma 5 2 2 2 2" xfId="3669"/>
    <cellStyle name="Comma 5 2 2 2 3" xfId="3670"/>
    <cellStyle name="Comma 5 2 2 2 4" xfId="3671"/>
    <cellStyle name="Comma 5 2 2 2 5" xfId="3672"/>
    <cellStyle name="Comma 5 2 2 2 6" xfId="3673"/>
    <cellStyle name="Comma 5 2 2 2 7" xfId="3674"/>
    <cellStyle name="Comma 5 2 2 2 8" xfId="3675"/>
    <cellStyle name="Comma 5 2 2 2 9" xfId="3676"/>
    <cellStyle name="Comma 5 2 2 3" xfId="3677"/>
    <cellStyle name="Comma 5 2 2 3 10" xfId="3678"/>
    <cellStyle name="Comma 5 2 2 3 11" xfId="3679"/>
    <cellStyle name="Comma 5 2 2 3 12" xfId="3680"/>
    <cellStyle name="Comma 5 2 2 3 13" xfId="3681"/>
    <cellStyle name="Comma 5 2 2 3 2" xfId="3682"/>
    <cellStyle name="Comma 5 2 2 3 3" xfId="3683"/>
    <cellStyle name="Comma 5 2 2 3 4" xfId="3684"/>
    <cellStyle name="Comma 5 2 2 3 5" xfId="3685"/>
    <cellStyle name="Comma 5 2 2 3 6" xfId="3686"/>
    <cellStyle name="Comma 5 2 2 3 7" xfId="3687"/>
    <cellStyle name="Comma 5 2 2 3 8" xfId="3688"/>
    <cellStyle name="Comma 5 2 2 3 9" xfId="3689"/>
    <cellStyle name="Comma 5 2 2 4" xfId="3690"/>
    <cellStyle name="Comma 5 2 2 4 10" xfId="3691"/>
    <cellStyle name="Comma 5 2 2 4 11" xfId="3692"/>
    <cellStyle name="Comma 5 2 2 4 12" xfId="3693"/>
    <cellStyle name="Comma 5 2 2 4 13" xfId="3694"/>
    <cellStyle name="Comma 5 2 2 4 14" xfId="3695"/>
    <cellStyle name="Comma 5 2 2 4 14 2" xfId="3696"/>
    <cellStyle name="Comma 5 2 2 4 14 3" xfId="3697"/>
    <cellStyle name="Comma 5 2 2 4 14 3 2" xfId="3698"/>
    <cellStyle name="Comma 5 2 2 4 2" xfId="3699"/>
    <cellStyle name="Comma 5 2 2 4 3" xfId="3700"/>
    <cellStyle name="Comma 5 2 2 4 4" xfId="3701"/>
    <cellStyle name="Comma 5 2 2 4 5" xfId="3702"/>
    <cellStyle name="Comma 5 2 2 4 6" xfId="3703"/>
    <cellStyle name="Comma 5 2 2 4 7" xfId="3704"/>
    <cellStyle name="Comma 5 2 2 4 8" xfId="3705"/>
    <cellStyle name="Comma 5 2 2 4 9" xfId="3706"/>
    <cellStyle name="Comma 5 2 2 5" xfId="3707"/>
    <cellStyle name="Comma 5 2 2 6" xfId="3708"/>
    <cellStyle name="Comma 5 2 2 7" xfId="3709"/>
    <cellStyle name="Comma 5 2 2 8" xfId="3710"/>
    <cellStyle name="Comma 5 2 2 9" xfId="3711"/>
    <cellStyle name="Comma 5 2 3" xfId="3712"/>
    <cellStyle name="Comma 5 2 3 10" xfId="3713"/>
    <cellStyle name="Comma 5 2 3 11" xfId="3714"/>
    <cellStyle name="Comma 5 2 3 12" xfId="3715"/>
    <cellStyle name="Comma 5 2 3 13" xfId="3716"/>
    <cellStyle name="Comma 5 2 3 2" xfId="3717"/>
    <cellStyle name="Comma 5 2 3 3" xfId="3718"/>
    <cellStyle name="Comma 5 2 3 4" xfId="3719"/>
    <cellStyle name="Comma 5 2 3 5" xfId="3720"/>
    <cellStyle name="Comma 5 2 3 6" xfId="3721"/>
    <cellStyle name="Comma 5 2 3 7" xfId="3722"/>
    <cellStyle name="Comma 5 2 3 8" xfId="3723"/>
    <cellStyle name="Comma 5 2 3 9" xfId="3724"/>
    <cellStyle name="Comma 5 2 4" xfId="3725"/>
    <cellStyle name="Comma 5 2 5" xfId="3726"/>
    <cellStyle name="Comma 5 2 6" xfId="3727"/>
    <cellStyle name="Comma 5 2 7" xfId="3728"/>
    <cellStyle name="Comma 5 2 8" xfId="3729"/>
    <cellStyle name="Comma 5 2 9" xfId="3730"/>
    <cellStyle name="Comma 5 20" xfId="3731"/>
    <cellStyle name="Comma 5 21" xfId="3732"/>
    <cellStyle name="Comma 5 22" xfId="3733"/>
    <cellStyle name="Comma 5 23" xfId="3734"/>
    <cellStyle name="Comma 5 24" xfId="3735"/>
    <cellStyle name="Comma 5 25" xfId="3736"/>
    <cellStyle name="Comma 5 26" xfId="3737"/>
    <cellStyle name="Comma 5 27" xfId="3738"/>
    <cellStyle name="Comma 5 28" xfId="3739"/>
    <cellStyle name="Comma 5 29" xfId="3740"/>
    <cellStyle name="Comma 5 3" xfId="3741"/>
    <cellStyle name="Comma 5 3 10" xfId="3742"/>
    <cellStyle name="Comma 5 3 11" xfId="3743"/>
    <cellStyle name="Comma 5 3 12" xfId="3744"/>
    <cellStyle name="Comma 5 3 13" xfId="3745"/>
    <cellStyle name="Comma 5 3 14" xfId="3746"/>
    <cellStyle name="Comma 5 3 15" xfId="3747"/>
    <cellStyle name="Comma 5 3 16" xfId="3748"/>
    <cellStyle name="Comma 5 3 17" xfId="3749"/>
    <cellStyle name="Comma 5 3 2" xfId="3750"/>
    <cellStyle name="Comma 5 3 3" xfId="3751"/>
    <cellStyle name="Comma 5 3 4" xfId="3752"/>
    <cellStyle name="Comma 5 3 5" xfId="3753"/>
    <cellStyle name="Comma 5 3 6" xfId="3754"/>
    <cellStyle name="Comma 5 3 7" xfId="3755"/>
    <cellStyle name="Comma 5 3 8" xfId="3756"/>
    <cellStyle name="Comma 5 3 9" xfId="3757"/>
    <cellStyle name="Comma 5 30" xfId="3758"/>
    <cellStyle name="Comma 5 31" xfId="3759"/>
    <cellStyle name="Comma 5 32" xfId="3760"/>
    <cellStyle name="Comma 5 33" xfId="3761"/>
    <cellStyle name="Comma 5 34" xfId="3762"/>
    <cellStyle name="Comma 5 35" xfId="3763"/>
    <cellStyle name="Comma 5 36" xfId="3764"/>
    <cellStyle name="Comma 5 37" xfId="3765"/>
    <cellStyle name="Comma 5 38" xfId="3766"/>
    <cellStyle name="Comma 5 39" xfId="3767"/>
    <cellStyle name="Comma 5 4" xfId="3768"/>
    <cellStyle name="Comma 5 40" xfId="3769"/>
    <cellStyle name="Comma 5 41" xfId="3770"/>
    <cellStyle name="Comma 5 42" xfId="3771"/>
    <cellStyle name="Comma 5 43" xfId="3772"/>
    <cellStyle name="Comma 5 44" xfId="3773"/>
    <cellStyle name="Comma 5 45" xfId="3774"/>
    <cellStyle name="Comma 5 46" xfId="3775"/>
    <cellStyle name="Comma 5 47" xfId="3776"/>
    <cellStyle name="Comma 5 48" xfId="3777"/>
    <cellStyle name="Comma 5 49" xfId="3778"/>
    <cellStyle name="Comma 5 5" xfId="3779"/>
    <cellStyle name="Comma 5 50" xfId="3780"/>
    <cellStyle name="Comma 5 51" xfId="3781"/>
    <cellStyle name="Comma 5 52" xfId="3782"/>
    <cellStyle name="Comma 5 53" xfId="3783"/>
    <cellStyle name="Comma 5 54" xfId="3784"/>
    <cellStyle name="Comma 5 55" xfId="3785"/>
    <cellStyle name="Comma 5 56" xfId="3786"/>
    <cellStyle name="Comma 5 57" xfId="3787"/>
    <cellStyle name="Comma 5 58" xfId="3788"/>
    <cellStyle name="Comma 5 59" xfId="3789"/>
    <cellStyle name="Comma 5 6" xfId="3790"/>
    <cellStyle name="Comma 5 60" xfId="3791"/>
    <cellStyle name="Comma 5 61" xfId="3792"/>
    <cellStyle name="Comma 5 62" xfId="3793"/>
    <cellStyle name="Comma 5 63" xfId="3794"/>
    <cellStyle name="Comma 5 64" xfId="3795"/>
    <cellStyle name="Comma 5 65" xfId="3796"/>
    <cellStyle name="Comma 5 66" xfId="3797"/>
    <cellStyle name="Comma 5 67" xfId="3798"/>
    <cellStyle name="Comma 5 68" xfId="3799"/>
    <cellStyle name="Comma 5 69" xfId="3800"/>
    <cellStyle name="Comma 5 7" xfId="3801"/>
    <cellStyle name="Comma 5 70" xfId="3802"/>
    <cellStyle name="Comma 5 71" xfId="3803"/>
    <cellStyle name="Comma 5 72" xfId="3804"/>
    <cellStyle name="Comma 5 73" xfId="3805"/>
    <cellStyle name="Comma 5 74" xfId="3806"/>
    <cellStyle name="Comma 5 75" xfId="3807"/>
    <cellStyle name="Comma 5 76" xfId="3808"/>
    <cellStyle name="Comma 5 77" xfId="3809"/>
    <cellStyle name="Comma 5 78" xfId="3810"/>
    <cellStyle name="Comma 5 79" xfId="4371"/>
    <cellStyle name="Comma 5 8" xfId="3811"/>
    <cellStyle name="Comma 5 80" xfId="4450"/>
    <cellStyle name="Comma 5 80 2" xfId="4451"/>
    <cellStyle name="Comma 5 81" xfId="4452"/>
    <cellStyle name="Comma 5 81 2" xfId="4453"/>
    <cellStyle name="Comma 5 9" xfId="3812"/>
    <cellStyle name="Comma 6" xfId="3813"/>
    <cellStyle name="Comma 6 10" xfId="3814"/>
    <cellStyle name="Comma 6 11" xfId="3815"/>
    <cellStyle name="Comma 6 12" xfId="3816"/>
    <cellStyle name="Comma 6 13" xfId="3817"/>
    <cellStyle name="Comma 6 14" xfId="3818"/>
    <cellStyle name="Comma 6 15" xfId="3819"/>
    <cellStyle name="Comma 6 16" xfId="3820"/>
    <cellStyle name="Comma 6 17" xfId="3821"/>
    <cellStyle name="Comma 6 18" xfId="3822"/>
    <cellStyle name="Comma 6 19" xfId="4370"/>
    <cellStyle name="Comma 6 2" xfId="3823"/>
    <cellStyle name="Comma 6 2 10" xfId="3824"/>
    <cellStyle name="Comma 6 2 11" xfId="3825"/>
    <cellStyle name="Comma 6 2 12" xfId="3826"/>
    <cellStyle name="Comma 6 2 13" xfId="3827"/>
    <cellStyle name="Comma 6 2 2" xfId="3828"/>
    <cellStyle name="Comma 6 2 3" xfId="3829"/>
    <cellStyle name="Comma 6 2 4" xfId="3830"/>
    <cellStyle name="Comma 6 2 5" xfId="3831"/>
    <cellStyle name="Comma 6 2 6" xfId="3832"/>
    <cellStyle name="Comma 6 2 7" xfId="3833"/>
    <cellStyle name="Comma 6 2 8" xfId="3834"/>
    <cellStyle name="Comma 6 2 9" xfId="3835"/>
    <cellStyle name="Comma 6 3" xfId="3836"/>
    <cellStyle name="Comma 6 4" xfId="3837"/>
    <cellStyle name="Comma 6 5" xfId="3838"/>
    <cellStyle name="Comma 6 6" xfId="3839"/>
    <cellStyle name="Comma 6 7" xfId="3840"/>
    <cellStyle name="Comma 6 8" xfId="3841"/>
    <cellStyle name="Comma 6 9" xfId="3842"/>
    <cellStyle name="Comma 7" xfId="3843"/>
    <cellStyle name="Comma 7 10" xfId="3844"/>
    <cellStyle name="Comma 7 11" xfId="3845"/>
    <cellStyle name="Comma 7 12" xfId="3846"/>
    <cellStyle name="Comma 7 13" xfId="3847"/>
    <cellStyle name="Comma 7 2" xfId="3848"/>
    <cellStyle name="Comma 7 3" xfId="3849"/>
    <cellStyle name="Comma 7 4" xfId="3850"/>
    <cellStyle name="Comma 7 5" xfId="3851"/>
    <cellStyle name="Comma 7 6" xfId="3852"/>
    <cellStyle name="Comma 7 7" xfId="3853"/>
    <cellStyle name="Comma 7 8" xfId="3854"/>
    <cellStyle name="Comma 7 9" xfId="3855"/>
    <cellStyle name="Comma 8" xfId="3856"/>
    <cellStyle name="Comma 9" xfId="3857"/>
    <cellStyle name="Comma Dashed" xfId="3858"/>
    <cellStyle name="Comma Nil" xfId="3859"/>
    <cellStyle name="Comma*" xfId="3860"/>
    <cellStyle name="comma[0]" xfId="3861"/>
    <cellStyle name="Comma0" xfId="3862"/>
    <cellStyle name="Comma1" xfId="3863"/>
    <cellStyle name="Comma2" xfId="3864"/>
    <cellStyle name="Comment" xfId="3865"/>
    <cellStyle name="CompanyName" xfId="3866"/>
    <cellStyle name="Copied" xfId="3867"/>
    <cellStyle name="Copy0_" xfId="3868"/>
    <cellStyle name="Copy1_" xfId="3869"/>
    <cellStyle name="Copy2_" xfId="3870"/>
    <cellStyle name="CountryTitle" xfId="3871"/>
    <cellStyle name="CoverRatio" xfId="3872"/>
    <cellStyle name="Currency - two places" xfId="3873"/>
    <cellStyle name="Currency (0)" xfId="3874"/>
    <cellStyle name="Currency (2)" xfId="3875"/>
    <cellStyle name="Currency (2dp)" xfId="3876"/>
    <cellStyle name="Currency (2dp) Dashed" xfId="3877"/>
    <cellStyle name="Currency (2dp) Nil" xfId="3878"/>
    <cellStyle name="Currency (2dp+nz)" xfId="3879"/>
    <cellStyle name="Currency (nz)" xfId="3880"/>
    <cellStyle name="Currency [0.00]" xfId="3881"/>
    <cellStyle name="Currency [0] U" xfId="3882"/>
    <cellStyle name="Currency [2]" xfId="3883"/>
    <cellStyle name="Currency [2] U" xfId="3884"/>
    <cellStyle name="Currency 0" xfId="3885"/>
    <cellStyle name="Currency 2" xfId="7"/>
    <cellStyle name="Currency 2 10" xfId="4454"/>
    <cellStyle name="Currency 2 2" xfId="8"/>
    <cellStyle name="Currency 2 2 2" xfId="4455"/>
    <cellStyle name="Currency 2 3" xfId="9"/>
    <cellStyle name="Currency 2 3 2" xfId="10"/>
    <cellStyle name="Currency 2 3 2 2" xfId="4311"/>
    <cellStyle name="Currency 2 3 2 2 2" xfId="4456"/>
    <cellStyle name="Currency 2 3 2 3" xfId="4390"/>
    <cellStyle name="Currency 2 3 2 3 2" xfId="4457"/>
    <cellStyle name="Currency 2 3 2 4" xfId="4458"/>
    <cellStyle name="Currency 2 3 3" xfId="4310"/>
    <cellStyle name="Currency 2 3 3 2" xfId="4459"/>
    <cellStyle name="Currency 2 3 4" xfId="4383"/>
    <cellStyle name="Currency 2 3 4 2" xfId="4460"/>
    <cellStyle name="Currency 2 3 5" xfId="4461"/>
    <cellStyle name="Currency 2 3 5 2" xfId="4462"/>
    <cellStyle name="Currency 2 3 6" xfId="4463"/>
    <cellStyle name="Currency 2 4" xfId="11"/>
    <cellStyle name="Currency 2 4 2" xfId="4312"/>
    <cellStyle name="Currency 2 4 2 2" xfId="4464"/>
    <cellStyle name="Currency 2 4 3" xfId="4389"/>
    <cellStyle name="Currency 2 4 3 2" xfId="4465"/>
    <cellStyle name="Currency 2 4 4" xfId="4466"/>
    <cellStyle name="Currency 2 5" xfId="3886"/>
    <cellStyle name="Currency 2 5 2" xfId="4467"/>
    <cellStyle name="Currency 2 6" xfId="4309"/>
    <cellStyle name="Currency 2 6 2" xfId="4468"/>
    <cellStyle name="Currency 2 7" xfId="4375"/>
    <cellStyle name="Currency 2 7 2" xfId="4469"/>
    <cellStyle name="Currency 2 8" xfId="4470"/>
    <cellStyle name="Currency 2 8 2" xfId="4471"/>
    <cellStyle name="Currency 2 9" xfId="4472"/>
    <cellStyle name="Currency 2 9 2" xfId="4473"/>
    <cellStyle name="Currency 2*" xfId="3887"/>
    <cellStyle name="Currency 2_Model_Sep_2_02" xfId="3888"/>
    <cellStyle name="Currency 3" xfId="3889"/>
    <cellStyle name="Currency 3 2" xfId="4299"/>
    <cellStyle name="Currency 3 2 2" xfId="4474"/>
    <cellStyle name="Currency 3 3" xfId="4475"/>
    <cellStyle name="Currency 3 3 2" xfId="4476"/>
    <cellStyle name="Currency 3 4" xfId="4477"/>
    <cellStyle name="Currency 3 4 2" xfId="4478"/>
    <cellStyle name="Currency 3 5" xfId="4479"/>
    <cellStyle name="Currency 3*" xfId="3890"/>
    <cellStyle name="Currency 4" xfId="3891"/>
    <cellStyle name="Currency 4 2" xfId="4480"/>
    <cellStyle name="Currency 4 2 2" xfId="4481"/>
    <cellStyle name="Currency 4 3" xfId="4482"/>
    <cellStyle name="Currency 4 3 2" xfId="4483"/>
    <cellStyle name="Currency 5" xfId="3892"/>
    <cellStyle name="Currency 5 2" xfId="4484"/>
    <cellStyle name="Currency 8" xfId="4398"/>
    <cellStyle name="Currency 8 2" xfId="4485"/>
    <cellStyle name="Currency Dashed" xfId="3893"/>
    <cellStyle name="Currency Nil" xfId="3894"/>
    <cellStyle name="Currency*" xfId="3895"/>
    <cellStyle name="Currency0" xfId="3896"/>
    <cellStyle name="d_yield" xfId="3897"/>
    <cellStyle name="Dash" xfId="3898"/>
    <cellStyle name="DATA Amount" xfId="3899"/>
    <cellStyle name="DATA Amount [1]" xfId="3900"/>
    <cellStyle name="DATA Amount [2]" xfId="3901"/>
    <cellStyle name="DATA Currency" xfId="3902"/>
    <cellStyle name="DATA Currency [1]" xfId="3903"/>
    <cellStyle name="DATA Currency [2]" xfId="3904"/>
    <cellStyle name="DATA Date Long" xfId="3905"/>
    <cellStyle name="DATA Date Short" xfId="3906"/>
    <cellStyle name="Data Input" xfId="3907"/>
    <cellStyle name="DATA List" xfId="3908"/>
    <cellStyle name="DATA Memo" xfId="3909"/>
    <cellStyle name="DATA Percent" xfId="3910"/>
    <cellStyle name="DATA Percent [1]" xfId="3911"/>
    <cellStyle name="DATA Percent [2]" xfId="3912"/>
    <cellStyle name="Data Section Heading" xfId="3913"/>
    <cellStyle name="DATA Text" xfId="3914"/>
    <cellStyle name="DATA Version" xfId="3915"/>
    <cellStyle name="DATA_Amount" xfId="3916"/>
    <cellStyle name="Date" xfId="3917"/>
    <cellStyle name="Date 2" xfId="3918"/>
    <cellStyle name="Date Aligned" xfId="3919"/>
    <cellStyle name="Date Aligned*" xfId="3920"/>
    <cellStyle name="Date Aligned_Model_Sep_2_02" xfId="3921"/>
    <cellStyle name="Date input" xfId="3922"/>
    <cellStyle name="date title" xfId="3923"/>
    <cellStyle name="Date U" xfId="3924"/>
    <cellStyle name="Date_0910 GSO Capex RRP - Final (Detail) v2 220710" xfId="3925"/>
    <cellStyle name="dateformat" xfId="3926"/>
    <cellStyle name="Dateline" xfId="3927"/>
    <cellStyle name="DateLong" xfId="3928"/>
    <cellStyle name="DateShort" xfId="3929"/>
    <cellStyle name="Dec places 0" xfId="3930"/>
    <cellStyle name="Dec places 1, millions" xfId="3931"/>
    <cellStyle name="Dec places 2" xfId="3932"/>
    <cellStyle name="Dec places 2, millions" xfId="3933"/>
    <cellStyle name="Dec places 2_Draft RIIO plan presentation template - Customer Opsx Centre V7" xfId="3934"/>
    <cellStyle name="Decimal [0]" xfId="3935"/>
    <cellStyle name="Decimal [2]" xfId="3936"/>
    <cellStyle name="Decimal [2] U" xfId="3937"/>
    <cellStyle name="Decimal [4]" xfId="3938"/>
    <cellStyle name="Decimal [4] U" xfId="3939"/>
    <cellStyle name="Dezimal [0]_Anschreiben" xfId="3940"/>
    <cellStyle name="Dezimal_Anschreiben" xfId="3941"/>
    <cellStyle name="Directors" xfId="3942"/>
    <cellStyle name="dollar" xfId="3943"/>
    <cellStyle name="dollar[0]" xfId="3944"/>
    <cellStyle name="dollar_Draft RIIO plan presentation template - Customer Opsx Centre V7" xfId="3945"/>
    <cellStyle name="done" xfId="3946"/>
    <cellStyle name="Dotted Line" xfId="3947"/>
    <cellStyle name="DOWNFOOT" xfId="3948"/>
    <cellStyle name="DP 0, no commas" xfId="3949"/>
    <cellStyle name="DWF1.5-3.0split" xfId="3950"/>
    <cellStyle name="DWFsplit0-1.5" xfId="3951"/>
    <cellStyle name="DWFsplit0-1.5 2" xfId="4295"/>
    <cellStyle name="Dziesiêtny [0]_1" xfId="3952"/>
    <cellStyle name="Dziesiêtny_1" xfId="3953"/>
    <cellStyle name="Emphasis 1" xfId="3954"/>
    <cellStyle name="Emphasis 2" xfId="3955"/>
    <cellStyle name="Emphasis 3" xfId="3956"/>
    <cellStyle name="Entered" xfId="3957"/>
    <cellStyle name="eps" xfId="3958"/>
    <cellStyle name="eps$" xfId="3959"/>
    <cellStyle name="eps$A" xfId="3960"/>
    <cellStyle name="eps$E" xfId="3961"/>
    <cellStyle name="epsA" xfId="3962"/>
    <cellStyle name="epsE" xfId="3963"/>
    <cellStyle name="Euro" xfId="12"/>
    <cellStyle name="Euro 2" xfId="3964"/>
    <cellStyle name="Euro 3" xfId="4313"/>
    <cellStyle name="Euro billion" xfId="3965"/>
    <cellStyle name="Euro million" xfId="3966"/>
    <cellStyle name="Euro thousand" xfId="3967"/>
    <cellStyle name="Euro_Allocated Opex " xfId="3968"/>
    <cellStyle name="Explanatory Text 2" xfId="3969"/>
    <cellStyle name="Explanatory Text 3" xfId="3970"/>
    <cellStyle name="EY House" xfId="3971"/>
    <cellStyle name="EYBlocked" xfId="3972"/>
    <cellStyle name="EYCallUp" xfId="3973"/>
    <cellStyle name="EYCheck" xfId="3974"/>
    <cellStyle name="EYDate" xfId="3975"/>
    <cellStyle name="EYDeviant" xfId="3976"/>
    <cellStyle name="Factor" xfId="3977"/>
    <cellStyle name="Flag" xfId="3978"/>
    <cellStyle name="From" xfId="3979"/>
    <cellStyle name="FromDate" xfId="3980"/>
    <cellStyle name="General" xfId="3981"/>
    <cellStyle name="H_Major" xfId="3982"/>
    <cellStyle name="Header bar" xfId="3983"/>
    <cellStyle name="Heading" xfId="3984"/>
    <cellStyle name="Heading (12pt)" xfId="3985"/>
    <cellStyle name="Heading (14pt)" xfId="3986"/>
    <cellStyle name="HeadingMain" xfId="3987"/>
    <cellStyle name="HeadingMinor" xfId="3988"/>
    <cellStyle name="HeadingSection" xfId="3989"/>
    <cellStyle name="HeadingSub" xfId="3990"/>
    <cellStyle name="Hidden" xfId="3991"/>
    <cellStyle name="HideZeros" xfId="3992"/>
    <cellStyle name="hours" xfId="3993"/>
    <cellStyle name="HSBC Input Percent" xfId="3994"/>
    <cellStyle name="HSBC Percent" xfId="3995"/>
    <cellStyle name="HSBC Ratio" xfId="3996"/>
    <cellStyle name="HSBC Title Module" xfId="3997"/>
    <cellStyle name="HSBC WK Number 2" xfId="3998"/>
    <cellStyle name="HSBC WK Percent" xfId="3999"/>
    <cellStyle name="HSBC_Date" xfId="4000"/>
    <cellStyle name="IllustrativeTotal" xfId="4001"/>
    <cellStyle name="ImportFromOtherWorkbook" xfId="4002"/>
    <cellStyle name="Index" xfId="4003"/>
    <cellStyle name="InflationIndex" xfId="4004"/>
    <cellStyle name="Input" xfId="4253" builtinId="20"/>
    <cellStyle name="InputNumber" xfId="4005"/>
    <cellStyle name="InputPercent" xfId="4006"/>
    <cellStyle name="InputPermanent" xfId="4007"/>
    <cellStyle name="InputText" xfId="4008"/>
    <cellStyle name="Integer" xfId="4009"/>
    <cellStyle name="Invisible" xfId="4010"/>
    <cellStyle name="K (0dp)" xfId="4011"/>
    <cellStyle name="K (2dp)" xfId="4012"/>
    <cellStyle name="KPMG Heading 1" xfId="4013"/>
    <cellStyle name="KPMG Heading 2" xfId="4014"/>
    <cellStyle name="KPMG Heading 3" xfId="4015"/>
    <cellStyle name="KPMG Heading 4" xfId="4016"/>
    <cellStyle name="KPMG Normal" xfId="4017"/>
    <cellStyle name="KPMG Normal Text" xfId="4018"/>
    <cellStyle name="Label" xfId="4019"/>
    <cellStyle name="LABEL Normal" xfId="4020"/>
    <cellStyle name="LABEL Note" xfId="4021"/>
    <cellStyle name="LABEL Units" xfId="4022"/>
    <cellStyle name="Label_8.0 SITA Suffolk BASE CASE FINAL All Scenarios" xfId="4023"/>
    <cellStyle name="lift" xfId="4024"/>
    <cellStyle name="Ligne" xfId="4025"/>
    <cellStyle name="Logical" xfId="4026"/>
    <cellStyle name="M (0dp)" xfId="4027"/>
    <cellStyle name="M (2dp)" xfId="4028"/>
    <cellStyle name="MacroPasted" xfId="4029"/>
    <cellStyle name="MainHeading" xfId="4030"/>
    <cellStyle name="max" xfId="4031"/>
    <cellStyle name="Milliers [0]_Feuil1" xfId="4032"/>
    <cellStyle name="Milliers_Feuil1" xfId="4033"/>
    <cellStyle name="Millions£" xfId="4034"/>
    <cellStyle name="Millions£ (2dp)" xfId="4035"/>
    <cellStyle name="min" xfId="4036"/>
    <cellStyle name="Monétaire [0]_Feuil1" xfId="4037"/>
    <cellStyle name="Monétaire_Feuil1" xfId="4038"/>
    <cellStyle name="Money" xfId="4039"/>
    <cellStyle name="month" xfId="4040"/>
    <cellStyle name="months" xfId="4041"/>
    <cellStyle name="MW" xfId="4042"/>
    <cellStyle name="MWth" xfId="4043"/>
    <cellStyle name="Normal" xfId="0" builtinId="0"/>
    <cellStyle name="Normal - Style1" xfId="4044"/>
    <cellStyle name="Normal - Style1 2" xfId="4045"/>
    <cellStyle name="Normal (0dp)" xfId="4046"/>
    <cellStyle name="Normal (0dp+NZ)" xfId="4047"/>
    <cellStyle name="Normal (2dp)" xfId="4048"/>
    <cellStyle name="Normal (2dp+NZ)" xfId="4049"/>
    <cellStyle name="Normal 10" xfId="4248"/>
    <cellStyle name="Normal 10 2" xfId="4358"/>
    <cellStyle name="Normal 10 2 2" xfId="4486"/>
    <cellStyle name="Normal 10 3" xfId="4487"/>
    <cellStyle name="Normal 11" xfId="4221"/>
    <cellStyle name="Normal 11 2" xfId="4331"/>
    <cellStyle name="Normal 11 2 2" xfId="4488"/>
    <cellStyle name="Normal 11 3" xfId="4489"/>
    <cellStyle name="Normal 12" xfId="4222"/>
    <cellStyle name="Normal 12 2" xfId="4332"/>
    <cellStyle name="Normal 12 2 2" xfId="4490"/>
    <cellStyle name="Normal 12 3" xfId="4491"/>
    <cellStyle name="Normal 13" xfId="4224"/>
    <cellStyle name="Normal 13 2" xfId="4334"/>
    <cellStyle name="Normal 13 2 2" xfId="4492"/>
    <cellStyle name="Normal 13 3" xfId="4493"/>
    <cellStyle name="Normal 14" xfId="4227"/>
    <cellStyle name="Normal 14 10 18" xfId="4050"/>
    <cellStyle name="Normal 14 10 18 2" xfId="4300"/>
    <cellStyle name="Normal 14 10 18 2 2" xfId="4494"/>
    <cellStyle name="Normal 14 10 18 3" xfId="4495"/>
    <cellStyle name="Normal 14 2" xfId="4337"/>
    <cellStyle name="Normal 14 2 2" xfId="4496"/>
    <cellStyle name="Normal 14 3" xfId="4497"/>
    <cellStyle name="Normal 15" xfId="4229"/>
    <cellStyle name="Normal 15 2" xfId="4339"/>
    <cellStyle name="Normal 15 2 2" xfId="4498"/>
    <cellStyle name="Normal 15 3" xfId="4499"/>
    <cellStyle name="Normal 16" xfId="4230"/>
    <cellStyle name="Normal 16 2" xfId="4340"/>
    <cellStyle name="Normal 16 2 2" xfId="4500"/>
    <cellStyle name="Normal 16 3" xfId="4501"/>
    <cellStyle name="Normal 17" xfId="4232"/>
    <cellStyle name="Normal 17 2" xfId="4342"/>
    <cellStyle name="Normal 17 2 2" xfId="4502"/>
    <cellStyle name="Normal 17 3" xfId="4503"/>
    <cellStyle name="Normal 18" xfId="4235"/>
    <cellStyle name="Normal 18 2" xfId="4345"/>
    <cellStyle name="Normal 18 2 2" xfId="4504"/>
    <cellStyle name="Normal 18 3" xfId="4505"/>
    <cellStyle name="Normal 19" xfId="4237"/>
    <cellStyle name="Normal 19 2" xfId="4347"/>
    <cellStyle name="Normal 19 2 2" xfId="4506"/>
    <cellStyle name="Normal 19 3" xfId="4507"/>
    <cellStyle name="Normal 2" xfId="3"/>
    <cellStyle name="Normal 2 2" xfId="13"/>
    <cellStyle name="Normal 2 2 2" xfId="14"/>
    <cellStyle name="Normal 2 2 2 2" xfId="15"/>
    <cellStyle name="Normal 2 2 2 2 2" xfId="4316"/>
    <cellStyle name="Normal 2 2 2 2 2 2" xfId="4508"/>
    <cellStyle name="Normal 2 2 2 2 2 24" xfId="4052"/>
    <cellStyle name="Normal 2 2 2 2 2 24 2" xfId="4301"/>
    <cellStyle name="Normal 2 2 2 2 2 24 2 2" xfId="4509"/>
    <cellStyle name="Normal 2 2 2 2 2 24 3" xfId="4397"/>
    <cellStyle name="Normal 2 2 2 2 2 24 3 2" xfId="4510"/>
    <cellStyle name="Normal 2 2 2 2 2 24 4" xfId="4511"/>
    <cellStyle name="Normal 2 2 2 2 2 24 4 2" xfId="4512"/>
    <cellStyle name="Normal 2 2 2 2 2 24 5" xfId="4513"/>
    <cellStyle name="Normal 2 2 2 2 2 24 5 2" xfId="4514"/>
    <cellStyle name="Normal 2 2 2 2 2 24 6" xfId="4515"/>
    <cellStyle name="Normal 2 2 2 2 3" xfId="4391"/>
    <cellStyle name="Normal 2 2 2 2 3 2" xfId="4516"/>
    <cellStyle name="Normal 2 2 2 2 4" xfId="4517"/>
    <cellStyle name="Normal 2 2 2 3" xfId="4315"/>
    <cellStyle name="Normal 2 2 2 3 2" xfId="4518"/>
    <cellStyle name="Normal 2 2 2 4" xfId="4380"/>
    <cellStyle name="Normal 2 2 2 4 2" xfId="4519"/>
    <cellStyle name="Normal 2 2 2 5" xfId="4520"/>
    <cellStyle name="Normal 2 2 3" xfId="16"/>
    <cellStyle name="Normal 2 2 3 2" xfId="4317"/>
    <cellStyle name="Normal 2 2 3 2 2" xfId="4521"/>
    <cellStyle name="Normal 2 2 3 3" xfId="4386"/>
    <cellStyle name="Normal 2 2 3 3 2" xfId="4522"/>
    <cellStyle name="Normal 2 2 3 4" xfId="4523"/>
    <cellStyle name="Normal 2 2 4" xfId="4314"/>
    <cellStyle name="Normal 2 2 4 2" xfId="4524"/>
    <cellStyle name="Normal 2 2 5" xfId="4376"/>
    <cellStyle name="Normal 2 2 5 2" xfId="4525"/>
    <cellStyle name="Normal 2 2 6" xfId="4526"/>
    <cellStyle name="Normal 2 2 6 2" xfId="4527"/>
    <cellStyle name="Normal 2 2 7" xfId="4528"/>
    <cellStyle name="Normal 2 2 7 2" xfId="4529"/>
    <cellStyle name="Normal 2 2 8" xfId="4530"/>
    <cellStyle name="Normal 2 3" xfId="17"/>
    <cellStyle name="Normal 2 3 2" xfId="18"/>
    <cellStyle name="Normal 2 3 3" xfId="4318"/>
    <cellStyle name="Normal 2 3 3 2" xfId="4531"/>
    <cellStyle name="Normal 2 3 4" xfId="4379"/>
    <cellStyle name="Normal 2 3 4 2" xfId="4532"/>
    <cellStyle name="Normal 2 4" xfId="19"/>
    <cellStyle name="Normal 2 4 2" xfId="4319"/>
    <cellStyle name="Normal 2 4 2 2" xfId="4533"/>
    <cellStyle name="Normal 2 4 3" xfId="4385"/>
    <cellStyle name="Normal 2 4 3 2" xfId="4534"/>
    <cellStyle name="Normal 2 4 4" xfId="4535"/>
    <cellStyle name="Normal 2 5" xfId="4536"/>
    <cellStyle name="Normal 2 5 2" xfId="4537"/>
    <cellStyle name="Normal 2 5 2 4 15 2 4" xfId="4053"/>
    <cellStyle name="Normal 2 6" xfId="4538"/>
    <cellStyle name="Normal 2 6 2" xfId="4539"/>
    <cellStyle name="Normal 2 7" xfId="4540"/>
    <cellStyle name="Normal 20" xfId="4239"/>
    <cellStyle name="Normal 20 2" xfId="4349"/>
    <cellStyle name="Normal 20 2 2" xfId="4541"/>
    <cellStyle name="Normal 20 3" xfId="4367"/>
    <cellStyle name="Normal 20 4" xfId="4542"/>
    <cellStyle name="Normal 21" xfId="4241"/>
    <cellStyle name="Normal 21 2" xfId="4351"/>
    <cellStyle name="Normal 21 2 2" xfId="4543"/>
    <cellStyle name="Normal 21 3" xfId="4544"/>
    <cellStyle name="Normal 22" xfId="4242"/>
    <cellStyle name="Normal 22 2" xfId="4352"/>
    <cellStyle name="Normal 22 2 2" xfId="4545"/>
    <cellStyle name="Normal 22 3" xfId="4546"/>
    <cellStyle name="Normal 23" xfId="4245"/>
    <cellStyle name="Normal 23 2" xfId="4355"/>
    <cellStyle name="Normal 23 2 2" xfId="4547"/>
    <cellStyle name="Normal 23 3" xfId="4548"/>
    <cellStyle name="Normal 24" xfId="4246"/>
    <cellStyle name="Normal 24 2" xfId="4356"/>
    <cellStyle name="Normal 24 2 2" xfId="4549"/>
    <cellStyle name="Normal 24 3" xfId="4550"/>
    <cellStyle name="Normal 25" xfId="4254"/>
    <cellStyle name="Normal 25 2" xfId="4304"/>
    <cellStyle name="Normal 25 3" xfId="4551"/>
    <cellStyle name="Normal 26" xfId="4257"/>
    <cellStyle name="Normal 26 2" xfId="4552"/>
    <cellStyle name="Normal 27" xfId="4259"/>
    <cellStyle name="Normal 27 2" xfId="4553"/>
    <cellStyle name="Normal 28" xfId="4261"/>
    <cellStyle name="Normal 28 2" xfId="4554"/>
    <cellStyle name="Normal 29" xfId="4263"/>
    <cellStyle name="Normal 29 2" xfId="4555"/>
    <cellStyle name="Normal 3" xfId="20"/>
    <cellStyle name="Normal 3 2" xfId="4055"/>
    <cellStyle name="Normal 3 3" xfId="4054"/>
    <cellStyle name="Normal 3 3 2 5 15 2 4" xfId="4056"/>
    <cellStyle name="Normal 3 5" xfId="30"/>
    <cellStyle name="Normal 30" xfId="4265"/>
    <cellStyle name="Normal 30 2" xfId="4556"/>
    <cellStyle name="Normal 31" xfId="4267"/>
    <cellStyle name="Normal 31 2" xfId="4557"/>
    <cellStyle name="Normal 32" xfId="4269"/>
    <cellStyle name="Normal 32 2" xfId="4558"/>
    <cellStyle name="Normal 33" xfId="4270"/>
    <cellStyle name="Normal 33 2" xfId="4559"/>
    <cellStyle name="Normal 34" xfId="4303"/>
    <cellStyle name="Normal 34 2" xfId="4560"/>
    <cellStyle name="Normal 35" xfId="4271"/>
    <cellStyle name="Normal 36" xfId="4277"/>
    <cellStyle name="Normal 37" xfId="4278"/>
    <cellStyle name="Normal 37 2" xfId="4561"/>
    <cellStyle name="Normal 38" xfId="4373"/>
    <cellStyle name="Normal 38 2" xfId="4562"/>
    <cellStyle name="Normal 39" xfId="4369"/>
    <cellStyle name="Normal 39 2" xfId="4563"/>
    <cellStyle name="Normal 4" xfId="21"/>
    <cellStyle name="Normal 4 2" xfId="22"/>
    <cellStyle name="Normal 4 2 2" xfId="23"/>
    <cellStyle name="Normal 4 2 2 2" xfId="4322"/>
    <cellStyle name="Normal 4 2 2 2 2" xfId="4564"/>
    <cellStyle name="Normal 4 2 2 3" xfId="4392"/>
    <cellStyle name="Normal 4 2 2 3 2" xfId="4565"/>
    <cellStyle name="Normal 4 2 2 4" xfId="4566"/>
    <cellStyle name="Normal 4 2 3" xfId="4321"/>
    <cellStyle name="Normal 4 2 3 2" xfId="4567"/>
    <cellStyle name="Normal 4 2 4" xfId="4382"/>
    <cellStyle name="Normal 4 2 4 2" xfId="4568"/>
    <cellStyle name="Normal 4 2 5" xfId="4569"/>
    <cellStyle name="Normal 4 3" xfId="24"/>
    <cellStyle name="Normal 4 3 2" xfId="4323"/>
    <cellStyle name="Normal 4 3 2 2" xfId="4570"/>
    <cellStyle name="Normal 4 3 3" xfId="4388"/>
    <cellStyle name="Normal 4 3 3 2" xfId="4571"/>
    <cellStyle name="Normal 4 3 4" xfId="4572"/>
    <cellStyle name="Normal 4 4" xfId="4320"/>
    <cellStyle name="Normal 4 4 2" xfId="4573"/>
    <cellStyle name="Normal 4 5" xfId="4377"/>
    <cellStyle name="Normal 4 5 2" xfId="4574"/>
    <cellStyle name="Normal 4 6" xfId="4575"/>
    <cellStyle name="Normal 4 6 2" xfId="4576"/>
    <cellStyle name="Normal 4 7" xfId="4577"/>
    <cellStyle name="Normal 4 7 2" xfId="4578"/>
    <cellStyle name="Normal 4 8" xfId="4579"/>
    <cellStyle name="Normal 40" xfId="4275"/>
    <cellStyle name="Normal 40 2" xfId="4580"/>
    <cellStyle name="Normal 41" xfId="4374"/>
    <cellStyle name="Normal 42" xfId="4396"/>
    <cellStyle name="Normal 42 2" xfId="4581"/>
    <cellStyle name="Normal 43" xfId="4402"/>
    <cellStyle name="Normal 43 2" xfId="4404"/>
    <cellStyle name="Normal 44" xfId="4414"/>
    <cellStyle name="Normal 45" xfId="4415"/>
    <cellStyle name="Normal 46" xfId="4416"/>
    <cellStyle name="Normal 47" xfId="4417"/>
    <cellStyle name="Normal 48" xfId="4418"/>
    <cellStyle name="Normal 49" xfId="4419"/>
    <cellStyle name="Normal 5" xfId="4051"/>
    <cellStyle name="Normal 5 11" xfId="4057"/>
    <cellStyle name="Normal 5 2" xfId="4329"/>
    <cellStyle name="Normal 5 2 2" xfId="4582"/>
    <cellStyle name="Normal 5 3" xfId="4368"/>
    <cellStyle name="Normal 5 4" xfId="4583"/>
    <cellStyle name="Normal 5 4 2" xfId="4584"/>
    <cellStyle name="Normal 5 5" xfId="4585"/>
    <cellStyle name="Normal 5 5 2" xfId="4586"/>
    <cellStyle name="Normal 5 6" xfId="4587"/>
    <cellStyle name="Normal 50" xfId="4420"/>
    <cellStyle name="Normal 51" xfId="4421"/>
    <cellStyle name="Normal 52" xfId="4588"/>
    <cellStyle name="Normal 53" xfId="4589"/>
    <cellStyle name="Normal 54" xfId="4590"/>
    <cellStyle name="Normal 55" xfId="4591"/>
    <cellStyle name="Normal 56" xfId="4592"/>
    <cellStyle name="Normal 57" xfId="4593"/>
    <cellStyle name="Normal 58" xfId="4594"/>
    <cellStyle name="Normal 59" xfId="4668"/>
    <cellStyle name="Normal 6" xfId="4247"/>
    <cellStyle name="Normal 6 2" xfId="4357"/>
    <cellStyle name="Normal 6 2 2" xfId="4595"/>
    <cellStyle name="Normal 6 3" xfId="4596"/>
    <cellStyle name="Normal 6 3 2" xfId="4597"/>
    <cellStyle name="Normal 6 4" xfId="4598"/>
    <cellStyle name="Normal 6 4 2" xfId="4599"/>
    <cellStyle name="Normal 6 5" xfId="4600"/>
    <cellStyle name="Normal 7" xfId="25"/>
    <cellStyle name="Normal 7 2" xfId="4058"/>
    <cellStyle name="Normal 7 3" xfId="4324"/>
    <cellStyle name="Normal 7 4" xfId="4601"/>
    <cellStyle name="Normal 7 4 2" xfId="4602"/>
    <cellStyle name="Normal 7 5 2" xfId="4399"/>
    <cellStyle name="Normal 77" xfId="4059"/>
    <cellStyle name="Normal 78" xfId="4060"/>
    <cellStyle name="Normal 78 2" xfId="4302"/>
    <cellStyle name="Normal 78 2 2" xfId="4603"/>
    <cellStyle name="Normal 78 3" xfId="4604"/>
    <cellStyle name="Normal 8" xfId="31"/>
    <cellStyle name="Normal 84" xfId="4400"/>
    <cellStyle name="Normal 84 2" xfId="4605"/>
    <cellStyle name="Normal 86" xfId="4401"/>
    <cellStyle name="Normal 86 2" xfId="4606"/>
    <cellStyle name="Normal 9" xfId="4251"/>
    <cellStyle name="Normal 9 10" xfId="4061"/>
    <cellStyle name="Normal 9 2" xfId="4361"/>
    <cellStyle name="Normal 9 2 2" xfId="4062"/>
    <cellStyle name="Normal 9 2 3" xfId="4607"/>
    <cellStyle name="Normal 9 3" xfId="4608"/>
    <cellStyle name="Normal U" xfId="4063"/>
    <cellStyle name="Normale_Foglio1" xfId="4064"/>
    <cellStyle name="Num_Inputs" xfId="4065"/>
    <cellStyle name="Num1_Inputs" xfId="4066"/>
    <cellStyle name="Num3_Input" xfId="4067"/>
    <cellStyle name="Number" xfId="4068"/>
    <cellStyle name="Numeric point input" xfId="4069"/>
    <cellStyle name="OLELink" xfId="4070"/>
    <cellStyle name="Operis comma" xfId="4071"/>
    <cellStyle name="Operis date" xfId="4072"/>
    <cellStyle name="Operis documentation item" xfId="4073"/>
    <cellStyle name="Operis documentation item 2" xfId="4074"/>
    <cellStyle name="Operis heading" xfId="4075"/>
    <cellStyle name="Operis heading 1" xfId="4076"/>
    <cellStyle name="Operis heading 2" xfId="4077"/>
    <cellStyle name="Operis Heading Centered" xfId="4078"/>
    <cellStyle name="Operis million" xfId="4079"/>
    <cellStyle name="Operis million currency" xfId="4080"/>
    <cellStyle name="Operis million, 3dp" xfId="4081"/>
    <cellStyle name="Operis money" xfId="4082"/>
    <cellStyle name="Operis names" xfId="4083"/>
    <cellStyle name="Operis output" xfId="4084"/>
    <cellStyle name="Operis Percent" xfId="4085"/>
    <cellStyle name="Operis Proforma" xfId="4086"/>
    <cellStyle name="Operis ratio" xfId="4087"/>
    <cellStyle name="Operis ratio 2" xfId="4294"/>
    <cellStyle name="OperisAuditSections" xfId="4088"/>
    <cellStyle name="OperisBase" xfId="4089"/>
    <cellStyle name="OperisDateMonthly" xfId="4090"/>
    <cellStyle name="OperisDatePeriodic" xfId="4091"/>
    <cellStyle name="OperisGroups" xfId="4092"/>
    <cellStyle name="OperisMoney" xfId="4093"/>
    <cellStyle name="OperisNames" xfId="4094"/>
    <cellStyle name="OperisOutputTitles" xfId="4095"/>
    <cellStyle name="OperisOutputTotals" xfId="4096"/>
    <cellStyle name="OperisPercent" xfId="4097"/>
    <cellStyle name="OperisRatio" xfId="4098"/>
    <cellStyle name="Out%2" xfId="4099"/>
    <cellStyle name="Out0" xfId="4100"/>
    <cellStyle name="Out1" xfId="4101"/>
    <cellStyle name="Out2" xfId="4102"/>
    <cellStyle name="OutputCurrency" xfId="4103"/>
    <cellStyle name="OutputText" xfId="4104"/>
    <cellStyle name="overheads" xfId="4105"/>
    <cellStyle name="Percent" xfId="1" builtinId="5"/>
    <cellStyle name="Percent (2dp)" xfId="4106"/>
    <cellStyle name="Percent [0%]" xfId="4107"/>
    <cellStyle name="Percent [0.00%]" xfId="4108"/>
    <cellStyle name="Percent [2]" xfId="4109"/>
    <cellStyle name="Percent [2] U" xfId="4110"/>
    <cellStyle name="Percent 10" xfId="4228"/>
    <cellStyle name="Percent 10 2" xfId="4338"/>
    <cellStyle name="Percent 10 2 2" xfId="4609"/>
    <cellStyle name="Percent 10 3" xfId="4610"/>
    <cellStyle name="Percent 11" xfId="4231"/>
    <cellStyle name="Percent 11 2" xfId="4341"/>
    <cellStyle name="Percent 11 2 2" xfId="4611"/>
    <cellStyle name="Percent 11 3" xfId="4612"/>
    <cellStyle name="Percent 12" xfId="4233"/>
    <cellStyle name="Percent 12 2" xfId="4343"/>
    <cellStyle name="Percent 12 2 2" xfId="4613"/>
    <cellStyle name="Percent 12 3" xfId="4614"/>
    <cellStyle name="Percent 13" xfId="4234"/>
    <cellStyle name="Percent 13 2" xfId="4344"/>
    <cellStyle name="Percent 13 2 2" xfId="4615"/>
    <cellStyle name="Percent 13 3" xfId="4616"/>
    <cellStyle name="Percent 14" xfId="4236"/>
    <cellStyle name="Percent 14 2" xfId="4346"/>
    <cellStyle name="Percent 14 2 2" xfId="4617"/>
    <cellStyle name="Percent 14 3" xfId="4618"/>
    <cellStyle name="Percent 15" xfId="4238"/>
    <cellStyle name="Percent 15 2" xfId="4348"/>
    <cellStyle name="Percent 15 2 2" xfId="4619"/>
    <cellStyle name="Percent 15 3" xfId="4620"/>
    <cellStyle name="Percent 16" xfId="4240"/>
    <cellStyle name="Percent 16 2" xfId="4350"/>
    <cellStyle name="Percent 16 2 2" xfId="4621"/>
    <cellStyle name="Percent 16 3" xfId="4622"/>
    <cellStyle name="Percent 17" xfId="4243"/>
    <cellStyle name="Percent 17 2" xfId="4353"/>
    <cellStyle name="Percent 17 2 2" xfId="4623"/>
    <cellStyle name="Percent 17 3" xfId="4624"/>
    <cellStyle name="Percent 18" xfId="4244"/>
    <cellStyle name="Percent 18 2" xfId="4354"/>
    <cellStyle name="Percent 18 2 2" xfId="4625"/>
    <cellStyle name="Percent 18 3" xfId="4626"/>
    <cellStyle name="Percent 19" xfId="4255"/>
    <cellStyle name="Percent 19 2" xfId="4305"/>
    <cellStyle name="Percent 19 3" xfId="4627"/>
    <cellStyle name="Percent 2" xfId="26"/>
    <cellStyle name="Percent 2 2" xfId="27"/>
    <cellStyle name="Percent 2 2 2" xfId="28"/>
    <cellStyle name="Percent 2 2 2 2" xfId="4327"/>
    <cellStyle name="Percent 2 2 2 2 2" xfId="4628"/>
    <cellStyle name="Percent 2 2 2 3" xfId="4393"/>
    <cellStyle name="Percent 2 2 2 3 2" xfId="4629"/>
    <cellStyle name="Percent 2 2 2 4" xfId="4630"/>
    <cellStyle name="Percent 2 2 3" xfId="4326"/>
    <cellStyle name="Percent 2 2 3 2" xfId="4631"/>
    <cellStyle name="Percent 2 2 4" xfId="4381"/>
    <cellStyle name="Percent 2 2 4 2" xfId="4632"/>
    <cellStyle name="Percent 2 2 5" xfId="4633"/>
    <cellStyle name="Percent 2 3" xfId="29"/>
    <cellStyle name="Percent 2 3 2" xfId="4328"/>
    <cellStyle name="Percent 2 3 2 2" xfId="4634"/>
    <cellStyle name="Percent 2 3 3" xfId="4387"/>
    <cellStyle name="Percent 2 3 3 2" xfId="4635"/>
    <cellStyle name="Percent 2 3 4" xfId="4636"/>
    <cellStyle name="Percent 2 4" xfId="4111"/>
    <cellStyle name="Percent 2 4 2" xfId="4637"/>
    <cellStyle name="Percent 2 5" xfId="4325"/>
    <cellStyle name="Percent 2 5 2" xfId="4638"/>
    <cellStyle name="Percent 2 6" xfId="4378"/>
    <cellStyle name="Percent 2 6 2" xfId="4639"/>
    <cellStyle name="Percent 2 7" xfId="4640"/>
    <cellStyle name="Percent 2 7 2" xfId="4641"/>
    <cellStyle name="Percent 2 8" xfId="4642"/>
    <cellStyle name="Percent 2 8 2" xfId="4643"/>
    <cellStyle name="Percent 2 9" xfId="4644"/>
    <cellStyle name="Percent 20" xfId="4256"/>
    <cellStyle name="Percent 20 2" xfId="4645"/>
    <cellStyle name="Percent 21" xfId="4258"/>
    <cellStyle name="Percent 21 2" xfId="4646"/>
    <cellStyle name="Percent 22" xfId="4260"/>
    <cellStyle name="Percent 22 2" xfId="4647"/>
    <cellStyle name="Percent 23" xfId="4262"/>
    <cellStyle name="Percent 23 2" xfId="4648"/>
    <cellStyle name="Percent 24" xfId="4264"/>
    <cellStyle name="Percent 24 2" xfId="4649"/>
    <cellStyle name="Percent 25" xfId="4266"/>
    <cellStyle name="Percent 25 2" xfId="4650"/>
    <cellStyle name="Percent 26" xfId="4268"/>
    <cellStyle name="Percent 26 2" xfId="4651"/>
    <cellStyle name="Percent 27" xfId="4273"/>
    <cellStyle name="Percent 27 2" xfId="4652"/>
    <cellStyle name="Percent 28" xfId="4274"/>
    <cellStyle name="Percent 28 2" xfId="4653"/>
    <cellStyle name="Percent 29" xfId="4372"/>
    <cellStyle name="Percent 29 2" xfId="4654"/>
    <cellStyle name="Percent 3" xfId="4112"/>
    <cellStyle name="Percent 30" xfId="4403"/>
    <cellStyle name="Percent 30 2" xfId="4655"/>
    <cellStyle name="Percent 31" xfId="4422"/>
    <cellStyle name="Percent 32" xfId="4423"/>
    <cellStyle name="Percent 33" xfId="4424"/>
    <cellStyle name="Percent 34" xfId="4425"/>
    <cellStyle name="Percent 35" xfId="4426"/>
    <cellStyle name="Percent 36" xfId="4427"/>
    <cellStyle name="Percent 37" xfId="4428"/>
    <cellStyle name="Percent 38" xfId="4429"/>
    <cellStyle name="Percent 39" xfId="4669"/>
    <cellStyle name="Percent 4" xfId="4250"/>
    <cellStyle name="Percent 4 2" xfId="4360"/>
    <cellStyle name="Percent 4 2 2" xfId="4656"/>
    <cellStyle name="Percent 4 3" xfId="4657"/>
    <cellStyle name="Percent 5" xfId="4249"/>
    <cellStyle name="Percent 5 2" xfId="4359"/>
    <cellStyle name="Percent 5 2 2" xfId="4658"/>
    <cellStyle name="Percent 5 3" xfId="4659"/>
    <cellStyle name="Percent 6" xfId="4220"/>
    <cellStyle name="Percent 6 2" xfId="4330"/>
    <cellStyle name="Percent 6 2 2" xfId="4660"/>
    <cellStyle name="Percent 6 3" xfId="4661"/>
    <cellStyle name="Percent 7" xfId="4223"/>
    <cellStyle name="Percent 7 2" xfId="4333"/>
    <cellStyle name="Percent 7 2 2" xfId="4662"/>
    <cellStyle name="Percent 7 3" xfId="4663"/>
    <cellStyle name="Percent 8" xfId="4225"/>
    <cellStyle name="Percent 8 2" xfId="4335"/>
    <cellStyle name="Percent 8 2 2" xfId="4664"/>
    <cellStyle name="Percent 8 3" xfId="4665"/>
    <cellStyle name="Percent 9" xfId="4226"/>
    <cellStyle name="Percent 9 2" xfId="4336"/>
    <cellStyle name="Percent 9 2 2" xfId="4666"/>
    <cellStyle name="Percent 9 3" xfId="4667"/>
    <cellStyle name="Percent2" xfId="4113"/>
    <cellStyle name="percnt" xfId="4114"/>
    <cellStyle name="PGavStandard" xfId="4115"/>
    <cellStyle name="phasing" xfId="4116"/>
    <cellStyle name="point variable" xfId="4117"/>
    <cellStyle name="Print" xfId="4118"/>
    <cellStyle name="RangeName" xfId="4119"/>
    <cellStyle name="Ratio" xfId="4120"/>
    <cellStyle name="RISKbigPercent" xfId="4121"/>
    <cellStyle name="RISKblandrEdge" xfId="4122"/>
    <cellStyle name="RISKblCorner" xfId="4123"/>
    <cellStyle name="RISKbottomEdge" xfId="4124"/>
    <cellStyle name="RISKbrCorner" xfId="4125"/>
    <cellStyle name="RISKdarkBoxed" xfId="4126"/>
    <cellStyle name="RISKdarkBoxed 2" xfId="4293"/>
    <cellStyle name="RISKdarkShade" xfId="4127"/>
    <cellStyle name="RISKdbottomEdge" xfId="4128"/>
    <cellStyle name="RISKdrightEdge" xfId="4129"/>
    <cellStyle name="RISKdurationTime" xfId="4130"/>
    <cellStyle name="RISKinNumber" xfId="4131"/>
    <cellStyle name="RISKlandrEdge" xfId="4132"/>
    <cellStyle name="RISKleftEdge" xfId="4133"/>
    <cellStyle name="RISKlightBoxed" xfId="4134"/>
    <cellStyle name="RISKltandbEdge" xfId="4135"/>
    <cellStyle name="RISKltandbEdge 2" xfId="4292"/>
    <cellStyle name="RISKnormBoxed" xfId="4136"/>
    <cellStyle name="RISKnormCenter" xfId="4137"/>
    <cellStyle name="RISKnormHeading" xfId="4138"/>
    <cellStyle name="RISKnormItal" xfId="4139"/>
    <cellStyle name="RISKnormLabel" xfId="4140"/>
    <cellStyle name="RISKnormShade" xfId="4141"/>
    <cellStyle name="RISKnormTitle" xfId="4142"/>
    <cellStyle name="RISKoutNumber" xfId="4143"/>
    <cellStyle name="RISKrightEdge" xfId="4144"/>
    <cellStyle name="RISKrtandbEdge" xfId="4145"/>
    <cellStyle name="RISKrtandbEdge 2" xfId="4291"/>
    <cellStyle name="RISKssTime" xfId="4146"/>
    <cellStyle name="RISKtandbEdge" xfId="4147"/>
    <cellStyle name="RISKtandbEdge 2" xfId="4290"/>
    <cellStyle name="RISKtlandrEdge" xfId="4148"/>
    <cellStyle name="RISKtlandrEdge 2" xfId="4289"/>
    <cellStyle name="RISKtlCorner" xfId="4149"/>
    <cellStyle name="RISKtlCorner 2" xfId="4288"/>
    <cellStyle name="RISKtopEdge" xfId="4150"/>
    <cellStyle name="RISKtopEdge 2" xfId="4287"/>
    <cellStyle name="RISKtrCorner" xfId="4151"/>
    <cellStyle name="RISKtrCorner 2" xfId="4286"/>
    <cellStyle name="Sect_Title" xfId="4152"/>
    <cellStyle name="Section Heading" xfId="4153"/>
    <cellStyle name="Section Title no wrap" xfId="4154"/>
    <cellStyle name="Section Title wrap" xfId="4155"/>
    <cellStyle name="sheet background" xfId="4156"/>
    <cellStyle name="Sheet Title" xfId="4157"/>
    <cellStyle name="Sheet_Title" xfId="4158"/>
    <cellStyle name="Sous-Total" xfId="4159"/>
    <cellStyle name="Standard_RESULTS" xfId="4160"/>
    <cellStyle name="Std_%" xfId="4161"/>
    <cellStyle name="String point input" xfId="4162"/>
    <cellStyle name="stu" xfId="4163"/>
    <cellStyle name="Style 1" xfId="4164"/>
    <cellStyle name="Sub Heading 1" xfId="4165"/>
    <cellStyle name="Sub Heading 2" xfId="4166"/>
    <cellStyle name="Sub Heading 3" xfId="4167"/>
    <cellStyle name="Sub_sub_title" xfId="4168"/>
    <cellStyle name="Subheading" xfId="4169"/>
    <cellStyle name="SubHeading1" xfId="4170"/>
    <cellStyle name="SubHeading2" xfId="4171"/>
    <cellStyle name="Subsection Heading" xfId="4172"/>
    <cellStyle name="Sub-section heading" xfId="4173"/>
    <cellStyle name="subtitle" xfId="4174"/>
    <cellStyle name="subtotal" xfId="4175"/>
    <cellStyle name="Sub-Total" xfId="4176"/>
    <cellStyle name="subtotal 2" xfId="4177"/>
    <cellStyle name="Sub-Total 2" xfId="4284"/>
    <cellStyle name="subtotal 2 2" xfId="4362"/>
    <cellStyle name="subtotal 2 3" xfId="4430"/>
    <cellStyle name="subtotal 2 4" xfId="4431"/>
    <cellStyle name="subtotal 2 5" xfId="4432"/>
    <cellStyle name="subtotal 2 6" xfId="4433"/>
    <cellStyle name="subtotal 2 7" xfId="4434"/>
    <cellStyle name="subtotal 3" xfId="4285"/>
    <cellStyle name="Sweep Change" xfId="4178"/>
    <cellStyle name="SYSTEM" xfId="4179"/>
    <cellStyle name="t" xfId="4180"/>
    <cellStyle name="Table Heading" xfId="4181"/>
    <cellStyle name="Text_In" xfId="4182"/>
    <cellStyle name="Thousands£" xfId="4183"/>
    <cellStyle name="Thousands£ (2dp)" xfId="4184"/>
    <cellStyle name="TIME Detail" xfId="4185"/>
    <cellStyle name="TIME Period Start" xfId="4186"/>
    <cellStyle name="time variable" xfId="4187"/>
    <cellStyle name="Title 1" xfId="4188"/>
    <cellStyle name="Title 2" xfId="4189"/>
    <cellStyle name="Title 3" xfId="4190"/>
    <cellStyle name="Title 4" xfId="4191"/>
    <cellStyle name="TitlePage" xfId="4192"/>
    <cellStyle name="Titulo" xfId="4193"/>
    <cellStyle name="To" xfId="4194"/>
    <cellStyle name="Total - Grand" xfId="4195"/>
    <cellStyle name="Total - Sub" xfId="4196"/>
    <cellStyle name="Total - Sub 2" xfId="4283"/>
    <cellStyle name="Total 1" xfId="4197"/>
    <cellStyle name="Total 1 2" xfId="4198"/>
    <cellStyle name="Total 1 2 2" xfId="4364"/>
    <cellStyle name="Total 1 3" xfId="4363"/>
    <cellStyle name="Total 2" xfId="4199"/>
    <cellStyle name="Total 2 2" xfId="4200"/>
    <cellStyle name="Total 2 2 2" xfId="4281"/>
    <cellStyle name="Total 2 3" xfId="4282"/>
    <cellStyle name="Total 3" xfId="4201"/>
    <cellStyle name="Total 3 2" xfId="4202"/>
    <cellStyle name="Total 3 2 2" xfId="4366"/>
    <cellStyle name="Total 3 3" xfId="4365"/>
    <cellStyle name="Total 4" xfId="4203"/>
    <cellStyle name="Total 4 2" xfId="4204"/>
    <cellStyle name="Total 4 2 2" xfId="4279"/>
    <cellStyle name="Total 4 3" xfId="4280"/>
    <cellStyle name="total label" xfId="4205"/>
    <cellStyle name="total variable" xfId="4206"/>
    <cellStyle name="True value/switch" xfId="4207"/>
    <cellStyle name="Units" xfId="4208"/>
    <cellStyle name="Währung [0]_RESULTS" xfId="4209"/>
    <cellStyle name="Währung_RESULTS" xfId="4210"/>
    <cellStyle name="Warning" xfId="4211"/>
    <cellStyle name="WorkbookLinkCurrency" xfId="4212"/>
    <cellStyle name="WorkbookLinkNumber" xfId="4213"/>
    <cellStyle name="WorkbookLinkPercent" xfId="4214"/>
    <cellStyle name="WorkbookLinkText" xfId="4215"/>
    <cellStyle name="year" xfId="4216"/>
    <cellStyle name="yeardate" xfId="4217"/>
    <cellStyle name="years" xfId="4218"/>
    <cellStyle name="yesnoformat" xfId="4219"/>
  </cellStyles>
  <dxfs count="0"/>
  <tableStyles count="0" defaultTableStyle="TableStyleMedium2" defaultPivotStyle="PivotStyleLight16"/>
  <colors>
    <mruColors>
      <color rgb="FFFFFFCC"/>
      <color rgb="FFFFCCCC"/>
      <color rgb="FF9BFFC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1.jpeg"/><Relationship Id="rId6" Type="http://schemas.openxmlformats.org/officeDocument/2006/relationships/image" Target="../media/image7.emf"/><Relationship Id="rId11" Type="http://schemas.openxmlformats.org/officeDocument/2006/relationships/image" Target="../media/image12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8.emf"/><Relationship Id="rId7" Type="http://schemas.openxmlformats.org/officeDocument/2006/relationships/image" Target="../media/image7.emf"/><Relationship Id="rId2" Type="http://schemas.openxmlformats.org/officeDocument/2006/relationships/image" Target="../media/image5.emf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11" Type="http://schemas.openxmlformats.org/officeDocument/2006/relationships/image" Target="../media/image12.emf"/><Relationship Id="rId5" Type="http://schemas.openxmlformats.org/officeDocument/2006/relationships/image" Target="../media/image4.emf"/><Relationship Id="rId10" Type="http://schemas.openxmlformats.org/officeDocument/2006/relationships/image" Target="../media/image11.emf"/><Relationship Id="rId4" Type="http://schemas.openxmlformats.org/officeDocument/2006/relationships/image" Target="../media/image3.emf"/><Relationship Id="rId9" Type="http://schemas.openxmlformats.org/officeDocument/2006/relationships/image" Target="../media/image10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emf"/><Relationship Id="rId2" Type="http://schemas.openxmlformats.org/officeDocument/2006/relationships/image" Target="../media/image14.emf"/><Relationship Id="rId1" Type="http://schemas.openxmlformats.org/officeDocument/2006/relationships/image" Target="../media/image1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313765</xdr:colOff>
      <xdr:row>3</xdr:row>
      <xdr:rowOff>22412</xdr:rowOff>
    </xdr:from>
    <xdr:to>
      <xdr:col>0</xdr:col>
      <xdr:colOff>2498911</xdr:colOff>
      <xdr:row>5</xdr:row>
      <xdr:rowOff>100853</xdr:rowOff>
    </xdr:to>
    <xdr:pic>
      <xdr:nvPicPr>
        <xdr:cNvPr id="2" name="Picture 1" descr="UtilityRegulato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3765" y="517712"/>
          <a:ext cx="2185146" cy="4118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605117</xdr:colOff>
      <xdr:row>0</xdr:row>
      <xdr:rowOff>145676</xdr:rowOff>
    </xdr:from>
    <xdr:to>
      <xdr:col>33</xdr:col>
      <xdr:colOff>571499</xdr:colOff>
      <xdr:row>3</xdr:row>
      <xdr:rowOff>67235</xdr:rowOff>
    </xdr:to>
    <xdr:pic>
      <xdr:nvPicPr>
        <xdr:cNvPr id="3" name="Picture 2" descr="UtilityRegulato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08117" y="145676"/>
          <a:ext cx="2195231" cy="4168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7</xdr:col>
      <xdr:colOff>600075</xdr:colOff>
      <xdr:row>45</xdr:row>
      <xdr:rowOff>114301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076950"/>
          <a:ext cx="8372475" cy="1571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134471</xdr:colOff>
      <xdr:row>0</xdr:row>
      <xdr:rowOff>0</xdr:rowOff>
    </xdr:from>
    <xdr:to>
      <xdr:col>21</xdr:col>
      <xdr:colOff>327213</xdr:colOff>
      <xdr:row>3</xdr:row>
      <xdr:rowOff>108056</xdr:rowOff>
    </xdr:to>
    <xdr:pic>
      <xdr:nvPicPr>
        <xdr:cNvPr id="2" name="Picture 1" descr="UtilityRegulato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655118" y="0"/>
          <a:ext cx="1828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35</xdr:row>
      <xdr:rowOff>11206</xdr:rowOff>
    </xdr:from>
    <xdr:to>
      <xdr:col>2</xdr:col>
      <xdr:colOff>593912</xdr:colOff>
      <xdr:row>37</xdr:row>
      <xdr:rowOff>40343</xdr:rowOff>
    </xdr:to>
    <xdr:pic>
      <xdr:nvPicPr>
        <xdr:cNvPr id="3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67425" y="5068981"/>
          <a:ext cx="403412" cy="2767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1194676</xdr:colOff>
      <xdr:row>14</xdr:row>
      <xdr:rowOff>72756</xdr:rowOff>
    </xdr:from>
    <xdr:to>
      <xdr:col>2</xdr:col>
      <xdr:colOff>50380</xdr:colOff>
      <xdr:row>50</xdr:row>
      <xdr:rowOff>117702</xdr:rowOff>
    </xdr:to>
    <xdr:sp macro="" textlink="">
      <xdr:nvSpPr>
        <xdr:cNvPr id="4" name="Curved Left Arrow 3"/>
        <xdr:cNvSpPr/>
      </xdr:nvSpPr>
      <xdr:spPr>
        <a:xfrm rot="11405194">
          <a:off x="4800569" y="2658113"/>
          <a:ext cx="1386632" cy="5229268"/>
        </a:xfrm>
        <a:prstGeom prst="curvedLeftArrow">
          <a:avLst>
            <a:gd name="adj1" fmla="val 6910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560295</xdr:colOff>
      <xdr:row>47</xdr:row>
      <xdr:rowOff>33616</xdr:rowOff>
    </xdr:from>
    <xdr:to>
      <xdr:col>8</xdr:col>
      <xdr:colOff>329423</xdr:colOff>
      <xdr:row>51</xdr:row>
      <xdr:rowOff>78439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208745" y="7034491"/>
          <a:ext cx="3788678" cy="730624"/>
        </a:xfrm>
        <a:prstGeom prst="rect">
          <a:avLst/>
        </a:prstGeom>
        <a:noFill/>
      </xdr:spPr>
    </xdr:pic>
    <xdr:clientData/>
  </xdr:twoCellAnchor>
  <xdr:twoCellAnchor>
    <xdr:from>
      <xdr:col>3</xdr:col>
      <xdr:colOff>22412</xdr:colOff>
      <xdr:row>49</xdr:row>
      <xdr:rowOff>134471</xdr:rowOff>
    </xdr:from>
    <xdr:to>
      <xdr:col>3</xdr:col>
      <xdr:colOff>560296</xdr:colOff>
      <xdr:row>50</xdr:row>
      <xdr:rowOff>78442</xdr:rowOff>
    </xdr:to>
    <xdr:cxnSp macro="">
      <xdr:nvCxnSpPr>
        <xdr:cNvPr id="6" name="Straight Arrow Connector 5"/>
        <xdr:cNvCxnSpPr/>
      </xdr:nvCxnSpPr>
      <xdr:spPr>
        <a:xfrm flipH="1">
          <a:off x="6670862" y="7478246"/>
          <a:ext cx="537884" cy="11542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1165413</xdr:colOff>
      <xdr:row>7</xdr:row>
      <xdr:rowOff>22411</xdr:rowOff>
    </xdr:from>
    <xdr:to>
      <xdr:col>1</xdr:col>
      <xdr:colOff>1536888</xdr:colOff>
      <xdr:row>8</xdr:row>
      <xdr:rowOff>125506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375463" y="1213036"/>
          <a:ext cx="371475" cy="274545"/>
        </a:xfrm>
        <a:prstGeom prst="rect">
          <a:avLst/>
        </a:prstGeom>
        <a:noFill/>
      </xdr:spPr>
    </xdr:pic>
    <xdr:clientData/>
  </xdr:twoCellAnchor>
  <xdr:twoCellAnchor>
    <xdr:from>
      <xdr:col>1</xdr:col>
      <xdr:colOff>874059</xdr:colOff>
      <xdr:row>7</xdr:row>
      <xdr:rowOff>22411</xdr:rowOff>
    </xdr:from>
    <xdr:to>
      <xdr:col>1</xdr:col>
      <xdr:colOff>1165413</xdr:colOff>
      <xdr:row>7</xdr:row>
      <xdr:rowOff>158003</xdr:rowOff>
    </xdr:to>
    <xdr:cxnSp macro="">
      <xdr:nvCxnSpPr>
        <xdr:cNvPr id="8" name="Straight Arrow Connector 7"/>
        <xdr:cNvCxnSpPr>
          <a:stCxn id="7" idx="1"/>
        </xdr:cNvCxnSpPr>
      </xdr:nvCxnSpPr>
      <xdr:spPr>
        <a:xfrm flipH="1" flipV="1">
          <a:off x="5084109" y="1213036"/>
          <a:ext cx="291354" cy="13559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818030</xdr:colOff>
      <xdr:row>1</xdr:row>
      <xdr:rowOff>89649</xdr:rowOff>
    </xdr:from>
    <xdr:to>
      <xdr:col>7</xdr:col>
      <xdr:colOff>10645</xdr:colOff>
      <xdr:row>3</xdr:row>
      <xdr:rowOff>92369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066680" y="89649"/>
          <a:ext cx="821391" cy="4667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43</xdr:row>
      <xdr:rowOff>112059</xdr:rowOff>
    </xdr:from>
    <xdr:to>
      <xdr:col>2</xdr:col>
      <xdr:colOff>600076</xdr:colOff>
      <xdr:row>45</xdr:row>
      <xdr:rowOff>37538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876926" y="6436659"/>
          <a:ext cx="600075" cy="26838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100853</xdr:colOff>
      <xdr:row>56</xdr:row>
      <xdr:rowOff>0</xdr:rowOff>
    </xdr:from>
    <xdr:to>
      <xdr:col>0</xdr:col>
      <xdr:colOff>3481107</xdr:colOff>
      <xdr:row>57</xdr:row>
      <xdr:rowOff>103094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00853" y="8648700"/>
          <a:ext cx="3380254" cy="27454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33617</xdr:colOff>
      <xdr:row>67</xdr:row>
      <xdr:rowOff>56029</xdr:rowOff>
    </xdr:from>
    <xdr:to>
      <xdr:col>2</xdr:col>
      <xdr:colOff>519392</xdr:colOff>
      <xdr:row>69</xdr:row>
      <xdr:rowOff>80682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910542" y="10457329"/>
          <a:ext cx="485775" cy="27230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89647</xdr:colOff>
      <xdr:row>61</xdr:row>
      <xdr:rowOff>112059</xdr:rowOff>
    </xdr:from>
    <xdr:to>
      <xdr:col>0</xdr:col>
      <xdr:colOff>2480422</xdr:colOff>
      <xdr:row>64</xdr:row>
      <xdr:rowOff>123266</xdr:rowOff>
    </xdr:to>
    <xdr:pic>
      <xdr:nvPicPr>
        <xdr:cNvPr id="1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9647" y="9713259"/>
          <a:ext cx="2390775" cy="41125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100852</xdr:colOff>
      <xdr:row>64</xdr:row>
      <xdr:rowOff>112058</xdr:rowOff>
    </xdr:from>
    <xdr:to>
      <xdr:col>0</xdr:col>
      <xdr:colOff>1653427</xdr:colOff>
      <xdr:row>66</xdr:row>
      <xdr:rowOff>158001</xdr:rowOff>
    </xdr:to>
    <xdr:pic>
      <xdr:nvPicPr>
        <xdr:cNvPr id="1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852" y="10113308"/>
          <a:ext cx="1552575" cy="2745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134470</xdr:colOff>
      <xdr:row>67</xdr:row>
      <xdr:rowOff>33618</xdr:rowOff>
    </xdr:from>
    <xdr:to>
      <xdr:col>0</xdr:col>
      <xdr:colOff>734545</xdr:colOff>
      <xdr:row>69</xdr:row>
      <xdr:rowOff>119904</xdr:rowOff>
    </xdr:to>
    <xdr:pic>
      <xdr:nvPicPr>
        <xdr:cNvPr id="1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4470" y="10434918"/>
          <a:ext cx="600075" cy="333936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2480422</xdr:colOff>
      <xdr:row>62</xdr:row>
      <xdr:rowOff>89647</xdr:rowOff>
    </xdr:from>
    <xdr:to>
      <xdr:col>1</xdr:col>
      <xdr:colOff>33617</xdr:colOff>
      <xdr:row>63</xdr:row>
      <xdr:rowOff>0</xdr:rowOff>
    </xdr:to>
    <xdr:cxnSp macro="">
      <xdr:nvCxnSpPr>
        <xdr:cNvPr id="16" name="Straight Arrow Connector 15"/>
        <xdr:cNvCxnSpPr>
          <a:stCxn id="13" idx="3"/>
        </xdr:cNvCxnSpPr>
      </xdr:nvCxnSpPr>
      <xdr:spPr>
        <a:xfrm flipV="1">
          <a:off x="2480422" y="9862297"/>
          <a:ext cx="1763245" cy="8180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1653427</xdr:colOff>
      <xdr:row>64</xdr:row>
      <xdr:rowOff>89647</xdr:rowOff>
    </xdr:from>
    <xdr:to>
      <xdr:col>0</xdr:col>
      <xdr:colOff>4213411</xdr:colOff>
      <xdr:row>66</xdr:row>
      <xdr:rowOff>34177</xdr:rowOff>
    </xdr:to>
    <xdr:cxnSp macro="">
      <xdr:nvCxnSpPr>
        <xdr:cNvPr id="17" name="Straight Arrow Connector 16"/>
        <xdr:cNvCxnSpPr>
          <a:stCxn id="14" idx="3"/>
        </xdr:cNvCxnSpPr>
      </xdr:nvCxnSpPr>
      <xdr:spPr>
        <a:xfrm flipV="1">
          <a:off x="1653427" y="10090897"/>
          <a:ext cx="2559984" cy="1731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734545</xdr:colOff>
      <xdr:row>66</xdr:row>
      <xdr:rowOff>67236</xdr:rowOff>
    </xdr:from>
    <xdr:to>
      <xdr:col>1</xdr:col>
      <xdr:colOff>11205</xdr:colOff>
      <xdr:row>68</xdr:row>
      <xdr:rowOff>121585</xdr:rowOff>
    </xdr:to>
    <xdr:cxnSp macro="">
      <xdr:nvCxnSpPr>
        <xdr:cNvPr id="18" name="Straight Arrow Connector 17"/>
        <xdr:cNvCxnSpPr>
          <a:stCxn id="15" idx="3"/>
        </xdr:cNvCxnSpPr>
      </xdr:nvCxnSpPr>
      <xdr:spPr>
        <a:xfrm flipV="1">
          <a:off x="734545" y="10297086"/>
          <a:ext cx="3486710" cy="3019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773206</xdr:colOff>
      <xdr:row>3</xdr:row>
      <xdr:rowOff>8966</xdr:rowOff>
    </xdr:from>
    <xdr:to>
      <xdr:col>5</xdr:col>
      <xdr:colOff>818030</xdr:colOff>
      <xdr:row>6</xdr:row>
      <xdr:rowOff>44824</xdr:rowOff>
    </xdr:to>
    <xdr:cxnSp macro="">
      <xdr:nvCxnSpPr>
        <xdr:cNvPr id="19" name="Straight Arrow Connector 18"/>
        <xdr:cNvCxnSpPr>
          <a:stCxn id="9" idx="1"/>
        </xdr:cNvCxnSpPr>
      </xdr:nvCxnSpPr>
      <xdr:spPr>
        <a:xfrm flipH="1">
          <a:off x="7421656" y="513791"/>
          <a:ext cx="1645024" cy="55020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974914</xdr:colOff>
      <xdr:row>2</xdr:row>
      <xdr:rowOff>56030</xdr:rowOff>
    </xdr:from>
    <xdr:to>
      <xdr:col>0</xdr:col>
      <xdr:colOff>3160060</xdr:colOff>
      <xdr:row>3</xdr:row>
      <xdr:rowOff>177693</xdr:rowOff>
    </xdr:to>
    <xdr:pic>
      <xdr:nvPicPr>
        <xdr:cNvPr id="20" name="Picture 19" descr="UtilityRegulato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4914" y="389405"/>
          <a:ext cx="2185146" cy="410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134471</xdr:colOff>
      <xdr:row>0</xdr:row>
      <xdr:rowOff>0</xdr:rowOff>
    </xdr:from>
    <xdr:to>
      <xdr:col>20</xdr:col>
      <xdr:colOff>755838</xdr:colOff>
      <xdr:row>3</xdr:row>
      <xdr:rowOff>74760</xdr:rowOff>
    </xdr:to>
    <xdr:pic>
      <xdr:nvPicPr>
        <xdr:cNvPr id="2" name="Picture 1" descr="UtilityRegulato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94046" y="0"/>
          <a:ext cx="1821516" cy="572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1165413</xdr:colOff>
      <xdr:row>7</xdr:row>
      <xdr:rowOff>22411</xdr:rowOff>
    </xdr:from>
    <xdr:to>
      <xdr:col>1</xdr:col>
      <xdr:colOff>1165413</xdr:colOff>
      <xdr:row>8</xdr:row>
      <xdr:rowOff>115981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75463" y="1213036"/>
          <a:ext cx="371475" cy="2745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100853</xdr:colOff>
      <xdr:row>62</xdr:row>
      <xdr:rowOff>0</xdr:rowOff>
    </xdr:from>
    <xdr:to>
      <xdr:col>0</xdr:col>
      <xdr:colOff>614082</xdr:colOff>
      <xdr:row>64</xdr:row>
      <xdr:rowOff>1041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853" y="8648700"/>
          <a:ext cx="3380254" cy="274544"/>
        </a:xfrm>
        <a:prstGeom prst="rect">
          <a:avLst/>
        </a:prstGeom>
        <a:noFill/>
      </xdr:spPr>
    </xdr:pic>
    <xdr:clientData/>
  </xdr:twoCellAnchor>
  <xdr:twoCellAnchor>
    <xdr:from>
      <xdr:col>3</xdr:col>
      <xdr:colOff>773207</xdr:colOff>
      <xdr:row>3</xdr:row>
      <xdr:rowOff>11206</xdr:rowOff>
    </xdr:from>
    <xdr:to>
      <xdr:col>5</xdr:col>
      <xdr:colOff>806825</xdr:colOff>
      <xdr:row>6</xdr:row>
      <xdr:rowOff>44824</xdr:rowOff>
    </xdr:to>
    <xdr:cxnSp macro="">
      <xdr:nvCxnSpPr>
        <xdr:cNvPr id="19" name="Straight Arrow Connector 18"/>
        <xdr:cNvCxnSpPr>
          <a:stCxn id="28" idx="1"/>
        </xdr:cNvCxnSpPr>
      </xdr:nvCxnSpPr>
      <xdr:spPr>
        <a:xfrm flipH="1">
          <a:off x="7429501" y="526677"/>
          <a:ext cx="1624853" cy="5378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974912</xdr:colOff>
      <xdr:row>2</xdr:row>
      <xdr:rowOff>67236</xdr:rowOff>
    </xdr:from>
    <xdr:to>
      <xdr:col>0</xdr:col>
      <xdr:colOff>3451412</xdr:colOff>
      <xdr:row>3</xdr:row>
      <xdr:rowOff>149039</xdr:rowOff>
    </xdr:to>
    <xdr:pic>
      <xdr:nvPicPr>
        <xdr:cNvPr id="20" name="Picture 19" descr="UtilityRegulato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4912" y="414618"/>
          <a:ext cx="2476500" cy="384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134471</xdr:colOff>
      <xdr:row>0</xdr:row>
      <xdr:rowOff>0</xdr:rowOff>
    </xdr:from>
    <xdr:to>
      <xdr:col>21</xdr:col>
      <xdr:colOff>327213</xdr:colOff>
      <xdr:row>3</xdr:row>
      <xdr:rowOff>112860</xdr:rowOff>
    </xdr:to>
    <xdr:pic>
      <xdr:nvPicPr>
        <xdr:cNvPr id="21" name="Picture 20" descr="UtilityRegulato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594046" y="0"/>
          <a:ext cx="1821516" cy="5720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35</xdr:row>
      <xdr:rowOff>11206</xdr:rowOff>
    </xdr:from>
    <xdr:to>
      <xdr:col>2</xdr:col>
      <xdr:colOff>593912</xdr:colOff>
      <xdr:row>37</xdr:row>
      <xdr:rowOff>40343</xdr:rowOff>
    </xdr:to>
    <xdr:pic>
      <xdr:nvPicPr>
        <xdr:cNvPr id="22" name="Picture 13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067425" y="4926106"/>
          <a:ext cx="403412" cy="2767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1230162</xdr:colOff>
      <xdr:row>14</xdr:row>
      <xdr:rowOff>32746</xdr:rowOff>
    </xdr:from>
    <xdr:to>
      <xdr:col>1</xdr:col>
      <xdr:colOff>2845605</xdr:colOff>
      <xdr:row>50</xdr:row>
      <xdr:rowOff>66063</xdr:rowOff>
    </xdr:to>
    <xdr:sp macro="" textlink="">
      <xdr:nvSpPr>
        <xdr:cNvPr id="23" name="Curved Left Arrow 22"/>
        <xdr:cNvSpPr/>
      </xdr:nvSpPr>
      <xdr:spPr>
        <a:xfrm rot="11322644">
          <a:off x="4781626" y="2604496"/>
          <a:ext cx="1615443" cy="5272067"/>
        </a:xfrm>
        <a:prstGeom prst="curvedLeftArrow">
          <a:avLst>
            <a:gd name="adj1" fmla="val 6910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GB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3</xdr:col>
      <xdr:colOff>560295</xdr:colOff>
      <xdr:row>47</xdr:row>
      <xdr:rowOff>33616</xdr:rowOff>
    </xdr:from>
    <xdr:to>
      <xdr:col>8</xdr:col>
      <xdr:colOff>329423</xdr:colOff>
      <xdr:row>51</xdr:row>
      <xdr:rowOff>67235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208745" y="6891616"/>
          <a:ext cx="3788678" cy="730624"/>
        </a:xfrm>
        <a:prstGeom prst="rect">
          <a:avLst/>
        </a:prstGeom>
        <a:noFill/>
      </xdr:spPr>
    </xdr:pic>
    <xdr:clientData/>
  </xdr:twoCellAnchor>
  <xdr:twoCellAnchor>
    <xdr:from>
      <xdr:col>3</xdr:col>
      <xdr:colOff>22412</xdr:colOff>
      <xdr:row>49</xdr:row>
      <xdr:rowOff>134471</xdr:rowOff>
    </xdr:from>
    <xdr:to>
      <xdr:col>3</xdr:col>
      <xdr:colOff>560296</xdr:colOff>
      <xdr:row>50</xdr:row>
      <xdr:rowOff>78442</xdr:rowOff>
    </xdr:to>
    <xdr:cxnSp macro="">
      <xdr:nvCxnSpPr>
        <xdr:cNvPr id="25" name="Straight Arrow Connector 24"/>
        <xdr:cNvCxnSpPr/>
      </xdr:nvCxnSpPr>
      <xdr:spPr>
        <a:xfrm flipH="1">
          <a:off x="6670862" y="7335371"/>
          <a:ext cx="537884" cy="11542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1266266</xdr:colOff>
      <xdr:row>6</xdr:row>
      <xdr:rowOff>168087</xdr:rowOff>
    </xdr:from>
    <xdr:to>
      <xdr:col>1</xdr:col>
      <xdr:colOff>1637741</xdr:colOff>
      <xdr:row>8</xdr:row>
      <xdr:rowOff>103094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79678" y="1187822"/>
          <a:ext cx="371475" cy="271183"/>
        </a:xfrm>
        <a:prstGeom prst="rect">
          <a:avLst/>
        </a:prstGeom>
        <a:noFill/>
      </xdr:spPr>
    </xdr:pic>
    <xdr:clientData/>
  </xdr:twoCellAnchor>
  <xdr:twoCellAnchor>
    <xdr:from>
      <xdr:col>1</xdr:col>
      <xdr:colOff>974912</xdr:colOff>
      <xdr:row>6</xdr:row>
      <xdr:rowOff>168087</xdr:rowOff>
    </xdr:from>
    <xdr:to>
      <xdr:col>1</xdr:col>
      <xdr:colOff>1266266</xdr:colOff>
      <xdr:row>7</xdr:row>
      <xdr:rowOff>135590</xdr:rowOff>
    </xdr:to>
    <xdr:cxnSp macro="">
      <xdr:nvCxnSpPr>
        <xdr:cNvPr id="27" name="Straight Arrow Connector 26"/>
        <xdr:cNvCxnSpPr>
          <a:stCxn id="26" idx="1"/>
        </xdr:cNvCxnSpPr>
      </xdr:nvCxnSpPr>
      <xdr:spPr>
        <a:xfrm flipH="1" flipV="1">
          <a:off x="5188324" y="1187822"/>
          <a:ext cx="291354" cy="13559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806825</xdr:colOff>
      <xdr:row>1</xdr:row>
      <xdr:rowOff>123266</xdr:rowOff>
    </xdr:from>
    <xdr:to>
      <xdr:col>7</xdr:col>
      <xdr:colOff>5844</xdr:colOff>
      <xdr:row>3</xdr:row>
      <xdr:rowOff>100852</xdr:rowOff>
    </xdr:to>
    <xdr:pic>
      <xdr:nvPicPr>
        <xdr:cNvPr id="2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9054354" y="302560"/>
          <a:ext cx="828675" cy="44823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</xdr:colOff>
      <xdr:row>43</xdr:row>
      <xdr:rowOff>112059</xdr:rowOff>
    </xdr:from>
    <xdr:to>
      <xdr:col>2</xdr:col>
      <xdr:colOff>600076</xdr:colOff>
      <xdr:row>45</xdr:row>
      <xdr:rowOff>37540</xdr:rowOff>
    </xdr:to>
    <xdr:pic>
      <xdr:nvPicPr>
        <xdr:cNvPr id="2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876926" y="6293784"/>
          <a:ext cx="600075" cy="26838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100853</xdr:colOff>
      <xdr:row>56</xdr:row>
      <xdr:rowOff>0</xdr:rowOff>
    </xdr:from>
    <xdr:to>
      <xdr:col>0</xdr:col>
      <xdr:colOff>3481107</xdr:colOff>
      <xdr:row>57</xdr:row>
      <xdr:rowOff>103093</xdr:rowOff>
    </xdr:to>
    <xdr:pic>
      <xdr:nvPicPr>
        <xdr:cNvPr id="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0853" y="8391525"/>
          <a:ext cx="3380254" cy="27454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33617</xdr:colOff>
      <xdr:row>67</xdr:row>
      <xdr:rowOff>56029</xdr:rowOff>
    </xdr:from>
    <xdr:to>
      <xdr:col>2</xdr:col>
      <xdr:colOff>519392</xdr:colOff>
      <xdr:row>69</xdr:row>
      <xdr:rowOff>150160</xdr:rowOff>
    </xdr:to>
    <xdr:pic>
      <xdr:nvPicPr>
        <xdr:cNvPr id="3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910542" y="10085854"/>
          <a:ext cx="485775" cy="272303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89647</xdr:colOff>
      <xdr:row>61</xdr:row>
      <xdr:rowOff>112059</xdr:rowOff>
    </xdr:from>
    <xdr:to>
      <xdr:col>0</xdr:col>
      <xdr:colOff>2480422</xdr:colOff>
      <xdr:row>66</xdr:row>
      <xdr:rowOff>0</xdr:rowOff>
    </xdr:to>
    <xdr:pic>
      <xdr:nvPicPr>
        <xdr:cNvPr id="3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9647" y="9341784"/>
          <a:ext cx="2390775" cy="41125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100852</xdr:colOff>
      <xdr:row>64</xdr:row>
      <xdr:rowOff>112058</xdr:rowOff>
    </xdr:from>
    <xdr:to>
      <xdr:col>0</xdr:col>
      <xdr:colOff>1653427</xdr:colOff>
      <xdr:row>68</xdr:row>
      <xdr:rowOff>12326</xdr:rowOff>
    </xdr:to>
    <xdr:pic>
      <xdr:nvPicPr>
        <xdr:cNvPr id="33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100852" y="9741833"/>
          <a:ext cx="1552575" cy="27454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134470</xdr:colOff>
      <xdr:row>67</xdr:row>
      <xdr:rowOff>33618</xdr:rowOff>
    </xdr:from>
    <xdr:to>
      <xdr:col>0</xdr:col>
      <xdr:colOff>734545</xdr:colOff>
      <xdr:row>69</xdr:row>
      <xdr:rowOff>142878</xdr:rowOff>
    </xdr:to>
    <xdr:pic>
      <xdr:nvPicPr>
        <xdr:cNvPr id="3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34470" y="10063443"/>
          <a:ext cx="600075" cy="333936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2480422</xdr:colOff>
      <xdr:row>62</xdr:row>
      <xdr:rowOff>89647</xdr:rowOff>
    </xdr:from>
    <xdr:to>
      <xdr:col>1</xdr:col>
      <xdr:colOff>33617</xdr:colOff>
      <xdr:row>63</xdr:row>
      <xdr:rowOff>0</xdr:rowOff>
    </xdr:to>
    <xdr:cxnSp macro="">
      <xdr:nvCxnSpPr>
        <xdr:cNvPr id="35" name="Straight Arrow Connector 34"/>
        <xdr:cNvCxnSpPr>
          <a:stCxn id="32" idx="3"/>
        </xdr:cNvCxnSpPr>
      </xdr:nvCxnSpPr>
      <xdr:spPr>
        <a:xfrm flipV="1">
          <a:off x="2480422" y="9490822"/>
          <a:ext cx="1763245" cy="8180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1653427</xdr:colOff>
      <xdr:row>64</xdr:row>
      <xdr:rowOff>89647</xdr:rowOff>
    </xdr:from>
    <xdr:to>
      <xdr:col>0</xdr:col>
      <xdr:colOff>4213411</xdr:colOff>
      <xdr:row>66</xdr:row>
      <xdr:rowOff>34177</xdr:rowOff>
    </xdr:to>
    <xdr:cxnSp macro="">
      <xdr:nvCxnSpPr>
        <xdr:cNvPr id="36" name="Straight Arrow Connector 35"/>
        <xdr:cNvCxnSpPr>
          <a:stCxn id="33" idx="3"/>
        </xdr:cNvCxnSpPr>
      </xdr:nvCxnSpPr>
      <xdr:spPr>
        <a:xfrm flipV="1">
          <a:off x="1653427" y="9719422"/>
          <a:ext cx="2559984" cy="17313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734545</xdr:colOff>
      <xdr:row>66</xdr:row>
      <xdr:rowOff>67236</xdr:rowOff>
    </xdr:from>
    <xdr:to>
      <xdr:col>1</xdr:col>
      <xdr:colOff>11205</xdr:colOff>
      <xdr:row>68</xdr:row>
      <xdr:rowOff>121585</xdr:rowOff>
    </xdr:to>
    <xdr:cxnSp macro="">
      <xdr:nvCxnSpPr>
        <xdr:cNvPr id="37" name="Straight Arrow Connector 36"/>
        <xdr:cNvCxnSpPr>
          <a:stCxn id="34" idx="3"/>
        </xdr:cNvCxnSpPr>
      </xdr:nvCxnSpPr>
      <xdr:spPr>
        <a:xfrm flipV="1">
          <a:off x="734545" y="9925611"/>
          <a:ext cx="3486710" cy="3019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974914</xdr:colOff>
      <xdr:row>2</xdr:row>
      <xdr:rowOff>56030</xdr:rowOff>
    </xdr:from>
    <xdr:to>
      <xdr:col>0</xdr:col>
      <xdr:colOff>3160060</xdr:colOff>
      <xdr:row>3</xdr:row>
      <xdr:rowOff>156883</xdr:rowOff>
    </xdr:to>
    <xdr:pic>
      <xdr:nvPicPr>
        <xdr:cNvPr id="39" name="Picture 38" descr="UtilityRegulato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4914" y="389405"/>
          <a:ext cx="2185146" cy="4101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4</xdr:row>
      <xdr:rowOff>0</xdr:rowOff>
    </xdr:from>
    <xdr:to>
      <xdr:col>1</xdr:col>
      <xdr:colOff>640080</xdr:colOff>
      <xdr:row>5</xdr:row>
      <xdr:rowOff>114301</xdr:rowOff>
    </xdr:to>
    <xdr:pic>
      <xdr:nvPicPr>
        <xdr:cNvPr id="2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4467225"/>
          <a:ext cx="1905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1247775</xdr:colOff>
      <xdr:row>4</xdr:row>
      <xdr:rowOff>0</xdr:rowOff>
    </xdr:from>
    <xdr:to>
      <xdr:col>1</xdr:col>
      <xdr:colOff>1249680</xdr:colOff>
      <xdr:row>5</xdr:row>
      <xdr:rowOff>142874</xdr:rowOff>
    </xdr:to>
    <xdr:pic>
      <xdr:nvPicPr>
        <xdr:cNvPr id="3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4467225"/>
          <a:ext cx="1905" cy="333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1838325</xdr:colOff>
      <xdr:row>4</xdr:row>
      <xdr:rowOff>0</xdr:rowOff>
    </xdr:from>
    <xdr:to>
      <xdr:col>1</xdr:col>
      <xdr:colOff>1840230</xdr:colOff>
      <xdr:row>5</xdr:row>
      <xdr:rowOff>142875</xdr:rowOff>
    </xdr:to>
    <xdr:pic>
      <xdr:nvPicPr>
        <xdr:cNvPr id="4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52625" y="4467225"/>
          <a:ext cx="1905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638175</xdr:colOff>
      <xdr:row>6</xdr:row>
      <xdr:rowOff>0</xdr:rowOff>
    </xdr:from>
    <xdr:to>
      <xdr:col>1</xdr:col>
      <xdr:colOff>640080</xdr:colOff>
      <xdr:row>7</xdr:row>
      <xdr:rowOff>114301</xdr:rowOff>
    </xdr:to>
    <xdr:pic>
      <xdr:nvPicPr>
        <xdr:cNvPr id="6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4848225"/>
          <a:ext cx="1905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1247775</xdr:colOff>
      <xdr:row>6</xdr:row>
      <xdr:rowOff>0</xdr:rowOff>
    </xdr:from>
    <xdr:to>
      <xdr:col>1</xdr:col>
      <xdr:colOff>1249680</xdr:colOff>
      <xdr:row>7</xdr:row>
      <xdr:rowOff>142874</xdr:rowOff>
    </xdr:to>
    <xdr:pic>
      <xdr:nvPicPr>
        <xdr:cNvPr id="7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4848225"/>
          <a:ext cx="1905" cy="333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1838325</xdr:colOff>
      <xdr:row>6</xdr:row>
      <xdr:rowOff>0</xdr:rowOff>
    </xdr:from>
    <xdr:to>
      <xdr:col>1</xdr:col>
      <xdr:colOff>1840230</xdr:colOff>
      <xdr:row>7</xdr:row>
      <xdr:rowOff>135255</xdr:rowOff>
    </xdr:to>
    <xdr:pic>
      <xdr:nvPicPr>
        <xdr:cNvPr id="8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52625" y="4848225"/>
          <a:ext cx="1905" cy="325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638175</xdr:colOff>
      <xdr:row>6</xdr:row>
      <xdr:rowOff>0</xdr:rowOff>
    </xdr:from>
    <xdr:to>
      <xdr:col>1</xdr:col>
      <xdr:colOff>640080</xdr:colOff>
      <xdr:row>7</xdr:row>
      <xdr:rowOff>114301</xdr:rowOff>
    </xdr:to>
    <xdr:pic>
      <xdr:nvPicPr>
        <xdr:cNvPr id="10" name="Picture 1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2475" y="4848225"/>
          <a:ext cx="1905" cy="304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1247775</xdr:colOff>
      <xdr:row>6</xdr:row>
      <xdr:rowOff>0</xdr:rowOff>
    </xdr:from>
    <xdr:to>
      <xdr:col>1</xdr:col>
      <xdr:colOff>1249680</xdr:colOff>
      <xdr:row>7</xdr:row>
      <xdr:rowOff>142874</xdr:rowOff>
    </xdr:to>
    <xdr:pic>
      <xdr:nvPicPr>
        <xdr:cNvPr id="11" name="Picture 14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62075" y="4848225"/>
          <a:ext cx="1905" cy="333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1838325</xdr:colOff>
      <xdr:row>6</xdr:row>
      <xdr:rowOff>0</xdr:rowOff>
    </xdr:from>
    <xdr:to>
      <xdr:col>1</xdr:col>
      <xdr:colOff>1840230</xdr:colOff>
      <xdr:row>7</xdr:row>
      <xdr:rowOff>135255</xdr:rowOff>
    </xdr:to>
    <xdr:pic>
      <xdr:nvPicPr>
        <xdr:cNvPr id="12" name="Picture 14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952625" y="4848225"/>
          <a:ext cx="1905" cy="3257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database\Price%20Controls\GD17\3.%20Cost%20Reporting\2014\Submission\FE\FE%20-2014%20ACRDT%20-%20submission%20to%20U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2016-09-19%20Opex%20Matrix%20for%20fe%20GD17%20FD%20final%20to%20fe%20-%20Updated%20GIS%20Cos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as%20database/Phoenix%20Distribution/Price%20Control%20Review%20-%20PNGL12/5.%20Consultants/f.%20ECA/PNG_history_1e%20CH%20edi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ion%20Issues$\PNG%20Price%20Control%20and%20ACR\PNGL12%20(2012-2013)\Retro%20Mechanism\TRV%20Bridge%20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regni-millarj\AppData\Local\Microsoft\Windows\Temporary%20Internet%20Files\Content.Outlook\W6EPPPGN\PNGL_GD14%20Pis%20Submission_Dec2012%20-%20final%20to%20UR_rev1%20-%20Board%20Scenarios%2027%2006%202013_IMRadjusted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database\Price%20Controls\GD17\9.%20Business%20Plan%20Submissions\PNGL\Phase%202%20-%2029%20Sept%202015%20Submission\5%20%20Cost%20Reporting%20Template%20201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as%20database/Price%20Controls/GD17/10.%20Draft%20Determination/DD%20&amp;%20FD%20Models/PNGL/2016-03-15%20PNGL%20DD%20&amp;%20FD%20Input%20Model%20-%20INCLUDING%20East%20Down%20&amp;%20PDP%20Workings%20-%20Working%20Model%20(2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s%20database\Phoenix%20Distribution\Price%20Control%20Review%20-%20GD14\05.%20PNGL%20Submission\PNGL_GD14%20Pis%20Submission_Dec2012%20-%20final%20to%20UR_rev1%20-%20Board%20Scenarios%2027.06.20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Gas%20database/Phoenix%20Distribution/Price%20Control%20Review%20-%20GD14/18.%20Final%20Determination/Final%20Pi%20Models%20sent%20to%20GDNs/FE%20GD14%20Model%20FINAL%20-%20Re-issued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as%20database/Phoenix%20Distribution/Price%20Control%20Review%20-%20GD14/18.%20Final%20Determination/Final%20Pi%20Models%20sent%20to%20GDNs/Archive/For%20Publication/FE/FE%20GD14%20Model%20for%20Publication%20FINAL%20Full%20for%20FE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dex"/>
      <sheetName val="List of Tables"/>
      <sheetName val="Changes Log"/>
      <sheetName val="Universal Data"/>
      <sheetName val="1.1 Income Statement"/>
      <sheetName val="1.2 Financial Position"/>
      <sheetName val="1.3 Cash Flow"/>
      <sheetName val="1.4 Reconcile to Reg. Accounts"/>
      <sheetName val="1.5 Net Debt "/>
      <sheetName val="1.6 Accruals and Prepayments"/>
      <sheetName val="2.1 Cost Summary"/>
      <sheetName val="2.2 Workload Summary"/>
      <sheetName val="2.3 Total Volumes"/>
      <sheetName val="2.4 Connection Specifics"/>
      <sheetName val="3.1 Opex Matrix"/>
      <sheetName val="3.2 Head Count"/>
      <sheetName val="3.3 Staff - Costs"/>
      <sheetName val="3.4 Staff - Cars"/>
      <sheetName val="3.5 Business Support"/>
      <sheetName val="3.6 Maintenance"/>
      <sheetName val="3.7 PRE Repairs"/>
      <sheetName val="3.8 Metering"/>
      <sheetName val="3.9 Int and Ext Contractors"/>
      <sheetName val="3.10 Group Transactions"/>
      <sheetName val="3.11 Gas Theft"/>
      <sheetName val="4.1 Capex Summary"/>
      <sheetName val="4.2 Capex Analysis"/>
      <sheetName val="4.3 Project List Summaries"/>
      <sheetName val="4.4 Project List Cost"/>
      <sheetName val="4.5 Project List Workloads"/>
      <sheetName val="4.6 District Governors"/>
      <sheetName val="4.7 Connections Summary"/>
      <sheetName val="4.8 Connection Numbers"/>
      <sheetName val="4.9 Risers &amp; Laterals"/>
      <sheetName val="4.10 Meter Replacement"/>
      <sheetName val="4.11 Service Governor Renewal"/>
      <sheetName val="4.12 Other Capex"/>
      <sheetName val="5.1 Network Assets"/>
      <sheetName val="5.2 Metering Assets"/>
      <sheetName val="5.3 MEAV"/>
      <sheetName val="6.1 PREs Reports &amp; Repairs"/>
      <sheetName val="6.2 Environmental Impact"/>
      <sheetName val="6.3 Business Carbon Footprint"/>
      <sheetName val="7.1 Standards of Performa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9">
          <cell r="C49">
            <v>29.307099999999998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i Model Linked Summary"/>
      <sheetName val="Post 2022 Model Nos"/>
      <sheetName val="Post 2022 - OO"/>
      <sheetName val=" Maint &amp; Metering"/>
      <sheetName val="Summary"/>
      <sheetName val="Extract 2015"/>
      <sheetName val="Extract 2016"/>
      <sheetName val="Extract 2017"/>
      <sheetName val="Extract 2018"/>
      <sheetName val="Extract 2019"/>
      <sheetName val="Extract 2020"/>
      <sheetName val="Extract 2021"/>
      <sheetName val="Extract 2022"/>
      <sheetName val="Business Support trends"/>
      <sheetName val="Asset Management allowance"/>
      <sheetName val="Operations Management"/>
      <sheetName val="Cust Manage"/>
      <sheetName val="Sys Control"/>
      <sheetName val="IT and tele"/>
      <sheetName val="HR and ops"/>
      <sheetName val="Audit Fin Reg"/>
      <sheetName val="insurance"/>
      <sheetName val="CEO Group"/>
      <sheetName val="prop man"/>
      <sheetName val="Procure"/>
      <sheetName val="trainee's"/>
      <sheetName val="advert and m (nonOO)"/>
    </sheetNames>
    <sheetDataSet>
      <sheetData sheetId="0">
        <row r="7">
          <cell r="B7">
            <v>6512493.1793055087</v>
          </cell>
          <cell r="C7">
            <v>6469904.3786666943</v>
          </cell>
          <cell r="D7">
            <v>6622159.5240741279</v>
          </cell>
          <cell r="E7">
            <v>6832917.7797452984</v>
          </cell>
          <cell r="F7">
            <v>7106852.583627915</v>
          </cell>
          <cell r="G7">
            <v>7383465.1788235633</v>
          </cell>
          <cell r="H7">
            <v>7575678.4867963502</v>
          </cell>
          <cell r="I7">
            <v>7676800.1903457791</v>
          </cell>
          <cell r="J7">
            <v>7763174.9444549875</v>
          </cell>
          <cell r="K7">
            <v>7852978.756753955</v>
          </cell>
          <cell r="L7">
            <v>8014009.6008351687</v>
          </cell>
          <cell r="M7">
            <v>8218224.755443071</v>
          </cell>
          <cell r="N7">
            <v>8330672.15993274</v>
          </cell>
          <cell r="O7">
            <v>8428873.820915157</v>
          </cell>
          <cell r="P7">
            <v>8491642.0575699657</v>
          </cell>
          <cell r="Q7">
            <v>8427971.3639856167</v>
          </cell>
          <cell r="R7">
            <v>8333236.3167514782</v>
          </cell>
          <cell r="S7">
            <v>8318184.9961157572</v>
          </cell>
          <cell r="T7">
            <v>8437618.2119476609</v>
          </cell>
          <cell r="U7">
            <v>8631802.6680881828</v>
          </cell>
          <cell r="V7">
            <v>8851437.8516057506</v>
          </cell>
          <cell r="W7">
            <v>8926060.3311883472</v>
          </cell>
          <cell r="X7">
            <v>8930359.2653687429</v>
          </cell>
          <cell r="Y7">
            <v>9180617.8071561251</v>
          </cell>
          <cell r="Z7">
            <v>9438976.2727917731</v>
          </cell>
          <cell r="AA7">
            <v>9426950.3077516966</v>
          </cell>
          <cell r="AB7">
            <v>9276505.5183268879</v>
          </cell>
          <cell r="AC7">
            <v>9223594.0921629388</v>
          </cell>
          <cell r="AD7">
            <v>9143869.7052723449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s"/>
      <sheetName val="Deferred"/>
      <sheetName val="Calculations"/>
      <sheetName val="Transmission"/>
      <sheetName val="1996_licence"/>
      <sheetName val="Charts"/>
      <sheetName val="RPItable"/>
      <sheetName val="controls"/>
      <sheetName val="Incentive_analysis"/>
      <sheetName val="PC03 ma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1996 price terms</v>
          </cell>
          <cell r="B2" t="str">
            <v>1996R</v>
          </cell>
          <cell r="C2">
            <v>153.80000000000001</v>
          </cell>
        </row>
        <row r="3">
          <cell r="A3" t="str">
            <v>2006 price terms</v>
          </cell>
          <cell r="B3" t="str">
            <v>2006R</v>
          </cell>
          <cell r="C3">
            <v>199.70000000000005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RV Bridge"/>
      <sheetName val="modifications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odifications"/>
      <sheetName val="Inputs"/>
      <sheetName val="Opening Values"/>
      <sheetName val="DAV"/>
      <sheetName val="Pis Calc"/>
      <sheetName val="P1 Scenario"/>
      <sheetName val="P1 Scenario Table"/>
      <sheetName val="Revenue Table for Fitch"/>
    </sheetNames>
    <sheetDataSet>
      <sheetData sheetId="0"/>
      <sheetData sheetId="1"/>
      <sheetData sheetId="2">
        <row r="4">
          <cell r="N4">
            <v>244.2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"/>
      <sheetName val="Index"/>
      <sheetName val="List of Tables"/>
      <sheetName val="Changes Log"/>
      <sheetName val="Universal Data"/>
      <sheetName val="1.1 Income Statement"/>
      <sheetName val="1.2 Financial Position"/>
      <sheetName val="1.3 Cash Flow"/>
      <sheetName val="1.4 Reconcile to Reg. Accounts"/>
      <sheetName val="1.5 Net Debt "/>
      <sheetName val="1.6 Accruals and Prepayments"/>
      <sheetName val="2.1 Cost Summary"/>
      <sheetName val="2.2 Workload Summary"/>
      <sheetName val="2.3 Total Volumes"/>
      <sheetName val="2.4 Connection Specifics"/>
      <sheetName val="3.1 Opex Matrix"/>
      <sheetName val="3.2 Head Count"/>
      <sheetName val="3.3 Staff - Costs"/>
      <sheetName val="3.4 Staff - Cars"/>
      <sheetName val="3.5 Business Support"/>
      <sheetName val="3.6 Maintenance"/>
      <sheetName val="3.7 PRE Repairs"/>
      <sheetName val="3.8 Metering"/>
      <sheetName val="3.9 Int and Ext Contractors"/>
      <sheetName val="3.10 Group Transactions"/>
      <sheetName val="3.11 Gas Theft"/>
      <sheetName val="4.1 Capex Summary"/>
      <sheetName val="4.2 Capex Analysis"/>
      <sheetName val="4.3 Project List Summaries"/>
      <sheetName val="4.4 Project List Cost"/>
      <sheetName val="4.5 Project List Workloads"/>
      <sheetName val="4.6 District Governors"/>
      <sheetName val="4.7 Connections Summary"/>
      <sheetName val="Meter split analysis"/>
      <sheetName val="4.8 Connection Numbers"/>
      <sheetName val="4.9 Risers &amp; Laterals"/>
      <sheetName val="4.10 Meter Replacement"/>
      <sheetName val="4.11 Service Governor Renewal"/>
      <sheetName val="4.12 Other Capex"/>
      <sheetName val="5.1 Network Assets"/>
      <sheetName val="5.2 Metering Assets"/>
      <sheetName val="5.3 MEAV"/>
      <sheetName val="6.1 PREs Reports &amp; Repairs"/>
      <sheetName val="6.2 Environmental Impact"/>
      <sheetName val="6.3 Business Carbon Footprint"/>
      <sheetName val="7.1 Standards of Performance"/>
    </sheetNames>
    <sheetDataSet>
      <sheetData sheetId="0"/>
      <sheetData sheetId="1"/>
      <sheetData sheetId="2"/>
      <sheetData sheetId="3"/>
      <sheetData sheetId="4">
        <row r="8">
          <cell r="A8">
            <v>2014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odel Queries for PNGL"/>
      <sheetName val="PDP via DAV"/>
      <sheetName val="Inputs"/>
      <sheetName val="Opening Values"/>
      <sheetName val="DAV"/>
      <sheetName val="Pi's Calc"/>
      <sheetName val="PDP Workings - DD UPDATED"/>
      <sheetName val="Consumer Impact"/>
      <sheetName val="Pi GB Version"/>
    </sheetNames>
    <sheetDataSet>
      <sheetData sheetId="0"/>
      <sheetData sheetId="1"/>
      <sheetData sheetId="2"/>
      <sheetData sheetId="3">
        <row r="5">
          <cell r="F5">
            <v>244.2</v>
          </cell>
        </row>
        <row r="6">
          <cell r="F6">
            <v>257.60000000000002</v>
          </cell>
        </row>
      </sheetData>
      <sheetData sheetId="4"/>
      <sheetData sheetId="5">
        <row r="20">
          <cell r="D20">
            <v>0.36547915561408112</v>
          </cell>
        </row>
      </sheetData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odifications"/>
      <sheetName val="Inputs"/>
      <sheetName val="Opening Values"/>
      <sheetName val="DAV"/>
      <sheetName val="Pis Calc"/>
      <sheetName val="P1 Scenario"/>
      <sheetName val="P1 Scenario Table"/>
    </sheetNames>
    <sheetDataSet>
      <sheetData sheetId="0" refreshError="1"/>
      <sheetData sheetId="1" refreshError="1"/>
      <sheetData sheetId="2" refreshError="1">
        <row r="1">
          <cell r="N1">
            <v>200.1</v>
          </cell>
        </row>
        <row r="2">
          <cell r="N2">
            <v>225.3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llowances"/>
      <sheetName val="Inputs"/>
      <sheetName val="Retrospective mechanism"/>
      <sheetName val="DAV"/>
      <sheetName val="Pi's Calc"/>
    </sheetNames>
    <sheetDataSet>
      <sheetData sheetId="0"/>
      <sheetData sheetId="1">
        <row r="50">
          <cell r="B50" t="str">
            <v>Mains</v>
          </cell>
        </row>
        <row r="51">
          <cell r="B51" t="str">
            <v>Other Capex</v>
          </cell>
        </row>
      </sheetData>
      <sheetData sheetId="2"/>
      <sheetData sheetId="3"/>
      <sheetData sheetId="4">
        <row r="1">
          <cell r="A1">
            <v>1.2549120992761116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llowances"/>
      <sheetName val="Inputs"/>
      <sheetName val="Retrospective mechanism"/>
      <sheetName val="DAV"/>
      <sheetName val="Pi's Calc"/>
    </sheetNames>
    <sheetDataSet>
      <sheetData sheetId="0"/>
      <sheetData sheetId="1"/>
      <sheetData sheetId="2"/>
      <sheetData sheetId="3"/>
      <sheetData sheetId="4">
        <row r="1">
          <cell r="A1">
            <v>1.2549120992761116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BQ161"/>
  <sheetViews>
    <sheetView tabSelected="1" zoomScale="85" zoomScaleNormal="85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O136" sqref="O136"/>
    </sheetView>
  </sheetViews>
  <sheetFormatPr defaultRowHeight="12.75" outlineLevelRow="1"/>
  <cols>
    <col min="1" max="1" width="48" style="62" bestFit="1" customWidth="1"/>
    <col min="2" max="2" width="29" style="66" customWidth="1"/>
    <col min="3" max="3" width="40" style="66" hidden="1" customWidth="1"/>
    <col min="4" max="4" width="11.7109375" style="65" customWidth="1"/>
    <col min="5" max="5" width="13.85546875" style="65" bestFit="1" customWidth="1"/>
    <col min="6" max="6" width="15" style="65" bestFit="1" customWidth="1"/>
    <col min="7" max="7" width="13.85546875" style="65" bestFit="1" customWidth="1"/>
    <col min="8" max="9" width="15" style="65" bestFit="1" customWidth="1"/>
    <col min="10" max="11" width="13.85546875" style="65" bestFit="1" customWidth="1"/>
    <col min="12" max="12" width="12.85546875" style="65" customWidth="1"/>
    <col min="13" max="13" width="12.5703125" style="65" bestFit="1" customWidth="1"/>
    <col min="14" max="14" width="11.7109375" style="65" bestFit="1" customWidth="1"/>
    <col min="15" max="15" width="12.140625" style="65" customWidth="1"/>
    <col min="16" max="34" width="11.7109375" style="65" bestFit="1" customWidth="1"/>
    <col min="35" max="44" width="12.28515625" style="65" bestFit="1" customWidth="1"/>
    <col min="45" max="45" width="9.140625" style="73"/>
    <col min="46" max="69" width="9.140625" style="65"/>
    <col min="70" max="16384" width="9.140625" style="66"/>
  </cols>
  <sheetData>
    <row r="1" spans="1:69" ht="12.75" customHeight="1">
      <c r="A1" s="361" t="s">
        <v>16</v>
      </c>
      <c r="B1" s="31">
        <f>K2/E2</f>
        <v>1.2549120992761116</v>
      </c>
      <c r="D1" s="65" t="s">
        <v>87</v>
      </c>
      <c r="M1" s="65">
        <v>257.5</v>
      </c>
      <c r="N1" s="65" t="s">
        <v>90</v>
      </c>
    </row>
    <row r="2" spans="1:69" ht="13.5" customHeight="1" thickBot="1">
      <c r="A2" s="361"/>
      <c r="B2" s="114">
        <f>M2/K2</f>
        <v>1.0548001648125258</v>
      </c>
      <c r="D2" s="7" t="s">
        <v>88</v>
      </c>
      <c r="E2" s="27">
        <v>193.4</v>
      </c>
      <c r="F2" s="27"/>
      <c r="G2" s="27"/>
      <c r="H2" s="27"/>
      <c r="I2" s="27"/>
      <c r="J2" s="27"/>
      <c r="K2" s="27">
        <v>242.7</v>
      </c>
      <c r="L2" s="7"/>
      <c r="M2" s="27">
        <v>256</v>
      </c>
      <c r="N2" s="7"/>
      <c r="O2" s="27">
        <v>263.8</v>
      </c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117"/>
      <c r="AJ2" s="117"/>
      <c r="AK2" s="117"/>
      <c r="AL2" s="117"/>
      <c r="AM2" s="117"/>
      <c r="AN2" s="117"/>
      <c r="AO2" s="117"/>
      <c r="AP2" s="117"/>
      <c r="AQ2" s="117"/>
      <c r="AR2" s="117"/>
    </row>
    <row r="3" spans="1:69" s="64" customFormat="1" ht="13.5" customHeight="1" thickBot="1">
      <c r="A3" s="362"/>
      <c r="B3" s="105" t="s">
        <v>100</v>
      </c>
      <c r="C3" s="64" t="s">
        <v>17</v>
      </c>
      <c r="D3" s="5">
        <v>2005</v>
      </c>
      <c r="E3" s="5">
        <v>2006</v>
      </c>
      <c r="F3" s="5">
        <f>E3+1</f>
        <v>2007</v>
      </c>
      <c r="G3" s="5">
        <f t="shared" ref="G3:AH3" si="0">F3+1</f>
        <v>2008</v>
      </c>
      <c r="H3" s="5">
        <f t="shared" si="0"/>
        <v>2009</v>
      </c>
      <c r="I3" s="5">
        <f t="shared" si="0"/>
        <v>2010</v>
      </c>
      <c r="J3" s="5">
        <f t="shared" si="0"/>
        <v>2011</v>
      </c>
      <c r="K3" s="5">
        <f t="shared" si="0"/>
        <v>2012</v>
      </c>
      <c r="L3" s="5">
        <f t="shared" si="0"/>
        <v>2013</v>
      </c>
      <c r="M3" s="5">
        <f t="shared" si="0"/>
        <v>2014</v>
      </c>
      <c r="N3" s="5">
        <f t="shared" si="0"/>
        <v>2015</v>
      </c>
      <c r="O3" s="5">
        <f t="shared" si="0"/>
        <v>2016</v>
      </c>
      <c r="P3" s="5">
        <f t="shared" si="0"/>
        <v>2017</v>
      </c>
      <c r="Q3" s="5">
        <f t="shared" si="0"/>
        <v>2018</v>
      </c>
      <c r="R3" s="5">
        <f t="shared" si="0"/>
        <v>2019</v>
      </c>
      <c r="S3" s="5">
        <f t="shared" si="0"/>
        <v>2020</v>
      </c>
      <c r="T3" s="5">
        <f t="shared" si="0"/>
        <v>2021</v>
      </c>
      <c r="U3" s="5">
        <f t="shared" si="0"/>
        <v>2022</v>
      </c>
      <c r="V3" s="5">
        <f t="shared" si="0"/>
        <v>2023</v>
      </c>
      <c r="W3" s="5">
        <f t="shared" si="0"/>
        <v>2024</v>
      </c>
      <c r="X3" s="5">
        <f t="shared" si="0"/>
        <v>2025</v>
      </c>
      <c r="Y3" s="5">
        <f t="shared" si="0"/>
        <v>2026</v>
      </c>
      <c r="Z3" s="5">
        <f t="shared" si="0"/>
        <v>2027</v>
      </c>
      <c r="AA3" s="5">
        <f t="shared" si="0"/>
        <v>2028</v>
      </c>
      <c r="AB3" s="5">
        <f t="shared" si="0"/>
        <v>2029</v>
      </c>
      <c r="AC3" s="5">
        <f t="shared" si="0"/>
        <v>2030</v>
      </c>
      <c r="AD3" s="5">
        <f t="shared" si="0"/>
        <v>2031</v>
      </c>
      <c r="AE3" s="5">
        <f t="shared" si="0"/>
        <v>2032</v>
      </c>
      <c r="AF3" s="5">
        <f t="shared" si="0"/>
        <v>2033</v>
      </c>
      <c r="AG3" s="5">
        <f t="shared" si="0"/>
        <v>2034</v>
      </c>
      <c r="AH3" s="5">
        <f t="shared" si="0"/>
        <v>2035</v>
      </c>
      <c r="AI3" s="5">
        <f t="shared" ref="AI3" si="1">AH3+1</f>
        <v>2036</v>
      </c>
      <c r="AJ3" s="5">
        <f t="shared" ref="AJ3" si="2">AI3+1</f>
        <v>2037</v>
      </c>
      <c r="AK3" s="5">
        <f t="shared" ref="AK3" si="3">AJ3+1</f>
        <v>2038</v>
      </c>
      <c r="AL3" s="5">
        <f t="shared" ref="AL3" si="4">AK3+1</f>
        <v>2039</v>
      </c>
      <c r="AM3" s="5">
        <f t="shared" ref="AM3" si="5">AL3+1</f>
        <v>2040</v>
      </c>
      <c r="AN3" s="5">
        <f t="shared" ref="AN3" si="6">AM3+1</f>
        <v>2041</v>
      </c>
      <c r="AO3" s="5">
        <f t="shared" ref="AO3" si="7">AN3+1</f>
        <v>2042</v>
      </c>
      <c r="AP3" s="5">
        <f t="shared" ref="AP3" si="8">AO3+1</f>
        <v>2043</v>
      </c>
      <c r="AQ3" s="5">
        <f t="shared" ref="AQ3" si="9">AP3+1</f>
        <v>2044</v>
      </c>
      <c r="AR3" s="5">
        <f t="shared" ref="AR3" si="10">AQ3+1</f>
        <v>2045</v>
      </c>
      <c r="AS3" s="7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</row>
    <row r="4" spans="1:69">
      <c r="D4" s="63"/>
      <c r="E4" s="63" t="s">
        <v>0</v>
      </c>
      <c r="F4" s="63" t="s">
        <v>0</v>
      </c>
      <c r="G4" s="63" t="s">
        <v>0</v>
      </c>
      <c r="H4" s="63" t="s">
        <v>95</v>
      </c>
      <c r="I4" s="63" t="s">
        <v>95</v>
      </c>
      <c r="J4" s="63" t="s">
        <v>95</v>
      </c>
      <c r="K4" s="63" t="s">
        <v>95</v>
      </c>
      <c r="L4" s="63" t="s">
        <v>95</v>
      </c>
      <c r="M4" s="61" t="s">
        <v>96</v>
      </c>
      <c r="N4" s="61" t="s">
        <v>96</v>
      </c>
      <c r="O4" s="61" t="s">
        <v>96</v>
      </c>
      <c r="P4" s="130" t="s">
        <v>118</v>
      </c>
      <c r="Q4" s="130" t="s">
        <v>118</v>
      </c>
      <c r="R4" s="130" t="s">
        <v>118</v>
      </c>
      <c r="S4" s="130" t="s">
        <v>118</v>
      </c>
      <c r="T4" s="130" t="s">
        <v>118</v>
      </c>
      <c r="U4" s="130" t="s">
        <v>118</v>
      </c>
      <c r="V4" s="130" t="s">
        <v>118</v>
      </c>
      <c r="W4" s="130" t="s">
        <v>118</v>
      </c>
      <c r="X4" s="130" t="s">
        <v>118</v>
      </c>
      <c r="Y4" s="130" t="s">
        <v>118</v>
      </c>
      <c r="Z4" s="130" t="s">
        <v>118</v>
      </c>
      <c r="AA4" s="130" t="s">
        <v>118</v>
      </c>
      <c r="AB4" s="130" t="s">
        <v>118</v>
      </c>
      <c r="AC4" s="130" t="s">
        <v>118</v>
      </c>
      <c r="AD4" s="130" t="s">
        <v>118</v>
      </c>
      <c r="AE4" s="130" t="s">
        <v>118</v>
      </c>
      <c r="AF4" s="130" t="s">
        <v>118</v>
      </c>
      <c r="AG4" s="130" t="s">
        <v>118</v>
      </c>
      <c r="AH4" s="130" t="s">
        <v>118</v>
      </c>
      <c r="AI4" s="130" t="s">
        <v>118</v>
      </c>
      <c r="AJ4" s="130" t="s">
        <v>118</v>
      </c>
      <c r="AK4" s="130" t="s">
        <v>118</v>
      </c>
      <c r="AL4" s="130" t="s">
        <v>118</v>
      </c>
      <c r="AM4" s="130" t="s">
        <v>118</v>
      </c>
      <c r="AN4" s="130" t="s">
        <v>118</v>
      </c>
      <c r="AO4" s="130" t="s">
        <v>118</v>
      </c>
      <c r="AP4" s="130" t="s">
        <v>118</v>
      </c>
      <c r="AQ4" s="130" t="s">
        <v>118</v>
      </c>
      <c r="AR4" s="130" t="s">
        <v>118</v>
      </c>
    </row>
    <row r="5" spans="1:69" ht="13.5" hidden="1" outlineLevel="1" thickBot="1">
      <c r="A5" s="7"/>
      <c r="C5" s="60"/>
      <c r="D5" s="63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</row>
    <row r="6" spans="1:69" ht="13.5" hidden="1" outlineLevel="1" thickBot="1">
      <c r="A6" s="158" t="s">
        <v>18</v>
      </c>
      <c r="C6" s="58"/>
      <c r="D6" s="57">
        <v>2005</v>
      </c>
      <c r="E6" s="57">
        <v>2006</v>
      </c>
      <c r="F6" s="57">
        <v>2007</v>
      </c>
      <c r="G6" s="57">
        <v>2008</v>
      </c>
      <c r="H6" s="57">
        <v>2009</v>
      </c>
      <c r="I6" s="57">
        <v>2010</v>
      </c>
      <c r="J6" s="57">
        <v>2011</v>
      </c>
      <c r="K6" s="57">
        <v>2012</v>
      </c>
      <c r="L6" s="57">
        <f>K6+1</f>
        <v>2013</v>
      </c>
      <c r="M6" s="57">
        <f t="shared" ref="M6:AH6" si="11">L6+1</f>
        <v>2014</v>
      </c>
      <c r="N6" s="57">
        <f t="shared" si="11"/>
        <v>2015</v>
      </c>
      <c r="O6" s="57">
        <f t="shared" si="11"/>
        <v>2016</v>
      </c>
      <c r="P6" s="127">
        <f t="shared" si="11"/>
        <v>2017</v>
      </c>
      <c r="Q6" s="127">
        <f t="shared" si="11"/>
        <v>2018</v>
      </c>
      <c r="R6" s="127">
        <f t="shared" si="11"/>
        <v>2019</v>
      </c>
      <c r="S6" s="127">
        <f t="shared" si="11"/>
        <v>2020</v>
      </c>
      <c r="T6" s="127">
        <f t="shared" si="11"/>
        <v>2021</v>
      </c>
      <c r="U6" s="127">
        <f t="shared" si="11"/>
        <v>2022</v>
      </c>
      <c r="V6" s="127">
        <f t="shared" si="11"/>
        <v>2023</v>
      </c>
      <c r="W6" s="127">
        <f t="shared" si="11"/>
        <v>2024</v>
      </c>
      <c r="X6" s="127">
        <f t="shared" si="11"/>
        <v>2025</v>
      </c>
      <c r="Y6" s="127">
        <f t="shared" si="11"/>
        <v>2026</v>
      </c>
      <c r="Z6" s="127">
        <f t="shared" si="11"/>
        <v>2027</v>
      </c>
      <c r="AA6" s="127">
        <f t="shared" si="11"/>
        <v>2028</v>
      </c>
      <c r="AB6" s="127">
        <f t="shared" si="11"/>
        <v>2029</v>
      </c>
      <c r="AC6" s="127">
        <f t="shared" si="11"/>
        <v>2030</v>
      </c>
      <c r="AD6" s="127">
        <f t="shared" si="11"/>
        <v>2031</v>
      </c>
      <c r="AE6" s="127">
        <f t="shared" si="11"/>
        <v>2032</v>
      </c>
      <c r="AF6" s="127">
        <f t="shared" si="11"/>
        <v>2033</v>
      </c>
      <c r="AG6" s="127">
        <f t="shared" si="11"/>
        <v>2034</v>
      </c>
      <c r="AH6" s="127">
        <f t="shared" si="11"/>
        <v>2035</v>
      </c>
      <c r="AI6" s="127">
        <f t="shared" ref="AI6" si="12">AH6+1</f>
        <v>2036</v>
      </c>
      <c r="AJ6" s="127">
        <f t="shared" ref="AJ6" si="13">AI6+1</f>
        <v>2037</v>
      </c>
      <c r="AK6" s="127">
        <f t="shared" ref="AK6" si="14">AJ6+1</f>
        <v>2038</v>
      </c>
      <c r="AL6" s="127">
        <f t="shared" ref="AL6" si="15">AK6+1</f>
        <v>2039</v>
      </c>
      <c r="AM6" s="127">
        <f t="shared" ref="AM6" si="16">AL6+1</f>
        <v>2040</v>
      </c>
      <c r="AN6" s="127">
        <f t="shared" ref="AN6" si="17">AM6+1</f>
        <v>2041</v>
      </c>
      <c r="AO6" s="127">
        <f t="shared" ref="AO6" si="18">AN6+1</f>
        <v>2042</v>
      </c>
      <c r="AP6" s="127">
        <f t="shared" ref="AP6" si="19">AO6+1</f>
        <v>2043</v>
      </c>
      <c r="AQ6" s="127">
        <f t="shared" ref="AQ6" si="20">AP6+1</f>
        <v>2044</v>
      </c>
      <c r="AR6" s="127">
        <f t="shared" ref="AR6" si="21">AQ6+1</f>
        <v>2045</v>
      </c>
    </row>
    <row r="7" spans="1:69" ht="13.5" hidden="1" outlineLevel="1" thickBot="1">
      <c r="A7" s="159"/>
      <c r="B7" s="117"/>
      <c r="C7" s="58" t="s">
        <v>19</v>
      </c>
      <c r="D7" s="55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</row>
    <row r="8" spans="1:69" ht="13.5" hidden="1" outlineLevel="1" thickBot="1">
      <c r="A8" s="159" t="s">
        <v>20</v>
      </c>
      <c r="B8" s="159" t="s">
        <v>21</v>
      </c>
      <c r="C8" s="54" t="s">
        <v>22</v>
      </c>
      <c r="D8" s="70" t="s">
        <v>49</v>
      </c>
      <c r="E8" s="160">
        <v>6923003.5736016659</v>
      </c>
      <c r="F8" s="160">
        <v>9049244.9559499994</v>
      </c>
      <c r="G8" s="160">
        <v>6831773.4384899987</v>
      </c>
      <c r="H8" s="160">
        <v>8188137.6620777044</v>
      </c>
      <c r="I8" s="160">
        <v>8078146.8929423047</v>
      </c>
      <c r="J8" s="160">
        <v>5521651.1165696075</v>
      </c>
      <c r="K8" s="160">
        <v>4199399.2184697855</v>
      </c>
      <c r="L8" s="160">
        <v>3685225.3602657947</v>
      </c>
      <c r="M8" s="160">
        <v>736542.26614045189</v>
      </c>
      <c r="N8" s="160">
        <v>622468.085131309</v>
      </c>
      <c r="O8" s="160">
        <v>563037.47659657535</v>
      </c>
      <c r="P8" s="161">
        <f>P53/$M$1*$E$2</f>
        <v>0</v>
      </c>
      <c r="Q8" s="161">
        <f t="shared" ref="Q8:AH19" si="22">Q53/$M$1*$E$2</f>
        <v>0</v>
      </c>
      <c r="R8" s="161">
        <f t="shared" si="22"/>
        <v>0</v>
      </c>
      <c r="S8" s="161">
        <f t="shared" si="22"/>
        <v>0</v>
      </c>
      <c r="T8" s="161">
        <f t="shared" si="22"/>
        <v>0</v>
      </c>
      <c r="U8" s="161">
        <f t="shared" si="22"/>
        <v>0</v>
      </c>
      <c r="V8" s="161">
        <f t="shared" si="22"/>
        <v>0</v>
      </c>
      <c r="W8" s="161">
        <f t="shared" si="22"/>
        <v>0</v>
      </c>
      <c r="X8" s="161">
        <f t="shared" si="22"/>
        <v>0</v>
      </c>
      <c r="Y8" s="161">
        <f t="shared" si="22"/>
        <v>0</v>
      </c>
      <c r="Z8" s="161">
        <f t="shared" si="22"/>
        <v>0</v>
      </c>
      <c r="AA8" s="161">
        <f t="shared" si="22"/>
        <v>0</v>
      </c>
      <c r="AB8" s="161">
        <f t="shared" si="22"/>
        <v>0</v>
      </c>
      <c r="AC8" s="161">
        <f t="shared" si="22"/>
        <v>0</v>
      </c>
      <c r="AD8" s="161">
        <f t="shared" si="22"/>
        <v>0</v>
      </c>
      <c r="AE8" s="161">
        <f t="shared" si="22"/>
        <v>0</v>
      </c>
      <c r="AF8" s="161">
        <f t="shared" si="22"/>
        <v>0</v>
      </c>
      <c r="AG8" s="161">
        <f t="shared" si="22"/>
        <v>0</v>
      </c>
      <c r="AH8" s="161">
        <f t="shared" si="22"/>
        <v>0</v>
      </c>
      <c r="AI8" s="161">
        <f t="shared" ref="AI8:AR8" si="23">AI53/$M$1*$E$2</f>
        <v>0</v>
      </c>
      <c r="AJ8" s="161">
        <f t="shared" si="23"/>
        <v>0</v>
      </c>
      <c r="AK8" s="161">
        <f t="shared" si="23"/>
        <v>0</v>
      </c>
      <c r="AL8" s="161">
        <f t="shared" si="23"/>
        <v>0</v>
      </c>
      <c r="AM8" s="161">
        <f t="shared" si="23"/>
        <v>0</v>
      </c>
      <c r="AN8" s="161">
        <f t="shared" si="23"/>
        <v>0</v>
      </c>
      <c r="AO8" s="161">
        <f t="shared" si="23"/>
        <v>0</v>
      </c>
      <c r="AP8" s="161">
        <f t="shared" si="23"/>
        <v>0</v>
      </c>
      <c r="AQ8" s="161">
        <f t="shared" si="23"/>
        <v>0</v>
      </c>
      <c r="AR8" s="161">
        <f t="shared" si="23"/>
        <v>0</v>
      </c>
    </row>
    <row r="9" spans="1:69" ht="13.5" hidden="1" outlineLevel="1" thickBot="1">
      <c r="A9" s="159"/>
      <c r="B9" s="159" t="s">
        <v>23</v>
      </c>
      <c r="C9" s="54" t="s">
        <v>24</v>
      </c>
      <c r="D9" s="70" t="s">
        <v>121</v>
      </c>
      <c r="E9" s="160">
        <v>0</v>
      </c>
      <c r="F9" s="160">
        <v>26142.857142857145</v>
      </c>
      <c r="G9" s="160">
        <v>82857.142857142855</v>
      </c>
      <c r="H9" s="160">
        <v>77420.412963277224</v>
      </c>
      <c r="I9" s="160">
        <v>100474.46264514832</v>
      </c>
      <c r="J9" s="160">
        <v>102242.49368188051</v>
      </c>
      <c r="K9" s="160">
        <v>52597.539583342295</v>
      </c>
      <c r="L9" s="160">
        <v>53307.163212749292</v>
      </c>
      <c r="M9" s="160">
        <v>0</v>
      </c>
      <c r="N9" s="160">
        <v>0</v>
      </c>
      <c r="O9" s="160">
        <v>0</v>
      </c>
      <c r="P9" s="161">
        <f t="shared" ref="P9:AE19" si="24">P54/$M$1*$E$2</f>
        <v>0</v>
      </c>
      <c r="Q9" s="161">
        <f t="shared" si="24"/>
        <v>0</v>
      </c>
      <c r="R9" s="161">
        <f t="shared" si="24"/>
        <v>0</v>
      </c>
      <c r="S9" s="161">
        <f t="shared" si="24"/>
        <v>0</v>
      </c>
      <c r="T9" s="161">
        <f t="shared" si="24"/>
        <v>0</v>
      </c>
      <c r="U9" s="161">
        <f t="shared" si="24"/>
        <v>0</v>
      </c>
      <c r="V9" s="161">
        <f t="shared" si="24"/>
        <v>0</v>
      </c>
      <c r="W9" s="161">
        <f t="shared" si="24"/>
        <v>0</v>
      </c>
      <c r="X9" s="161">
        <f t="shared" si="24"/>
        <v>0</v>
      </c>
      <c r="Y9" s="161">
        <f t="shared" si="24"/>
        <v>0</v>
      </c>
      <c r="Z9" s="161">
        <f t="shared" si="24"/>
        <v>0</v>
      </c>
      <c r="AA9" s="161">
        <f t="shared" si="24"/>
        <v>0</v>
      </c>
      <c r="AB9" s="161">
        <f t="shared" si="24"/>
        <v>0</v>
      </c>
      <c r="AC9" s="161">
        <f t="shared" si="24"/>
        <v>0</v>
      </c>
      <c r="AD9" s="161">
        <f t="shared" si="24"/>
        <v>0</v>
      </c>
      <c r="AE9" s="161">
        <f t="shared" si="24"/>
        <v>0</v>
      </c>
      <c r="AF9" s="161">
        <f t="shared" si="22"/>
        <v>0</v>
      </c>
      <c r="AG9" s="161">
        <f t="shared" si="22"/>
        <v>0</v>
      </c>
      <c r="AH9" s="161">
        <f t="shared" si="22"/>
        <v>0</v>
      </c>
      <c r="AI9" s="161">
        <f t="shared" ref="AI9:AR9" si="25">AI54/$M$1*$E$2</f>
        <v>0</v>
      </c>
      <c r="AJ9" s="161">
        <f t="shared" si="25"/>
        <v>0</v>
      </c>
      <c r="AK9" s="161">
        <f t="shared" si="25"/>
        <v>0</v>
      </c>
      <c r="AL9" s="161">
        <f t="shared" si="25"/>
        <v>0</v>
      </c>
      <c r="AM9" s="161">
        <f t="shared" si="25"/>
        <v>0</v>
      </c>
      <c r="AN9" s="161">
        <f t="shared" si="25"/>
        <v>0</v>
      </c>
      <c r="AO9" s="161">
        <f t="shared" si="25"/>
        <v>0</v>
      </c>
      <c r="AP9" s="161">
        <f t="shared" si="25"/>
        <v>0</v>
      </c>
      <c r="AQ9" s="161">
        <f t="shared" si="25"/>
        <v>0</v>
      </c>
      <c r="AR9" s="161">
        <f t="shared" si="25"/>
        <v>0</v>
      </c>
    </row>
    <row r="10" spans="1:69" ht="13.5" hidden="1" outlineLevel="1" thickBot="1">
      <c r="A10" s="159" t="s">
        <v>25</v>
      </c>
      <c r="B10" s="165" t="s">
        <v>126</v>
      </c>
      <c r="C10" s="54" t="s">
        <v>24</v>
      </c>
      <c r="D10" s="70" t="s">
        <v>49</v>
      </c>
      <c r="E10" s="160">
        <v>0</v>
      </c>
      <c r="F10" s="160">
        <v>0</v>
      </c>
      <c r="G10" s="160">
        <v>223967.2145</v>
      </c>
      <c r="H10" s="160">
        <v>652307.71911510383</v>
      </c>
      <c r="I10" s="160">
        <v>542746.43033011002</v>
      </c>
      <c r="J10" s="160">
        <v>573809.65979659045</v>
      </c>
      <c r="K10" s="160">
        <v>607285.61253340822</v>
      </c>
      <c r="L10" s="160">
        <v>357597.43583069346</v>
      </c>
      <c r="M10" s="160">
        <v>5393975.0220325543</v>
      </c>
      <c r="N10" s="160">
        <v>4237495.8560576476</v>
      </c>
      <c r="O10" s="160">
        <v>3800068.0023640287</v>
      </c>
      <c r="P10" s="161">
        <f t="shared" si="24"/>
        <v>7166098.9682265297</v>
      </c>
      <c r="Q10" s="161">
        <f t="shared" si="22"/>
        <v>6896639.1713438733</v>
      </c>
      <c r="R10" s="161">
        <f t="shared" si="22"/>
        <v>6941695.805103736</v>
      </c>
      <c r="S10" s="161">
        <f t="shared" si="22"/>
        <v>7215722.9701909088</v>
      </c>
      <c r="T10" s="161">
        <f t="shared" si="22"/>
        <v>7183281.9588850709</v>
      </c>
      <c r="U10" s="161">
        <f t="shared" si="22"/>
        <v>7788485.7070131246</v>
      </c>
      <c r="V10" s="161">
        <f t="shared" si="22"/>
        <v>5658989.2151363846</v>
      </c>
      <c r="W10" s="161">
        <f t="shared" si="22"/>
        <v>5008523.493655785</v>
      </c>
      <c r="X10" s="161">
        <f t="shared" si="22"/>
        <v>5215532.2255831072</v>
      </c>
      <c r="Y10" s="161">
        <f t="shared" si="22"/>
        <v>3258340.8998130434</v>
      </c>
      <c r="Z10" s="161">
        <f t="shared" si="22"/>
        <v>1566936.3748711778</v>
      </c>
      <c r="AA10" s="161">
        <f t="shared" si="22"/>
        <v>1552908.932265861</v>
      </c>
      <c r="AB10" s="161">
        <f t="shared" si="22"/>
        <v>1545987.9012736934</v>
      </c>
      <c r="AC10" s="161">
        <f t="shared" si="22"/>
        <v>1539950.5473044426</v>
      </c>
      <c r="AD10" s="161">
        <f t="shared" si="22"/>
        <v>1534939.9322457467</v>
      </c>
      <c r="AE10" s="161">
        <f t="shared" si="22"/>
        <v>1531159.5358258395</v>
      </c>
      <c r="AF10" s="161">
        <f t="shared" si="22"/>
        <v>1527806.8841935082</v>
      </c>
      <c r="AG10" s="161">
        <f t="shared" si="22"/>
        <v>1525671.2425494401</v>
      </c>
      <c r="AH10" s="161">
        <f t="shared" si="22"/>
        <v>1523882.5943313984</v>
      </c>
      <c r="AI10" s="161">
        <f t="shared" ref="AI10:AR10" si="26">AI55/$M$1*$E$2</f>
        <v>1522586.4924710684</v>
      </c>
      <c r="AJ10" s="161">
        <f t="shared" si="26"/>
        <v>1522047.039084475</v>
      </c>
      <c r="AK10" s="161">
        <f t="shared" si="26"/>
        <v>1521811.3048619668</v>
      </c>
      <c r="AL10" s="161">
        <f t="shared" si="26"/>
        <v>1521916.4858811803</v>
      </c>
      <c r="AM10" s="161">
        <f t="shared" si="26"/>
        <v>1522763.0729472062</v>
      </c>
      <c r="AN10" s="161">
        <f t="shared" si="26"/>
        <v>1523589.2863392448</v>
      </c>
      <c r="AO10" s="161">
        <f t="shared" si="26"/>
        <v>1524718.9517753324</v>
      </c>
      <c r="AP10" s="161">
        <f t="shared" si="26"/>
        <v>1525595.5871806054</v>
      </c>
      <c r="AQ10" s="161">
        <f t="shared" si="26"/>
        <v>1526759.6660223869</v>
      </c>
      <c r="AR10" s="161">
        <f t="shared" si="26"/>
        <v>1528259.2533698031</v>
      </c>
    </row>
    <row r="11" spans="1:69" ht="13.5" hidden="1" outlineLevel="1" thickBot="1">
      <c r="A11" s="159" t="s">
        <v>10</v>
      </c>
      <c r="B11" s="159" t="s">
        <v>26</v>
      </c>
      <c r="C11" s="54" t="s">
        <v>24</v>
      </c>
      <c r="D11" s="70" t="s">
        <v>26</v>
      </c>
      <c r="E11" s="160">
        <v>155848.57344775368</v>
      </c>
      <c r="F11" s="160">
        <v>290470.02493707597</v>
      </c>
      <c r="G11" s="160">
        <v>588038.57324413338</v>
      </c>
      <c r="H11" s="160">
        <v>1075079.9285243603</v>
      </c>
      <c r="I11" s="160">
        <v>1207475.3821402513</v>
      </c>
      <c r="J11" s="160">
        <v>1223250.2156746923</v>
      </c>
      <c r="K11" s="160">
        <v>1239295.8958059708</v>
      </c>
      <c r="L11" s="160">
        <v>1251911.2190519627</v>
      </c>
      <c r="M11" s="160">
        <v>2021496.1681087764</v>
      </c>
      <c r="N11" s="160">
        <v>2021496.1681087764</v>
      </c>
      <c r="O11" s="160">
        <v>1910572.0642768852</v>
      </c>
      <c r="P11" s="161">
        <f>P56/$M$1*$E$2</f>
        <v>2489084.7763727787</v>
      </c>
      <c r="Q11" s="161">
        <f t="shared" si="22"/>
        <v>2539826.3827970191</v>
      </c>
      <c r="R11" s="161">
        <f t="shared" si="22"/>
        <v>2593570.8499842519</v>
      </c>
      <c r="S11" s="161">
        <f t="shared" si="22"/>
        <v>2671942.1990060979</v>
      </c>
      <c r="T11" s="161">
        <f t="shared" si="22"/>
        <v>2894010.5062257587</v>
      </c>
      <c r="U11" s="161">
        <f t="shared" si="22"/>
        <v>2975495.2992028478</v>
      </c>
      <c r="V11" s="161">
        <f t="shared" si="22"/>
        <v>2892185.3946654932</v>
      </c>
      <c r="W11" s="161">
        <f t="shared" si="22"/>
        <v>2910353.8967056894</v>
      </c>
      <c r="X11" s="161">
        <f t="shared" si="22"/>
        <v>2729972.0787065313</v>
      </c>
      <c r="Y11" s="161">
        <f t="shared" si="22"/>
        <v>2730434.4330296875</v>
      </c>
      <c r="Z11" s="161">
        <f t="shared" si="22"/>
        <v>2563984.2504772251</v>
      </c>
      <c r="AA11" s="161">
        <f t="shared" si="22"/>
        <v>2334441.0363285812</v>
      </c>
      <c r="AB11" s="161">
        <f t="shared" si="22"/>
        <v>2211085.5954193487</v>
      </c>
      <c r="AC11" s="161">
        <f t="shared" si="22"/>
        <v>2098137.2910257471</v>
      </c>
      <c r="AD11" s="161">
        <f t="shared" si="22"/>
        <v>1990873.7551702166</v>
      </c>
      <c r="AE11" s="161">
        <f t="shared" si="22"/>
        <v>1892462.9469331002</v>
      </c>
      <c r="AF11" s="161">
        <f t="shared" si="22"/>
        <v>1800668.3779288584</v>
      </c>
      <c r="AG11" s="161">
        <f t="shared" si="22"/>
        <v>1715331.3989242383</v>
      </c>
      <c r="AH11" s="161">
        <f t="shared" si="22"/>
        <v>1636131.4285598665</v>
      </c>
      <c r="AI11" s="161">
        <f t="shared" ref="AI11:AR11" si="27">AI56/$M$1*$E$2</f>
        <v>1561925.8472947988</v>
      </c>
      <c r="AJ11" s="161">
        <f t="shared" si="27"/>
        <v>1493781.0247439651</v>
      </c>
      <c r="AK11" s="161">
        <f t="shared" si="27"/>
        <v>1429189.6384837632</v>
      </c>
      <c r="AL11" s="161">
        <f t="shared" si="27"/>
        <v>1369963.3092878039</v>
      </c>
      <c r="AM11" s="161">
        <f t="shared" si="27"/>
        <v>1315267.0925615877</v>
      </c>
      <c r="AN11" s="161">
        <f t="shared" si="27"/>
        <v>1263885.9817979787</v>
      </c>
      <c r="AO11" s="161">
        <f t="shared" si="27"/>
        <v>1215861.8441143173</v>
      </c>
      <c r="AP11" s="161">
        <f t="shared" si="27"/>
        <v>1170753.9719203124</v>
      </c>
      <c r="AQ11" s="161">
        <f t="shared" si="27"/>
        <v>1128440.3517743906</v>
      </c>
      <c r="AR11" s="161">
        <f t="shared" si="27"/>
        <v>1089666.9396760217</v>
      </c>
    </row>
    <row r="12" spans="1:69" ht="13.5" hidden="1" outlineLevel="1" thickBot="1">
      <c r="A12" s="159"/>
      <c r="B12" s="159" t="s">
        <v>27</v>
      </c>
      <c r="C12" s="54" t="s">
        <v>24</v>
      </c>
      <c r="D12" s="70" t="s">
        <v>121</v>
      </c>
      <c r="E12" s="160">
        <v>64686.979303382133</v>
      </c>
      <c r="F12" s="160">
        <v>114504.69793804453</v>
      </c>
      <c r="G12" s="160">
        <v>193959.25240832509</v>
      </c>
      <c r="H12" s="160">
        <v>254860.27446987515</v>
      </c>
      <c r="I12" s="160">
        <v>249037.08193032144</v>
      </c>
      <c r="J12" s="160">
        <v>253419.34264173303</v>
      </c>
      <c r="K12" s="160">
        <v>257704.73237662474</v>
      </c>
      <c r="L12" s="160">
        <v>261181.57499993203</v>
      </c>
      <c r="M12" s="160">
        <v>720369.18005768443</v>
      </c>
      <c r="N12" s="160">
        <v>720369.18005768443</v>
      </c>
      <c r="O12" s="160">
        <v>684350.7210548002</v>
      </c>
      <c r="P12" s="161">
        <f t="shared" si="24"/>
        <v>524125.91095313168</v>
      </c>
      <c r="Q12" s="161">
        <f t="shared" si="22"/>
        <v>534150.12882806046</v>
      </c>
      <c r="R12" s="161">
        <f t="shared" si="22"/>
        <v>544661.98553156911</v>
      </c>
      <c r="S12" s="161">
        <f t="shared" si="22"/>
        <v>560519.03324620042</v>
      </c>
      <c r="T12" s="161">
        <f t="shared" si="22"/>
        <v>654614.38067937479</v>
      </c>
      <c r="U12" s="161">
        <f t="shared" si="22"/>
        <v>729910.04827854247</v>
      </c>
      <c r="V12" s="161">
        <f t="shared" si="22"/>
        <v>821346.94554115261</v>
      </c>
      <c r="W12" s="161">
        <f t="shared" si="22"/>
        <v>956366.20122463105</v>
      </c>
      <c r="X12" s="161">
        <f t="shared" si="22"/>
        <v>904192.60507065686</v>
      </c>
      <c r="Y12" s="161">
        <f t="shared" si="22"/>
        <v>978038.40295089548</v>
      </c>
      <c r="Z12" s="161">
        <f t="shared" si="22"/>
        <v>960092.692876352</v>
      </c>
      <c r="AA12" s="161">
        <f t="shared" si="22"/>
        <v>948448.09642664425</v>
      </c>
      <c r="AB12" s="161">
        <f t="shared" si="22"/>
        <v>923955.47724876076</v>
      </c>
      <c r="AC12" s="161">
        <f t="shared" si="22"/>
        <v>927002.97802723513</v>
      </c>
      <c r="AD12" s="161">
        <f t="shared" si="22"/>
        <v>915092.786668555</v>
      </c>
      <c r="AE12" s="161">
        <f t="shared" si="22"/>
        <v>899038.22757770296</v>
      </c>
      <c r="AF12" s="161">
        <f t="shared" si="22"/>
        <v>889106.53006816527</v>
      </c>
      <c r="AG12" s="161">
        <f t="shared" si="22"/>
        <v>881011.35938444978</v>
      </c>
      <c r="AH12" s="161">
        <f t="shared" si="22"/>
        <v>879972.47282183182</v>
      </c>
      <c r="AI12" s="161">
        <f t="shared" ref="AI12:AR12" si="28">AI57/$M$1*$E$2</f>
        <v>946679.4099592953</v>
      </c>
      <c r="AJ12" s="161">
        <f t="shared" si="28"/>
        <v>1024524.2294998905</v>
      </c>
      <c r="AK12" s="161">
        <f t="shared" si="28"/>
        <v>1055081.7707052787</v>
      </c>
      <c r="AL12" s="161">
        <f t="shared" si="28"/>
        <v>1173929.4114361699</v>
      </c>
      <c r="AM12" s="161">
        <f t="shared" si="28"/>
        <v>1118764.2941189343</v>
      </c>
      <c r="AN12" s="161">
        <f t="shared" si="28"/>
        <v>1169085.1125719955</v>
      </c>
      <c r="AO12" s="161">
        <f t="shared" si="28"/>
        <v>1149991.5227596073</v>
      </c>
      <c r="AP12" s="161">
        <f t="shared" si="28"/>
        <v>1136968.9792861261</v>
      </c>
      <c r="AQ12" s="161">
        <f t="shared" si="28"/>
        <v>1107785.4675032787</v>
      </c>
      <c r="AR12" s="161">
        <f t="shared" si="28"/>
        <v>1105702.249427716</v>
      </c>
    </row>
    <row r="13" spans="1:69" ht="13.5" hidden="1" outlineLevel="1" thickBot="1">
      <c r="A13" s="159" t="s">
        <v>28</v>
      </c>
      <c r="B13" s="159" t="s">
        <v>26</v>
      </c>
      <c r="C13" s="54" t="s">
        <v>24</v>
      </c>
      <c r="D13" s="70" t="s">
        <v>26</v>
      </c>
      <c r="E13" s="160">
        <v>126231.33064109038</v>
      </c>
      <c r="F13" s="160">
        <v>159935.80890609877</v>
      </c>
      <c r="G13" s="160">
        <v>476274.6650065133</v>
      </c>
      <c r="H13" s="160">
        <v>318783.89176086854</v>
      </c>
      <c r="I13" s="160">
        <v>258585.8443867765</v>
      </c>
      <c r="J13" s="160">
        <v>282115.17405732744</v>
      </c>
      <c r="K13" s="160">
        <v>163323.28549151111</v>
      </c>
      <c r="L13" s="160">
        <v>123739.36732817689</v>
      </c>
      <c r="M13" s="160">
        <v>139713.37124021427</v>
      </c>
      <c r="N13" s="160">
        <v>91762.602389781634</v>
      </c>
      <c r="O13" s="160">
        <v>44688.388957560775</v>
      </c>
      <c r="P13" s="161">
        <f t="shared" si="24"/>
        <v>335846.55817835394</v>
      </c>
      <c r="Q13" s="161">
        <f t="shared" si="22"/>
        <v>336400.91303752235</v>
      </c>
      <c r="R13" s="161">
        <f t="shared" si="22"/>
        <v>336130.84130340174</v>
      </c>
      <c r="S13" s="161">
        <f t="shared" si="22"/>
        <v>335177.36131641979</v>
      </c>
      <c r="T13" s="161">
        <f t="shared" si="22"/>
        <v>334597.69298106461</v>
      </c>
      <c r="U13" s="161">
        <f t="shared" si="22"/>
        <v>333042.49770811689</v>
      </c>
      <c r="V13" s="161">
        <f t="shared" si="22"/>
        <v>245460.43675896956</v>
      </c>
      <c r="W13" s="161">
        <f t="shared" si="22"/>
        <v>262330.78573371703</v>
      </c>
      <c r="X13" s="161">
        <f t="shared" si="22"/>
        <v>269821.43491639622</v>
      </c>
      <c r="Y13" s="161">
        <f t="shared" si="22"/>
        <v>279130.87049994967</v>
      </c>
      <c r="Z13" s="161">
        <f t="shared" si="22"/>
        <v>254856.88235809602</v>
      </c>
      <c r="AA13" s="161">
        <f t="shared" si="22"/>
        <v>231334.23717875019</v>
      </c>
      <c r="AB13" s="161">
        <f t="shared" si="22"/>
        <v>212905.58212136407</v>
      </c>
      <c r="AC13" s="161">
        <f t="shared" si="22"/>
        <v>188004.70579492117</v>
      </c>
      <c r="AD13" s="161">
        <f t="shared" si="22"/>
        <v>171220.19489842464</v>
      </c>
      <c r="AE13" s="161">
        <f t="shared" si="22"/>
        <v>155603.77495422744</v>
      </c>
      <c r="AF13" s="161">
        <f t="shared" si="22"/>
        <v>142271.41122006669</v>
      </c>
      <c r="AG13" s="161">
        <f t="shared" si="22"/>
        <v>131282.60336947124</v>
      </c>
      <c r="AH13" s="161">
        <f t="shared" si="22"/>
        <v>117291.8554318883</v>
      </c>
      <c r="AI13" s="161">
        <f t="shared" ref="AI13:AR13" si="29">AI58/$M$1*$E$2</f>
        <v>107545.99096263561</v>
      </c>
      <c r="AJ13" s="161">
        <f t="shared" si="29"/>
        <v>95539.382316274889</v>
      </c>
      <c r="AK13" s="161">
        <f t="shared" si="29"/>
        <v>89739.348264296859</v>
      </c>
      <c r="AL13" s="161">
        <f t="shared" si="29"/>
        <v>79673.8985260552</v>
      </c>
      <c r="AM13" s="161">
        <f t="shared" si="29"/>
        <v>71822.286630266273</v>
      </c>
      <c r="AN13" s="161">
        <f t="shared" si="29"/>
        <v>65791.348934359965</v>
      </c>
      <c r="AO13" s="161">
        <f t="shared" si="29"/>
        <v>57253.562056661394</v>
      </c>
      <c r="AP13" s="161">
        <f t="shared" si="29"/>
        <v>55649.835097996583</v>
      </c>
      <c r="AQ13" s="161">
        <f t="shared" si="29"/>
        <v>51676.977374936083</v>
      </c>
      <c r="AR13" s="161">
        <f t="shared" si="29"/>
        <v>45302.887426807509</v>
      </c>
    </row>
    <row r="14" spans="1:69" ht="13.5" hidden="1" outlineLevel="1" thickBot="1">
      <c r="A14" s="159"/>
      <c r="B14" s="159" t="s">
        <v>27</v>
      </c>
      <c r="C14" s="54" t="s">
        <v>24</v>
      </c>
      <c r="D14" s="70" t="s">
        <v>121</v>
      </c>
      <c r="E14" s="160">
        <v>147239.78394750127</v>
      </c>
      <c r="F14" s="160">
        <v>257228.4965924492</v>
      </c>
      <c r="G14" s="160">
        <v>454194.6356763544</v>
      </c>
      <c r="H14" s="160">
        <v>87474.434687182555</v>
      </c>
      <c r="I14" s="160">
        <v>61732.499862058918</v>
      </c>
      <c r="J14" s="160">
        <v>67651.010594575317</v>
      </c>
      <c r="K14" s="160">
        <v>39311.432863005859</v>
      </c>
      <c r="L14" s="160">
        <v>29881.354494274132</v>
      </c>
      <c r="M14" s="160">
        <v>99093.793160280184</v>
      </c>
      <c r="N14" s="160">
        <v>59757.173465183361</v>
      </c>
      <c r="O14" s="160">
        <v>25514.934487021015</v>
      </c>
      <c r="P14" s="161">
        <f t="shared" si="24"/>
        <v>176285.2656186239</v>
      </c>
      <c r="Q14" s="161">
        <f t="shared" si="22"/>
        <v>178218.0879569556</v>
      </c>
      <c r="R14" s="161">
        <f t="shared" si="22"/>
        <v>168892.88385720341</v>
      </c>
      <c r="S14" s="161">
        <f t="shared" si="22"/>
        <v>168413.79665390763</v>
      </c>
      <c r="T14" s="161">
        <f t="shared" si="22"/>
        <v>182162.81595396172</v>
      </c>
      <c r="U14" s="161">
        <f t="shared" si="22"/>
        <v>189574.87097557259</v>
      </c>
      <c r="V14" s="161">
        <f t="shared" si="22"/>
        <v>188546.97859954208</v>
      </c>
      <c r="W14" s="161">
        <f t="shared" si="22"/>
        <v>216832.75066064138</v>
      </c>
      <c r="X14" s="161">
        <f t="shared" si="22"/>
        <v>188688.37877577377</v>
      </c>
      <c r="Y14" s="161">
        <f t="shared" si="22"/>
        <v>196830.01500684005</v>
      </c>
      <c r="Z14" s="161">
        <f t="shared" si="22"/>
        <v>184301.19077906088</v>
      </c>
      <c r="AA14" s="161">
        <f t="shared" si="22"/>
        <v>181703.55041484308</v>
      </c>
      <c r="AB14" s="161">
        <f t="shared" si="22"/>
        <v>153280.47802053424</v>
      </c>
      <c r="AC14" s="161">
        <f t="shared" si="22"/>
        <v>150344.38918865507</v>
      </c>
      <c r="AD14" s="161">
        <f t="shared" si="22"/>
        <v>130402.72002064598</v>
      </c>
      <c r="AE14" s="161">
        <f t="shared" si="22"/>
        <v>118597.37795653859</v>
      </c>
      <c r="AF14" s="161">
        <f t="shared" si="22"/>
        <v>114929.88250735184</v>
      </c>
      <c r="AG14" s="161">
        <f t="shared" si="22"/>
        <v>103940.23656753628</v>
      </c>
      <c r="AH14" s="161">
        <f t="shared" si="22"/>
        <v>96173.667753739443</v>
      </c>
      <c r="AI14" s="161">
        <f t="shared" ref="AI14:AR14" si="30">AI59/$M$1*$E$2</f>
        <v>103405.58830969397</v>
      </c>
      <c r="AJ14" s="161">
        <f t="shared" si="30"/>
        <v>102509.3794776858</v>
      </c>
      <c r="AK14" s="161">
        <f t="shared" si="30"/>
        <v>118619.58527849089</v>
      </c>
      <c r="AL14" s="161">
        <f t="shared" si="30"/>
        <v>136105.37377665081</v>
      </c>
      <c r="AM14" s="161">
        <f t="shared" si="30"/>
        <v>98176.046968980358</v>
      </c>
      <c r="AN14" s="161">
        <f t="shared" si="30"/>
        <v>97772.689838762308</v>
      </c>
      <c r="AO14" s="161">
        <f t="shared" si="30"/>
        <v>89588.351210615248</v>
      </c>
      <c r="AP14" s="161">
        <f t="shared" si="30"/>
        <v>95422.063003000076</v>
      </c>
      <c r="AQ14" s="161">
        <f t="shared" si="30"/>
        <v>75826.861653467451</v>
      </c>
      <c r="AR14" s="161">
        <f t="shared" si="30"/>
        <v>83573.747216635384</v>
      </c>
    </row>
    <row r="15" spans="1:69" ht="13.5" hidden="1" outlineLevel="1" thickBot="1">
      <c r="A15" s="159" t="s">
        <v>29</v>
      </c>
      <c r="B15" s="159" t="s">
        <v>26</v>
      </c>
      <c r="C15" s="54" t="s">
        <v>24</v>
      </c>
      <c r="D15" s="70" t="s">
        <v>26</v>
      </c>
      <c r="E15" s="160">
        <v>10776.11913175164</v>
      </c>
      <c r="F15" s="160">
        <v>74502.023543078423</v>
      </c>
      <c r="G15" s="160">
        <v>203422.60109625667</v>
      </c>
      <c r="H15" s="160">
        <v>253476.55331323601</v>
      </c>
      <c r="I15" s="160">
        <v>227163.82311733722</v>
      </c>
      <c r="J15" s="160">
        <v>113437.22476295715</v>
      </c>
      <c r="K15" s="160">
        <v>84543.988629387663</v>
      </c>
      <c r="L15" s="160">
        <v>17080.919613584025</v>
      </c>
      <c r="M15" s="160">
        <v>0</v>
      </c>
      <c r="N15" s="160">
        <v>0</v>
      </c>
      <c r="O15" s="160">
        <v>0</v>
      </c>
      <c r="P15" s="161">
        <f t="shared" si="24"/>
        <v>0</v>
      </c>
      <c r="Q15" s="161">
        <f t="shared" si="22"/>
        <v>0</v>
      </c>
      <c r="R15" s="161">
        <f t="shared" si="22"/>
        <v>0</v>
      </c>
      <c r="S15" s="161">
        <f t="shared" si="22"/>
        <v>0</v>
      </c>
      <c r="T15" s="161">
        <f t="shared" si="22"/>
        <v>0</v>
      </c>
      <c r="U15" s="161">
        <f t="shared" si="22"/>
        <v>0</v>
      </c>
      <c r="V15" s="161">
        <f t="shared" si="22"/>
        <v>0</v>
      </c>
      <c r="W15" s="161">
        <f t="shared" si="22"/>
        <v>0</v>
      </c>
      <c r="X15" s="161">
        <f t="shared" si="22"/>
        <v>0</v>
      </c>
      <c r="Y15" s="161">
        <f t="shared" si="22"/>
        <v>0</v>
      </c>
      <c r="Z15" s="161">
        <f t="shared" si="22"/>
        <v>0</v>
      </c>
      <c r="AA15" s="161">
        <f t="shared" si="22"/>
        <v>0</v>
      </c>
      <c r="AB15" s="161">
        <f t="shared" si="22"/>
        <v>0</v>
      </c>
      <c r="AC15" s="161">
        <f t="shared" si="22"/>
        <v>0</v>
      </c>
      <c r="AD15" s="161">
        <f t="shared" si="22"/>
        <v>0</v>
      </c>
      <c r="AE15" s="161">
        <f t="shared" si="22"/>
        <v>0</v>
      </c>
      <c r="AF15" s="161">
        <f t="shared" si="22"/>
        <v>0</v>
      </c>
      <c r="AG15" s="161">
        <f t="shared" si="22"/>
        <v>0</v>
      </c>
      <c r="AH15" s="161">
        <f t="shared" si="22"/>
        <v>0</v>
      </c>
      <c r="AI15" s="161">
        <f t="shared" ref="AI15:AR15" si="31">AI60/$M$1*$E$2</f>
        <v>0</v>
      </c>
      <c r="AJ15" s="161">
        <f t="shared" si="31"/>
        <v>0</v>
      </c>
      <c r="AK15" s="161">
        <f t="shared" si="31"/>
        <v>0</v>
      </c>
      <c r="AL15" s="161">
        <f t="shared" si="31"/>
        <v>0</v>
      </c>
      <c r="AM15" s="161">
        <f t="shared" si="31"/>
        <v>0</v>
      </c>
      <c r="AN15" s="161">
        <f t="shared" si="31"/>
        <v>0</v>
      </c>
      <c r="AO15" s="161">
        <f t="shared" si="31"/>
        <v>0</v>
      </c>
      <c r="AP15" s="161">
        <f t="shared" si="31"/>
        <v>0</v>
      </c>
      <c r="AQ15" s="161">
        <f t="shared" si="31"/>
        <v>0</v>
      </c>
      <c r="AR15" s="161">
        <f t="shared" si="31"/>
        <v>0</v>
      </c>
    </row>
    <row r="16" spans="1:69" ht="13.5" hidden="1" outlineLevel="1" thickBot="1">
      <c r="A16" s="159"/>
      <c r="B16" s="159" t="s">
        <v>27</v>
      </c>
      <c r="C16" s="54" t="s">
        <v>24</v>
      </c>
      <c r="D16" s="70" t="s">
        <v>121</v>
      </c>
      <c r="E16" s="160">
        <v>139516.47551741544</v>
      </c>
      <c r="F16" s="160">
        <v>254560.39100677639</v>
      </c>
      <c r="G16" s="160">
        <v>606396.96677496401</v>
      </c>
      <c r="H16" s="160">
        <v>184407.09931451353</v>
      </c>
      <c r="I16" s="160">
        <v>139939.78312399564</v>
      </c>
      <c r="J16" s="160">
        <v>76816.191635921568</v>
      </c>
      <c r="K16" s="160">
        <v>64296.385227626684</v>
      </c>
      <c r="L16" s="160">
        <v>13032.768941170691</v>
      </c>
      <c r="M16" s="160">
        <v>0</v>
      </c>
      <c r="N16" s="160">
        <v>0</v>
      </c>
      <c r="O16" s="160">
        <v>0</v>
      </c>
      <c r="P16" s="161">
        <f t="shared" si="24"/>
        <v>0</v>
      </c>
      <c r="Q16" s="161">
        <f t="shared" si="22"/>
        <v>0</v>
      </c>
      <c r="R16" s="161">
        <f t="shared" si="22"/>
        <v>0</v>
      </c>
      <c r="S16" s="161">
        <f t="shared" si="22"/>
        <v>0</v>
      </c>
      <c r="T16" s="161">
        <f t="shared" si="22"/>
        <v>0</v>
      </c>
      <c r="U16" s="161">
        <f t="shared" si="22"/>
        <v>0</v>
      </c>
      <c r="V16" s="161">
        <f t="shared" si="22"/>
        <v>0</v>
      </c>
      <c r="W16" s="161">
        <f t="shared" si="22"/>
        <v>0</v>
      </c>
      <c r="X16" s="161">
        <f t="shared" si="22"/>
        <v>0</v>
      </c>
      <c r="Y16" s="161">
        <f t="shared" si="22"/>
        <v>0</v>
      </c>
      <c r="Z16" s="161">
        <f t="shared" si="22"/>
        <v>0</v>
      </c>
      <c r="AA16" s="161">
        <f t="shared" si="22"/>
        <v>0</v>
      </c>
      <c r="AB16" s="161">
        <f t="shared" si="22"/>
        <v>0</v>
      </c>
      <c r="AC16" s="161">
        <f t="shared" si="22"/>
        <v>0</v>
      </c>
      <c r="AD16" s="161">
        <f t="shared" si="22"/>
        <v>0</v>
      </c>
      <c r="AE16" s="161">
        <f t="shared" si="22"/>
        <v>0</v>
      </c>
      <c r="AF16" s="161">
        <f t="shared" si="22"/>
        <v>0</v>
      </c>
      <c r="AG16" s="161">
        <f t="shared" si="22"/>
        <v>0</v>
      </c>
      <c r="AH16" s="161">
        <f t="shared" si="22"/>
        <v>0</v>
      </c>
      <c r="AI16" s="161">
        <f t="shared" ref="AI16:AR16" si="32">AI61/$M$1*$E$2</f>
        <v>0</v>
      </c>
      <c r="AJ16" s="161">
        <f t="shared" si="32"/>
        <v>0</v>
      </c>
      <c r="AK16" s="161">
        <f t="shared" si="32"/>
        <v>0</v>
      </c>
      <c r="AL16" s="161">
        <f t="shared" si="32"/>
        <v>0</v>
      </c>
      <c r="AM16" s="161">
        <f t="shared" si="32"/>
        <v>0</v>
      </c>
      <c r="AN16" s="161">
        <f t="shared" si="32"/>
        <v>0</v>
      </c>
      <c r="AO16" s="161">
        <f t="shared" si="32"/>
        <v>0</v>
      </c>
      <c r="AP16" s="161">
        <f t="shared" si="32"/>
        <v>0</v>
      </c>
      <c r="AQ16" s="161">
        <f t="shared" si="32"/>
        <v>0</v>
      </c>
      <c r="AR16" s="161">
        <f t="shared" si="32"/>
        <v>0</v>
      </c>
    </row>
    <row r="17" spans="1:44" ht="13.5" hidden="1" outlineLevel="1" thickBot="1">
      <c r="A17" s="159" t="s">
        <v>30</v>
      </c>
      <c r="B17" s="165" t="s">
        <v>127</v>
      </c>
      <c r="C17" s="54" t="s">
        <v>24</v>
      </c>
      <c r="D17" s="70" t="s">
        <v>121</v>
      </c>
      <c r="E17" s="160">
        <v>15000</v>
      </c>
      <c r="F17" s="160">
        <v>33000</v>
      </c>
      <c r="G17" s="160">
        <v>115500</v>
      </c>
      <c r="H17" s="160">
        <v>17349.993662346264</v>
      </c>
      <c r="I17" s="160">
        <v>11891.418733192708</v>
      </c>
      <c r="J17" s="160">
        <v>5232.2242426047924</v>
      </c>
      <c r="K17" s="160">
        <v>0</v>
      </c>
      <c r="L17" s="160">
        <v>0</v>
      </c>
      <c r="M17" s="160">
        <v>19921.714050267823</v>
      </c>
      <c r="N17" s="160">
        <v>19921.714050267823</v>
      </c>
      <c r="O17" s="160">
        <v>7968.6856201071287</v>
      </c>
      <c r="P17" s="161">
        <f t="shared" si="24"/>
        <v>14264.312761165051</v>
      </c>
      <c r="Q17" s="161">
        <f t="shared" si="22"/>
        <v>27712.214648543693</v>
      </c>
      <c r="R17" s="161">
        <f t="shared" si="22"/>
        <v>31576.819821359222</v>
      </c>
      <c r="S17" s="161">
        <f t="shared" si="22"/>
        <v>35245.426299029124</v>
      </c>
      <c r="T17" s="161">
        <f t="shared" si="22"/>
        <v>33020.793040776698</v>
      </c>
      <c r="U17" s="161">
        <f t="shared" si="22"/>
        <v>100485.99088932038</v>
      </c>
      <c r="V17" s="161">
        <f t="shared" si="22"/>
        <v>16719.053365811396</v>
      </c>
      <c r="W17" s="161">
        <f t="shared" si="22"/>
        <v>16824.081264696153</v>
      </c>
      <c r="X17" s="161">
        <f t="shared" si="22"/>
        <v>16824.73499462134</v>
      </c>
      <c r="Y17" s="161">
        <f t="shared" si="22"/>
        <v>17300.310337784482</v>
      </c>
      <c r="Z17" s="161">
        <f t="shared" si="22"/>
        <v>17244.83798861007</v>
      </c>
      <c r="AA17" s="161">
        <f t="shared" si="22"/>
        <v>17396.199147332474</v>
      </c>
      <c r="AB17" s="161">
        <f t="shared" si="22"/>
        <v>17493.589986598327</v>
      </c>
      <c r="AC17" s="161">
        <f t="shared" si="22"/>
        <v>17597.558900355416</v>
      </c>
      <c r="AD17" s="161">
        <f t="shared" si="22"/>
        <v>17696.785683425063</v>
      </c>
      <c r="AE17" s="161">
        <f t="shared" si="22"/>
        <v>17799.073962091094</v>
      </c>
      <c r="AF17" s="161">
        <f t="shared" si="22"/>
        <v>17895.15858198583</v>
      </c>
      <c r="AG17" s="161">
        <f t="shared" si="22"/>
        <v>17995.764190454196</v>
      </c>
      <c r="AH17" s="161">
        <f t="shared" si="22"/>
        <v>18096.81917402098</v>
      </c>
      <c r="AI17" s="161">
        <f t="shared" ref="AI17:AR17" si="33">AI62/$M$1*$E$2</f>
        <v>18192.085215038191</v>
      </c>
      <c r="AJ17" s="161">
        <f t="shared" si="33"/>
        <v>18292.40569394354</v>
      </c>
      <c r="AK17" s="161">
        <f t="shared" si="33"/>
        <v>18383.704444148992</v>
      </c>
      <c r="AL17" s="161">
        <f t="shared" si="33"/>
        <v>18478.102456921046</v>
      </c>
      <c r="AM17" s="161">
        <f t="shared" si="33"/>
        <v>18573.399728144977</v>
      </c>
      <c r="AN17" s="161">
        <f t="shared" si="33"/>
        <v>18661.531601768282</v>
      </c>
      <c r="AO17" s="161">
        <f t="shared" si="33"/>
        <v>18752.594839788308</v>
      </c>
      <c r="AP17" s="161">
        <f t="shared" si="33"/>
        <v>18827.043820858133</v>
      </c>
      <c r="AQ17" s="161">
        <f t="shared" si="33"/>
        <v>18904.779672706271</v>
      </c>
      <c r="AR17" s="161">
        <f t="shared" si="33"/>
        <v>18985.489445992887</v>
      </c>
    </row>
    <row r="18" spans="1:44" ht="13.5" hidden="1" outlineLevel="1" thickBot="1">
      <c r="A18" s="159" t="s">
        <v>31</v>
      </c>
      <c r="B18" s="159" t="s">
        <v>32</v>
      </c>
      <c r="C18" s="54" t="s">
        <v>24</v>
      </c>
      <c r="D18" s="70" t="s">
        <v>13</v>
      </c>
      <c r="E18" s="160">
        <v>313181</v>
      </c>
      <c r="F18" s="160">
        <v>54621</v>
      </c>
      <c r="G18" s="160">
        <v>600000</v>
      </c>
      <c r="H18" s="160">
        <v>44487.163236785294</v>
      </c>
      <c r="I18" s="160">
        <v>44042.291604417442</v>
      </c>
      <c r="J18" s="160">
        <v>479620.55557210592</v>
      </c>
      <c r="K18" s="160">
        <v>43165.85000148954</v>
      </c>
      <c r="L18" s="160">
        <v>42734.191501474641</v>
      </c>
      <c r="M18" s="160">
        <v>97217.964565306975</v>
      </c>
      <c r="N18" s="160">
        <v>17531.108364235683</v>
      </c>
      <c r="O18" s="160">
        <v>16734.239802224969</v>
      </c>
      <c r="P18" s="161">
        <f t="shared" si="24"/>
        <v>423455.42371743661</v>
      </c>
      <c r="Q18" s="161">
        <f t="shared" si="22"/>
        <v>85474.84119316467</v>
      </c>
      <c r="R18" s="161">
        <f t="shared" si="22"/>
        <v>85474.84119316467</v>
      </c>
      <c r="S18" s="161">
        <f t="shared" si="22"/>
        <v>85474.84119316467</v>
      </c>
      <c r="T18" s="161">
        <f t="shared" si="22"/>
        <v>85474.84119316467</v>
      </c>
      <c r="U18" s="161">
        <f t="shared" si="22"/>
        <v>85474.84119316467</v>
      </c>
      <c r="V18" s="161">
        <f t="shared" si="22"/>
        <v>0</v>
      </c>
      <c r="W18" s="161">
        <f t="shared" si="22"/>
        <v>0</v>
      </c>
      <c r="X18" s="161">
        <f t="shared" si="22"/>
        <v>0</v>
      </c>
      <c r="Y18" s="161">
        <f t="shared" si="22"/>
        <v>0</v>
      </c>
      <c r="Z18" s="161">
        <f t="shared" si="22"/>
        <v>0</v>
      </c>
      <c r="AA18" s="161">
        <f t="shared" si="22"/>
        <v>0</v>
      </c>
      <c r="AB18" s="161">
        <f t="shared" si="22"/>
        <v>0</v>
      </c>
      <c r="AC18" s="161">
        <f t="shared" si="22"/>
        <v>0</v>
      </c>
      <c r="AD18" s="161">
        <f t="shared" si="22"/>
        <v>0</v>
      </c>
      <c r="AE18" s="161">
        <f t="shared" si="22"/>
        <v>0</v>
      </c>
      <c r="AF18" s="161">
        <f t="shared" si="22"/>
        <v>0</v>
      </c>
      <c r="AG18" s="161">
        <f t="shared" si="22"/>
        <v>0</v>
      </c>
      <c r="AH18" s="161">
        <f t="shared" si="22"/>
        <v>0</v>
      </c>
      <c r="AI18" s="161">
        <f t="shared" ref="AI18:AR18" si="34">AI63/$M$1*$E$2</f>
        <v>0</v>
      </c>
      <c r="AJ18" s="161">
        <f t="shared" si="34"/>
        <v>0</v>
      </c>
      <c r="AK18" s="161">
        <f t="shared" si="34"/>
        <v>0</v>
      </c>
      <c r="AL18" s="161">
        <f t="shared" si="34"/>
        <v>0</v>
      </c>
      <c r="AM18" s="161">
        <f t="shared" si="34"/>
        <v>0</v>
      </c>
      <c r="AN18" s="161">
        <f t="shared" si="34"/>
        <v>0</v>
      </c>
      <c r="AO18" s="161">
        <f t="shared" si="34"/>
        <v>0</v>
      </c>
      <c r="AP18" s="161">
        <f t="shared" si="34"/>
        <v>0</v>
      </c>
      <c r="AQ18" s="161">
        <f t="shared" si="34"/>
        <v>0</v>
      </c>
      <c r="AR18" s="161">
        <f t="shared" si="34"/>
        <v>0</v>
      </c>
    </row>
    <row r="19" spans="1:44" ht="13.5" hidden="1" outlineLevel="1" thickBot="1">
      <c r="A19" s="159" t="s">
        <v>33</v>
      </c>
      <c r="C19" s="54" t="s">
        <v>24</v>
      </c>
      <c r="D19" s="70" t="s">
        <v>49</v>
      </c>
      <c r="E19" s="160">
        <v>0</v>
      </c>
      <c r="F19" s="160">
        <v>0</v>
      </c>
      <c r="G19" s="160">
        <v>0</v>
      </c>
      <c r="H19" s="160">
        <v>0</v>
      </c>
      <c r="I19" s="160">
        <v>0</v>
      </c>
      <c r="J19" s="160">
        <v>0</v>
      </c>
      <c r="K19" s="160">
        <v>0</v>
      </c>
      <c r="L19" s="160">
        <v>0</v>
      </c>
      <c r="M19" s="160">
        <v>0</v>
      </c>
      <c r="N19" s="160">
        <v>0</v>
      </c>
      <c r="O19" s="160">
        <v>0</v>
      </c>
      <c r="P19" s="161">
        <f t="shared" si="24"/>
        <v>0</v>
      </c>
      <c r="Q19" s="161">
        <f t="shared" si="22"/>
        <v>0</v>
      </c>
      <c r="R19" s="161">
        <f t="shared" si="22"/>
        <v>0</v>
      </c>
      <c r="S19" s="161">
        <f t="shared" si="22"/>
        <v>0</v>
      </c>
      <c r="T19" s="161">
        <f t="shared" si="22"/>
        <v>0</v>
      </c>
      <c r="U19" s="161">
        <f t="shared" si="22"/>
        <v>0</v>
      </c>
      <c r="V19" s="161">
        <f t="shared" si="22"/>
        <v>0</v>
      </c>
      <c r="W19" s="161">
        <f t="shared" si="22"/>
        <v>0</v>
      </c>
      <c r="X19" s="161">
        <f t="shared" si="22"/>
        <v>0</v>
      </c>
      <c r="Y19" s="161">
        <f t="shared" si="22"/>
        <v>0</v>
      </c>
      <c r="Z19" s="161">
        <f t="shared" si="22"/>
        <v>0</v>
      </c>
      <c r="AA19" s="161">
        <f t="shared" si="22"/>
        <v>0</v>
      </c>
      <c r="AB19" s="161">
        <f t="shared" si="22"/>
        <v>0</v>
      </c>
      <c r="AC19" s="161">
        <f t="shared" si="22"/>
        <v>0</v>
      </c>
      <c r="AD19" s="161">
        <f t="shared" si="22"/>
        <v>0</v>
      </c>
      <c r="AE19" s="161">
        <f t="shared" si="22"/>
        <v>0</v>
      </c>
      <c r="AF19" s="161">
        <f t="shared" si="22"/>
        <v>0</v>
      </c>
      <c r="AG19" s="161">
        <f t="shared" si="22"/>
        <v>0</v>
      </c>
      <c r="AH19" s="161">
        <f t="shared" si="22"/>
        <v>0</v>
      </c>
      <c r="AI19" s="161">
        <f t="shared" ref="AI19:AR19" si="35">AI64/$M$1*$E$2</f>
        <v>0</v>
      </c>
      <c r="AJ19" s="161">
        <f t="shared" si="35"/>
        <v>0</v>
      </c>
      <c r="AK19" s="161">
        <f t="shared" si="35"/>
        <v>0</v>
      </c>
      <c r="AL19" s="161">
        <f t="shared" si="35"/>
        <v>0</v>
      </c>
      <c r="AM19" s="161">
        <f t="shared" si="35"/>
        <v>0</v>
      </c>
      <c r="AN19" s="161">
        <f t="shared" si="35"/>
        <v>0</v>
      </c>
      <c r="AO19" s="161">
        <f t="shared" si="35"/>
        <v>0</v>
      </c>
      <c r="AP19" s="161">
        <f t="shared" si="35"/>
        <v>0</v>
      </c>
      <c r="AQ19" s="161">
        <f t="shared" si="35"/>
        <v>0</v>
      </c>
      <c r="AR19" s="161">
        <f t="shared" si="35"/>
        <v>0</v>
      </c>
    </row>
    <row r="20" spans="1:44" ht="13.5" hidden="1" outlineLevel="1" thickBot="1">
      <c r="A20" s="162"/>
      <c r="C20" s="54"/>
      <c r="D20" s="71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  <c r="AL20" s="164"/>
      <c r="AM20" s="164"/>
      <c r="AN20" s="164"/>
      <c r="AO20" s="164"/>
      <c r="AP20" s="164"/>
      <c r="AQ20" s="164"/>
      <c r="AR20" s="164"/>
    </row>
    <row r="21" spans="1:44" ht="13.5" hidden="1" outlineLevel="1" thickBot="1">
      <c r="A21" s="158" t="s">
        <v>89</v>
      </c>
      <c r="C21" s="54"/>
      <c r="D21" s="28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</row>
    <row r="22" spans="1:44" ht="13.5" hidden="1" outlineLevel="1" thickBot="1">
      <c r="A22" s="159"/>
      <c r="B22" s="117"/>
      <c r="C22" s="54"/>
      <c r="D22" s="28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</row>
    <row r="23" spans="1:44" ht="13.5" hidden="1" outlineLevel="1" thickBot="1">
      <c r="A23" s="159" t="s">
        <v>20</v>
      </c>
      <c r="B23" s="159" t="s">
        <v>21</v>
      </c>
      <c r="C23" s="54"/>
      <c r="D23" s="70" t="s">
        <v>49</v>
      </c>
      <c r="E23" s="160">
        <f>E8/$E$2*$K$2</f>
        <v>8687760.9478444885</v>
      </c>
      <c r="F23" s="160">
        <f t="shared" ref="F23:O32" si="36">F8/$E$2*$K$2</f>
        <v>11356006.984534977</v>
      </c>
      <c r="G23" s="160">
        <f t="shared" si="36"/>
        <v>8573275.1474742647</v>
      </c>
      <c r="H23" s="160">
        <f>H8/$E$2*$K$2</f>
        <v>10275393.022679724</v>
      </c>
      <c r="I23" s="160">
        <f t="shared" si="36"/>
        <v>10137364.275683027</v>
      </c>
      <c r="J23" s="160">
        <f>J8/$E$2*$K$2</f>
        <v>6929186.794164652</v>
      </c>
      <c r="K23" s="160">
        <f t="shared" si="36"/>
        <v>5269876.8889483809</v>
      </c>
      <c r="L23" s="160">
        <f t="shared" si="36"/>
        <v>4624633.8931567129</v>
      </c>
      <c r="M23" s="160">
        <f>M8/$E$2*$K$2</f>
        <v>924295.80140789901</v>
      </c>
      <c r="N23" s="160">
        <f t="shared" si="36"/>
        <v>781142.73144451226</v>
      </c>
      <c r="O23" s="160">
        <f t="shared" si="36"/>
        <v>706562.54172693298</v>
      </c>
      <c r="P23" s="161">
        <f>P53/$M$1*$K$2</f>
        <v>0</v>
      </c>
      <c r="Q23" s="161">
        <f t="shared" ref="Q23:AH34" si="37">Q53/$M$1*$K$2</f>
        <v>0</v>
      </c>
      <c r="R23" s="161">
        <f t="shared" si="37"/>
        <v>0</v>
      </c>
      <c r="S23" s="161">
        <f t="shared" si="37"/>
        <v>0</v>
      </c>
      <c r="T23" s="161">
        <f t="shared" si="37"/>
        <v>0</v>
      </c>
      <c r="U23" s="161">
        <f t="shared" si="37"/>
        <v>0</v>
      </c>
      <c r="V23" s="161">
        <f t="shared" si="37"/>
        <v>0</v>
      </c>
      <c r="W23" s="161">
        <f t="shared" si="37"/>
        <v>0</v>
      </c>
      <c r="X23" s="161">
        <f t="shared" si="37"/>
        <v>0</v>
      </c>
      <c r="Y23" s="161">
        <f t="shared" si="37"/>
        <v>0</v>
      </c>
      <c r="Z23" s="161">
        <f t="shared" si="37"/>
        <v>0</v>
      </c>
      <c r="AA23" s="161">
        <f t="shared" si="37"/>
        <v>0</v>
      </c>
      <c r="AB23" s="161">
        <f t="shared" si="37"/>
        <v>0</v>
      </c>
      <c r="AC23" s="161">
        <f t="shared" si="37"/>
        <v>0</v>
      </c>
      <c r="AD23" s="161">
        <f t="shared" si="37"/>
        <v>0</v>
      </c>
      <c r="AE23" s="161">
        <f t="shared" si="37"/>
        <v>0</v>
      </c>
      <c r="AF23" s="161">
        <f t="shared" si="37"/>
        <v>0</v>
      </c>
      <c r="AG23" s="161">
        <f t="shared" si="37"/>
        <v>0</v>
      </c>
      <c r="AH23" s="161">
        <f t="shared" si="37"/>
        <v>0</v>
      </c>
      <c r="AI23" s="161">
        <f t="shared" ref="AI23:AR23" si="38">AI53/$M$1*$K$2</f>
        <v>0</v>
      </c>
      <c r="AJ23" s="161">
        <f t="shared" si="38"/>
        <v>0</v>
      </c>
      <c r="AK23" s="161">
        <f t="shared" si="38"/>
        <v>0</v>
      </c>
      <c r="AL23" s="161">
        <f t="shared" si="38"/>
        <v>0</v>
      </c>
      <c r="AM23" s="161">
        <f t="shared" si="38"/>
        <v>0</v>
      </c>
      <c r="AN23" s="161">
        <f t="shared" si="38"/>
        <v>0</v>
      </c>
      <c r="AO23" s="161">
        <f t="shared" si="38"/>
        <v>0</v>
      </c>
      <c r="AP23" s="161">
        <f t="shared" si="38"/>
        <v>0</v>
      </c>
      <c r="AQ23" s="161">
        <f t="shared" si="38"/>
        <v>0</v>
      </c>
      <c r="AR23" s="161">
        <f t="shared" si="38"/>
        <v>0</v>
      </c>
    </row>
    <row r="24" spans="1:44" ht="13.5" hidden="1" outlineLevel="1" thickBot="1">
      <c r="A24" s="159"/>
      <c r="B24" s="159" t="s">
        <v>23</v>
      </c>
      <c r="C24" s="54"/>
      <c r="D24" s="70" t="s">
        <v>121</v>
      </c>
      <c r="E24" s="160">
        <f t="shared" ref="E24:O34" si="39">E9/$E$2*$K$2</f>
        <v>0</v>
      </c>
      <c r="F24" s="160">
        <f t="shared" si="39"/>
        <v>32806.987738218348</v>
      </c>
      <c r="G24" s="160">
        <f t="shared" si="39"/>
        <v>103978.43108287783</v>
      </c>
      <c r="H24" s="160">
        <f t="shared" si="39"/>
        <v>97155.812958569702</v>
      </c>
      <c r="I24" s="160">
        <f t="shared" si="39"/>
        <v>126086.61884166233</v>
      </c>
      <c r="J24" s="160">
        <f t="shared" si="39"/>
        <v>128305.34238155324</v>
      </c>
      <c r="K24" s="160">
        <f t="shared" si="39"/>
        <v>66005.288815290449</v>
      </c>
      <c r="L24" s="160">
        <f t="shared" si="39"/>
        <v>66895.804093765531</v>
      </c>
      <c r="M24" s="160">
        <f t="shared" si="39"/>
        <v>0</v>
      </c>
      <c r="N24" s="160">
        <f t="shared" si="39"/>
        <v>0</v>
      </c>
      <c r="O24" s="160">
        <f t="shared" si="39"/>
        <v>0</v>
      </c>
      <c r="P24" s="161">
        <f t="shared" ref="P24:AE34" si="40">P54/$M$1*$K$2</f>
        <v>0</v>
      </c>
      <c r="Q24" s="161">
        <f t="shared" si="40"/>
        <v>0</v>
      </c>
      <c r="R24" s="161">
        <f t="shared" si="40"/>
        <v>0</v>
      </c>
      <c r="S24" s="161">
        <f t="shared" si="40"/>
        <v>0</v>
      </c>
      <c r="T24" s="161">
        <f t="shared" si="40"/>
        <v>0</v>
      </c>
      <c r="U24" s="161">
        <f t="shared" si="40"/>
        <v>0</v>
      </c>
      <c r="V24" s="161">
        <f t="shared" si="40"/>
        <v>0</v>
      </c>
      <c r="W24" s="161">
        <f t="shared" si="40"/>
        <v>0</v>
      </c>
      <c r="X24" s="161">
        <f t="shared" si="40"/>
        <v>0</v>
      </c>
      <c r="Y24" s="161">
        <f t="shared" si="40"/>
        <v>0</v>
      </c>
      <c r="Z24" s="161">
        <f t="shared" si="40"/>
        <v>0</v>
      </c>
      <c r="AA24" s="161">
        <f t="shared" si="40"/>
        <v>0</v>
      </c>
      <c r="AB24" s="161">
        <f t="shared" si="40"/>
        <v>0</v>
      </c>
      <c r="AC24" s="161">
        <f t="shared" si="40"/>
        <v>0</v>
      </c>
      <c r="AD24" s="161">
        <f t="shared" si="40"/>
        <v>0</v>
      </c>
      <c r="AE24" s="161">
        <f t="shared" si="40"/>
        <v>0</v>
      </c>
      <c r="AF24" s="161">
        <f t="shared" si="37"/>
        <v>0</v>
      </c>
      <c r="AG24" s="161">
        <f t="shared" si="37"/>
        <v>0</v>
      </c>
      <c r="AH24" s="161">
        <f t="shared" si="37"/>
        <v>0</v>
      </c>
      <c r="AI24" s="161">
        <f t="shared" ref="AI24:AR24" si="41">AI54/$M$1*$K$2</f>
        <v>0</v>
      </c>
      <c r="AJ24" s="161">
        <f t="shared" si="41"/>
        <v>0</v>
      </c>
      <c r="AK24" s="161">
        <f t="shared" si="41"/>
        <v>0</v>
      </c>
      <c r="AL24" s="161">
        <f t="shared" si="41"/>
        <v>0</v>
      </c>
      <c r="AM24" s="161">
        <f t="shared" si="41"/>
        <v>0</v>
      </c>
      <c r="AN24" s="161">
        <f t="shared" si="41"/>
        <v>0</v>
      </c>
      <c r="AO24" s="161">
        <f t="shared" si="41"/>
        <v>0</v>
      </c>
      <c r="AP24" s="161">
        <f t="shared" si="41"/>
        <v>0</v>
      </c>
      <c r="AQ24" s="161">
        <f t="shared" si="41"/>
        <v>0</v>
      </c>
      <c r="AR24" s="161">
        <f t="shared" si="41"/>
        <v>0</v>
      </c>
    </row>
    <row r="25" spans="1:44" ht="13.5" hidden="1" outlineLevel="1" thickBot="1">
      <c r="A25" s="159" t="s">
        <v>25</v>
      </c>
      <c r="B25" s="165" t="s">
        <v>126</v>
      </c>
      <c r="C25" s="54"/>
      <c r="D25" s="70" t="s">
        <v>49</v>
      </c>
      <c r="E25" s="160">
        <f t="shared" si="39"/>
        <v>0</v>
      </c>
      <c r="F25" s="160">
        <f t="shared" si="36"/>
        <v>0</v>
      </c>
      <c r="G25" s="160">
        <f t="shared" si="36"/>
        <v>281059.16731721815</v>
      </c>
      <c r="H25" s="160">
        <f t="shared" si="36"/>
        <v>818588.84916874708</v>
      </c>
      <c r="I25" s="160">
        <f t="shared" si="36"/>
        <v>681099.06226017419</v>
      </c>
      <c r="J25" s="160">
        <f t="shared" si="36"/>
        <v>720080.68476025073</v>
      </c>
      <c r="K25" s="160">
        <f t="shared" si="36"/>
        <v>762090.0628844786</v>
      </c>
      <c r="L25" s="160">
        <f t="shared" si="36"/>
        <v>448753.34889405011</v>
      </c>
      <c r="M25" s="160">
        <f t="shared" si="36"/>
        <v>6768964.5183417834</v>
      </c>
      <c r="N25" s="160">
        <f t="shared" si="36"/>
        <v>5317684.820399126</v>
      </c>
      <c r="O25" s="160">
        <f t="shared" si="36"/>
        <v>4768751.3142386228</v>
      </c>
      <c r="P25" s="161">
        <f t="shared" si="40"/>
        <v>8992824.2998375315</v>
      </c>
      <c r="Q25" s="161">
        <f t="shared" si="37"/>
        <v>8654675.9404610023</v>
      </c>
      <c r="R25" s="161">
        <f t="shared" si="37"/>
        <v>8711218.0553189069</v>
      </c>
      <c r="S25" s="161">
        <f t="shared" si="37"/>
        <v>9055098.0603171326</v>
      </c>
      <c r="T25" s="161">
        <f t="shared" si="37"/>
        <v>9014387.4427166823</v>
      </c>
      <c r="U25" s="161">
        <f t="shared" si="37"/>
        <v>9773864.9487698302</v>
      </c>
      <c r="V25" s="161">
        <f t="shared" si="37"/>
        <v>7101534.0357476752</v>
      </c>
      <c r="W25" s="161">
        <f t="shared" si="37"/>
        <v>6285256.731697306</v>
      </c>
      <c r="X25" s="161">
        <f t="shared" si="37"/>
        <v>6545034.4940487081</v>
      </c>
      <c r="Y25" s="161">
        <f t="shared" si="37"/>
        <v>4088931.4187416006</v>
      </c>
      <c r="Z25" s="161">
        <f t="shared" si="37"/>
        <v>1966367.41562169</v>
      </c>
      <c r="AA25" s="161">
        <f t="shared" si="37"/>
        <v>1948764.2081743765</v>
      </c>
      <c r="AB25" s="161">
        <f t="shared" si="37"/>
        <v>1940078.9226428405</v>
      </c>
      <c r="AC25" s="161">
        <f t="shared" si="37"/>
        <v>1932502.574099215</v>
      </c>
      <c r="AD25" s="161">
        <f t="shared" si="37"/>
        <v>1926214.6926372424</v>
      </c>
      <c r="AE25" s="161">
        <f t="shared" si="37"/>
        <v>1921470.6274298409</v>
      </c>
      <c r="AF25" s="161">
        <f t="shared" si="37"/>
        <v>1917263.3443317704</v>
      </c>
      <c r="AG25" s="161">
        <f t="shared" si="37"/>
        <v>1914583.3017929115</v>
      </c>
      <c r="AH25" s="161">
        <f t="shared" si="37"/>
        <v>1912338.7055027424</v>
      </c>
      <c r="AI25" s="161">
        <f t="shared" ref="AI25:AR25" si="42">AI55/$M$1*$K$2</f>
        <v>1910712.2115963199</v>
      </c>
      <c r="AJ25" s="161">
        <f t="shared" si="42"/>
        <v>1910035.2450144885</v>
      </c>
      <c r="AK25" s="161">
        <f t="shared" si="42"/>
        <v>1909739.4192864492</v>
      </c>
      <c r="AL25" s="161">
        <f t="shared" si="42"/>
        <v>1909871.4122200746</v>
      </c>
      <c r="AM25" s="161">
        <f t="shared" si="42"/>
        <v>1910933.8045723212</v>
      </c>
      <c r="AN25" s="161">
        <f t="shared" si="42"/>
        <v>1911970.6297545743</v>
      </c>
      <c r="AO25" s="161">
        <f t="shared" si="42"/>
        <v>1913388.2605784549</v>
      </c>
      <c r="AP25" s="161">
        <f t="shared" si="42"/>
        <v>1914488.3609551855</v>
      </c>
      <c r="AQ25" s="161">
        <f t="shared" si="42"/>
        <v>1915949.1775782483</v>
      </c>
      <c r="AR25" s="161">
        <f t="shared" si="42"/>
        <v>1917831.0278844426</v>
      </c>
    </row>
    <row r="26" spans="1:44" ht="13.5" hidden="1" outlineLevel="1" thickBot="1">
      <c r="A26" s="159" t="s">
        <v>10</v>
      </c>
      <c r="B26" s="159" t="s">
        <v>26</v>
      </c>
      <c r="C26" s="54"/>
      <c r="D26" s="70" t="s">
        <v>26</v>
      </c>
      <c r="E26" s="160">
        <f t="shared" si="39"/>
        <v>195576.26047450781</v>
      </c>
      <c r="F26" s="160">
        <f t="shared" si="36"/>
        <v>364514.34877057048</v>
      </c>
      <c r="G26" s="160">
        <f t="shared" si="36"/>
        <v>737936.72040512494</v>
      </c>
      <c r="H26" s="160">
        <f t="shared" si="36"/>
        <v>1349130.8099941169</v>
      </c>
      <c r="I26" s="160">
        <f t="shared" si="36"/>
        <v>1515275.4666258479</v>
      </c>
      <c r="J26" s="160">
        <f t="shared" si="36"/>
        <v>1535071.4960922843</v>
      </c>
      <c r="K26" s="160">
        <f t="shared" si="36"/>
        <v>1555207.4142301399</v>
      </c>
      <c r="L26" s="160">
        <f t="shared" si="36"/>
        <v>1571038.5360078146</v>
      </c>
      <c r="M26" s="160">
        <f t="shared" si="36"/>
        <v>2536800</v>
      </c>
      <c r="N26" s="160">
        <f t="shared" si="36"/>
        <v>2536800</v>
      </c>
      <c r="O26" s="160">
        <f t="shared" si="36"/>
        <v>2397600</v>
      </c>
      <c r="P26" s="161">
        <f t="shared" si="40"/>
        <v>3123582.6019941745</v>
      </c>
      <c r="Q26" s="161">
        <f t="shared" si="37"/>
        <v>3187258.85783266</v>
      </c>
      <c r="R26" s="161">
        <f t="shared" si="37"/>
        <v>3254703.439975067</v>
      </c>
      <c r="S26" s="161">
        <f t="shared" si="37"/>
        <v>3353052.5940991724</v>
      </c>
      <c r="T26" s="161">
        <f t="shared" si="37"/>
        <v>3631728.7996948892</v>
      </c>
      <c r="U26" s="161">
        <f t="shared" si="37"/>
        <v>3733985.0523088472</v>
      </c>
      <c r="V26" s="161">
        <f t="shared" si="37"/>
        <v>3629438.4451153832</v>
      </c>
      <c r="W26" s="161">
        <f t="shared" si="37"/>
        <v>3652238.3181513483</v>
      </c>
      <c r="X26" s="161">
        <f t="shared" si="37"/>
        <v>3425874.9922547834</v>
      </c>
      <c r="Y26" s="161">
        <f t="shared" si="37"/>
        <v>3426455.2062890651</v>
      </c>
      <c r="Z26" s="161">
        <f t="shared" si="37"/>
        <v>3217574.8582772622</v>
      </c>
      <c r="AA26" s="161">
        <f t="shared" si="37"/>
        <v>2929518.3015354015</v>
      </c>
      <c r="AB26" s="161">
        <f t="shared" si="37"/>
        <v>2774718.0662268661</v>
      </c>
      <c r="AC26" s="161">
        <f t="shared" si="37"/>
        <v>2632977.8724506143</v>
      </c>
      <c r="AD26" s="161">
        <f t="shared" si="37"/>
        <v>2498371.5634943722</v>
      </c>
      <c r="AE26" s="161">
        <f t="shared" si="37"/>
        <v>2374874.6495380732</v>
      </c>
      <c r="AF26" s="161">
        <f t="shared" si="37"/>
        <v>2259680.5342468144</v>
      </c>
      <c r="AG26" s="161">
        <f t="shared" si="37"/>
        <v>2152590.126778245</v>
      </c>
      <c r="AH26" s="161">
        <f t="shared" si="37"/>
        <v>2053201.1257056857</v>
      </c>
      <c r="AI26" s="161">
        <f t="shared" ref="AI26:AR26" si="43">AI56/$M$1*$K$2</f>
        <v>1960079.6439423354</v>
      </c>
      <c r="AJ26" s="161">
        <f t="shared" si="43"/>
        <v>1874563.8816202704</v>
      </c>
      <c r="AK26" s="161">
        <f t="shared" si="43"/>
        <v>1793507.3694933264</v>
      </c>
      <c r="AL26" s="161">
        <f t="shared" si="43"/>
        <v>1719183.532389607</v>
      </c>
      <c r="AM26" s="161">
        <f t="shared" si="43"/>
        <v>1650544.58823525</v>
      </c>
      <c r="AN26" s="161">
        <f t="shared" si="43"/>
        <v>1586065.8106637509</v>
      </c>
      <c r="AO26" s="161">
        <f t="shared" si="43"/>
        <v>1525799.7392272223</v>
      </c>
      <c r="AP26" s="161">
        <f t="shared" si="43"/>
        <v>1469193.3246383648</v>
      </c>
      <c r="AQ26" s="161">
        <f t="shared" si="43"/>
        <v>1416093.4507530744</v>
      </c>
      <c r="AR26" s="161">
        <f t="shared" si="43"/>
        <v>1367436.2267806125</v>
      </c>
    </row>
    <row r="27" spans="1:44" ht="13.5" hidden="1" outlineLevel="1" thickBot="1">
      <c r="A27" s="159"/>
      <c r="B27" s="159" t="s">
        <v>27</v>
      </c>
      <c r="C27" s="54"/>
      <c r="D27" s="70" t="s">
        <v>121</v>
      </c>
      <c r="E27" s="160">
        <f t="shared" si="39"/>
        <v>81176.472993437652</v>
      </c>
      <c r="F27" s="160">
        <f t="shared" si="36"/>
        <v>143693.33086640851</v>
      </c>
      <c r="G27" s="160">
        <f t="shared" si="36"/>
        <v>243401.81261375645</v>
      </c>
      <c r="H27" s="160">
        <f t="shared" si="36"/>
        <v>319827.242057077</v>
      </c>
      <c r="I27" s="160">
        <f t="shared" si="36"/>
        <v>312519.64728277666</v>
      </c>
      <c r="J27" s="160">
        <f t="shared" si="36"/>
        <v>318018.99927170941</v>
      </c>
      <c r="K27" s="160">
        <f t="shared" si="36"/>
        <v>323396.78670013865</v>
      </c>
      <c r="L27" s="160">
        <f t="shared" si="36"/>
        <v>327759.91857540584</v>
      </c>
      <c r="M27" s="160">
        <f t="shared" si="36"/>
        <v>903999.99999999988</v>
      </c>
      <c r="N27" s="160">
        <f t="shared" si="36"/>
        <v>903999.99999999988</v>
      </c>
      <c r="O27" s="160">
        <f t="shared" si="36"/>
        <v>858800</v>
      </c>
      <c r="P27" s="161">
        <f t="shared" si="40"/>
        <v>657731.94719919877</v>
      </c>
      <c r="Q27" s="161">
        <f t="shared" si="37"/>
        <v>670311.45949622674</v>
      </c>
      <c r="R27" s="161">
        <f t="shared" si="37"/>
        <v>683502.91565931658</v>
      </c>
      <c r="S27" s="161">
        <f t="shared" si="37"/>
        <v>703402.11669520603</v>
      </c>
      <c r="T27" s="161">
        <f t="shared" si="37"/>
        <v>821483.50667468598</v>
      </c>
      <c r="U27" s="161">
        <f t="shared" si="37"/>
        <v>915972.95096795366</v>
      </c>
      <c r="V27" s="161">
        <f t="shared" si="37"/>
        <v>1030718.2196630699</v>
      </c>
      <c r="W27" s="161">
        <f t="shared" si="37"/>
        <v>1200155.5172555221</v>
      </c>
      <c r="X27" s="161">
        <f t="shared" si="37"/>
        <v>1134682.2401791541</v>
      </c>
      <c r="Y27" s="161">
        <f t="shared" si="37"/>
        <v>1227352.2254197639</v>
      </c>
      <c r="Z27" s="161">
        <f t="shared" si="37"/>
        <v>1204831.9367171179</v>
      </c>
      <c r="AA27" s="161">
        <f t="shared" si="37"/>
        <v>1190218.9917411921</v>
      </c>
      <c r="AB27" s="161">
        <f t="shared" si="37"/>
        <v>1159482.9075919038</v>
      </c>
      <c r="AC27" s="161">
        <f t="shared" si="37"/>
        <v>1163307.2531913647</v>
      </c>
      <c r="AD27" s="161">
        <f t="shared" si="37"/>
        <v>1148361.0099506632</v>
      </c>
      <c r="AE27" s="161">
        <f t="shared" si="37"/>
        <v>1128213.9494990099</v>
      </c>
      <c r="AF27" s="161">
        <f t="shared" si="37"/>
        <v>1115750.5421279406</v>
      </c>
      <c r="AG27" s="161">
        <f t="shared" si="37"/>
        <v>1105591.8144912408</v>
      </c>
      <c r="AH27" s="161">
        <f t="shared" si="37"/>
        <v>1104288.1031740359</v>
      </c>
      <c r="AI27" s="161">
        <f t="shared" ref="AI27:AR27" si="44">AI57/$M$1*$K$2</f>
        <v>1187999.4456934901</v>
      </c>
      <c r="AJ27" s="161">
        <f t="shared" si="44"/>
        <v>1285687.8516009483</v>
      </c>
      <c r="AK27" s="161">
        <f t="shared" si="44"/>
        <v>1324034.8797837184</v>
      </c>
      <c r="AL27" s="161">
        <f t="shared" si="44"/>
        <v>1473178.2221073341</v>
      </c>
      <c r="AM27" s="161">
        <f t="shared" si="44"/>
        <v>1403950.8489279491</v>
      </c>
      <c r="AN27" s="161">
        <f t="shared" si="44"/>
        <v>1467099.0528501719</v>
      </c>
      <c r="AO27" s="161">
        <f t="shared" si="44"/>
        <v>1443138.275975991</v>
      </c>
      <c r="AP27" s="161">
        <f t="shared" si="44"/>
        <v>1426796.1286077704</v>
      </c>
      <c r="AQ27" s="161">
        <f t="shared" si="44"/>
        <v>1390173.3865721081</v>
      </c>
      <c r="AR27" s="161">
        <f t="shared" si="44"/>
        <v>1387559.1310036539</v>
      </c>
    </row>
    <row r="28" spans="1:44" ht="13.5" hidden="1" outlineLevel="1" thickBot="1">
      <c r="A28" s="159" t="s">
        <v>28</v>
      </c>
      <c r="B28" s="159" t="s">
        <v>26</v>
      </c>
      <c r="C28" s="54"/>
      <c r="D28" s="70" t="s">
        <v>26</v>
      </c>
      <c r="E28" s="160">
        <f t="shared" si="39"/>
        <v>158409.22412922769</v>
      </c>
      <c r="F28" s="160">
        <f t="shared" si="36"/>
        <v>200705.38170377543</v>
      </c>
      <c r="G28" s="160">
        <f t="shared" si="36"/>
        <v>597682.83969535038</v>
      </c>
      <c r="H28" s="160">
        <f t="shared" si="36"/>
        <v>400045.76282504026</v>
      </c>
      <c r="I28" s="160">
        <f t="shared" si="36"/>
        <v>324502.50482249563</v>
      </c>
      <c r="J28" s="160">
        <f t="shared" si="36"/>
        <v>354029.74531392643</v>
      </c>
      <c r="K28" s="160">
        <f t="shared" si="36"/>
        <v>204956.36705682389</v>
      </c>
      <c r="L28" s="160">
        <f t="shared" si="36"/>
        <v>155282.02921690035</v>
      </c>
      <c r="M28" s="160">
        <f t="shared" si="36"/>
        <v>175328</v>
      </c>
      <c r="N28" s="160">
        <f t="shared" si="36"/>
        <v>115154</v>
      </c>
      <c r="O28" s="160">
        <f t="shared" si="36"/>
        <v>56080</v>
      </c>
      <c r="P28" s="161">
        <f t="shared" si="40"/>
        <v>421457.90935825492</v>
      </c>
      <c r="Q28" s="161">
        <f t="shared" si="37"/>
        <v>422153.57597831782</v>
      </c>
      <c r="R28" s="161">
        <f t="shared" si="37"/>
        <v>421814.65969149745</v>
      </c>
      <c r="S28" s="161">
        <f t="shared" si="37"/>
        <v>420618.12611941609</v>
      </c>
      <c r="T28" s="161">
        <f t="shared" si="37"/>
        <v>419890.69331181166</v>
      </c>
      <c r="U28" s="161">
        <f t="shared" si="37"/>
        <v>417939.05994705256</v>
      </c>
      <c r="V28" s="161">
        <f t="shared" si="37"/>
        <v>308031.27198242972</v>
      </c>
      <c r="W28" s="161">
        <f t="shared" si="37"/>
        <v>329202.07702985068</v>
      </c>
      <c r="X28" s="161">
        <f t="shared" si="37"/>
        <v>338602.18332062749</v>
      </c>
      <c r="Y28" s="161">
        <f t="shared" si="37"/>
        <v>350284.7066718603</v>
      </c>
      <c r="Z28" s="161">
        <f t="shared" si="37"/>
        <v>319822.98525496328</v>
      </c>
      <c r="AA28" s="161">
        <f t="shared" si="37"/>
        <v>290304.1332124233</v>
      </c>
      <c r="AB28" s="161">
        <f t="shared" si="37"/>
        <v>267177.79100752354</v>
      </c>
      <c r="AC28" s="161">
        <f t="shared" si="37"/>
        <v>235929.38002289229</v>
      </c>
      <c r="AD28" s="161">
        <f t="shared" si="37"/>
        <v>214866.29421844703</v>
      </c>
      <c r="AE28" s="161">
        <f t="shared" si="37"/>
        <v>195269.05988309722</v>
      </c>
      <c r="AF28" s="161">
        <f t="shared" si="37"/>
        <v>178538.11532114883</v>
      </c>
      <c r="AG28" s="161">
        <f t="shared" si="37"/>
        <v>164748.1273928163</v>
      </c>
      <c r="AH28" s="161">
        <f t="shared" si="37"/>
        <v>147190.96852802113</v>
      </c>
      <c r="AI28" s="161">
        <f t="shared" ref="AI28:AR28" si="45">AI58/$M$1*$K$2</f>
        <v>134960.76528765078</v>
      </c>
      <c r="AJ28" s="161">
        <f t="shared" si="45"/>
        <v>119893.52682605953</v>
      </c>
      <c r="AK28" s="161">
        <f t="shared" si="45"/>
        <v>112614.99391801885</v>
      </c>
      <c r="AL28" s="161">
        <f t="shared" si="45"/>
        <v>99983.739256843823</v>
      </c>
      <c r="AM28" s="161">
        <f t="shared" si="45"/>
        <v>90130.656489998044</v>
      </c>
      <c r="AN28" s="161">
        <f t="shared" si="45"/>
        <v>82562.359805424843</v>
      </c>
      <c r="AO28" s="161">
        <f t="shared" si="45"/>
        <v>71848.187751560079</v>
      </c>
      <c r="AP28" s="161">
        <f t="shared" si="45"/>
        <v>69835.651387196325</v>
      </c>
      <c r="AQ28" s="161">
        <f t="shared" si="45"/>
        <v>64850.064161825168</v>
      </c>
      <c r="AR28" s="161">
        <f t="shared" si="45"/>
        <v>56851.141564044374</v>
      </c>
    </row>
    <row r="29" spans="1:44" ht="13.5" hidden="1" outlineLevel="1" thickBot="1">
      <c r="A29" s="159"/>
      <c r="B29" s="159" t="s">
        <v>27</v>
      </c>
      <c r="C29" s="54"/>
      <c r="D29" s="70" t="s">
        <v>121</v>
      </c>
      <c r="E29" s="160">
        <f t="shared" si="39"/>
        <v>184772.98637051994</v>
      </c>
      <c r="F29" s="160">
        <f t="shared" si="36"/>
        <v>322799.15265246853</v>
      </c>
      <c r="G29" s="160">
        <f t="shared" si="36"/>
        <v>569974.34373656253</v>
      </c>
      <c r="H29" s="160">
        <f t="shared" si="36"/>
        <v>109772.72646628338</v>
      </c>
      <c r="I29" s="160">
        <f t="shared" si="36"/>
        <v>77468.860995458628</v>
      </c>
      <c r="J29" s="160">
        <f t="shared" si="36"/>
        <v>84896.071723388988</v>
      </c>
      <c r="K29" s="160">
        <f t="shared" si="36"/>
        <v>49332.392739666604</v>
      </c>
      <c r="L29" s="160">
        <f t="shared" si="36"/>
        <v>37498.473297623219</v>
      </c>
      <c r="M29" s="160">
        <f t="shared" si="36"/>
        <v>124354</v>
      </c>
      <c r="N29" s="160">
        <f t="shared" si="36"/>
        <v>74990.000000000015</v>
      </c>
      <c r="O29" s="160">
        <f t="shared" si="36"/>
        <v>32019</v>
      </c>
      <c r="P29" s="161">
        <f t="shared" si="40"/>
        <v>221222.51274891428</v>
      </c>
      <c r="Q29" s="161">
        <f t="shared" si="37"/>
        <v>223648.03488703785</v>
      </c>
      <c r="R29" s="161">
        <f t="shared" si="37"/>
        <v>211945.72343403962</v>
      </c>
      <c r="S29" s="161">
        <f t="shared" si="37"/>
        <v>211344.51110601539</v>
      </c>
      <c r="T29" s="161">
        <f t="shared" si="37"/>
        <v>228598.32177883407</v>
      </c>
      <c r="U29" s="161">
        <f t="shared" si="37"/>
        <v>237899.79930595381</v>
      </c>
      <c r="V29" s="161">
        <f t="shared" si="37"/>
        <v>236609.88472651943</v>
      </c>
      <c r="W29" s="161">
        <f t="shared" si="37"/>
        <v>272106.04232335911</v>
      </c>
      <c r="X29" s="161">
        <f t="shared" si="37"/>
        <v>236787.32951851236</v>
      </c>
      <c r="Y29" s="161">
        <f t="shared" si="37"/>
        <v>247004.36733278219</v>
      </c>
      <c r="Z29" s="161">
        <f t="shared" si="37"/>
        <v>231281.79421963842</v>
      </c>
      <c r="AA29" s="161">
        <f t="shared" si="37"/>
        <v>228021.9838970135</v>
      </c>
      <c r="AB29" s="161">
        <f t="shared" si="37"/>
        <v>192353.52645079448</v>
      </c>
      <c r="AC29" s="161">
        <f t="shared" si="37"/>
        <v>188668.99305111988</v>
      </c>
      <c r="AD29" s="161">
        <f t="shared" si="37"/>
        <v>163643.95113242388</v>
      </c>
      <c r="AE29" s="161">
        <f t="shared" si="37"/>
        <v>148829.28454008227</v>
      </c>
      <c r="AF29" s="161">
        <f t="shared" si="37"/>
        <v>144226.90012685774</v>
      </c>
      <c r="AG29" s="161">
        <f t="shared" si="37"/>
        <v>130435.86047022261</v>
      </c>
      <c r="AH29" s="161">
        <f t="shared" si="37"/>
        <v>120689.49929592844</v>
      </c>
      <c r="AI29" s="161">
        <f t="shared" ref="AI29:AR29" si="46">AI59/$M$1*$K$2</f>
        <v>129764.9239025994</v>
      </c>
      <c r="AJ29" s="161">
        <f t="shared" si="46"/>
        <v>128640.26059583423</v>
      </c>
      <c r="AK29" s="161">
        <f t="shared" si="46"/>
        <v>148857.15277709274</v>
      </c>
      <c r="AL29" s="161">
        <f t="shared" si="46"/>
        <v>170800.28032881671</v>
      </c>
      <c r="AM29" s="161">
        <f t="shared" si="46"/>
        <v>123202.30920047326</v>
      </c>
      <c r="AN29" s="161">
        <f t="shared" si="46"/>
        <v>122696.13145743335</v>
      </c>
      <c r="AO29" s="161">
        <f t="shared" si="46"/>
        <v>112425.50588839875</v>
      </c>
      <c r="AP29" s="161">
        <f t="shared" si="46"/>
        <v>119746.30140035221</v>
      </c>
      <c r="AQ29" s="161">
        <f t="shared" si="46"/>
        <v>95156.046139072118</v>
      </c>
      <c r="AR29" s="161">
        <f t="shared" si="46"/>
        <v>104877.706563999</v>
      </c>
    </row>
    <row r="30" spans="1:44" ht="13.5" hidden="1" outlineLevel="1" thickBot="1">
      <c r="A30" s="159" t="s">
        <v>29</v>
      </c>
      <c r="B30" s="159" t="s">
        <v>26</v>
      </c>
      <c r="C30" s="54"/>
      <c r="D30" s="70" t="s">
        <v>26</v>
      </c>
      <c r="E30" s="160">
        <f t="shared" si="39"/>
        <v>13523.082281675919</v>
      </c>
      <c r="F30" s="160">
        <f t="shared" si="36"/>
        <v>93493.490764762842</v>
      </c>
      <c r="G30" s="160">
        <f t="shared" si="36"/>
        <v>255277.48338191048</v>
      </c>
      <c r="H30" s="160">
        <f t="shared" si="36"/>
        <v>318090.79363558622</v>
      </c>
      <c r="I30" s="160">
        <f t="shared" si="36"/>
        <v>285070.63014776492</v>
      </c>
      <c r="J30" s="160">
        <f t="shared" si="36"/>
        <v>142353.74586333867</v>
      </c>
      <c r="K30" s="160">
        <f t="shared" si="36"/>
        <v>106095.27425208058</v>
      </c>
      <c r="L30" s="160">
        <f t="shared" si="36"/>
        <v>21435.052689849239</v>
      </c>
      <c r="M30" s="160">
        <f t="shared" si="36"/>
        <v>0</v>
      </c>
      <c r="N30" s="160">
        <f t="shared" si="36"/>
        <v>0</v>
      </c>
      <c r="O30" s="160">
        <f t="shared" si="36"/>
        <v>0</v>
      </c>
      <c r="P30" s="161">
        <f t="shared" si="40"/>
        <v>0</v>
      </c>
      <c r="Q30" s="161">
        <f t="shared" si="37"/>
        <v>0</v>
      </c>
      <c r="R30" s="161">
        <f t="shared" si="37"/>
        <v>0</v>
      </c>
      <c r="S30" s="161">
        <f t="shared" si="37"/>
        <v>0</v>
      </c>
      <c r="T30" s="161">
        <f t="shared" si="37"/>
        <v>0</v>
      </c>
      <c r="U30" s="161">
        <f t="shared" si="37"/>
        <v>0</v>
      </c>
      <c r="V30" s="161">
        <f t="shared" si="37"/>
        <v>0</v>
      </c>
      <c r="W30" s="161">
        <f t="shared" si="37"/>
        <v>0</v>
      </c>
      <c r="X30" s="161">
        <f t="shared" si="37"/>
        <v>0</v>
      </c>
      <c r="Y30" s="161">
        <f t="shared" si="37"/>
        <v>0</v>
      </c>
      <c r="Z30" s="161">
        <f t="shared" si="37"/>
        <v>0</v>
      </c>
      <c r="AA30" s="161">
        <f t="shared" si="37"/>
        <v>0</v>
      </c>
      <c r="AB30" s="161">
        <f t="shared" si="37"/>
        <v>0</v>
      </c>
      <c r="AC30" s="161">
        <f t="shared" si="37"/>
        <v>0</v>
      </c>
      <c r="AD30" s="161">
        <f t="shared" si="37"/>
        <v>0</v>
      </c>
      <c r="AE30" s="161">
        <f t="shared" si="37"/>
        <v>0</v>
      </c>
      <c r="AF30" s="161">
        <f t="shared" si="37"/>
        <v>0</v>
      </c>
      <c r="AG30" s="161">
        <f t="shared" si="37"/>
        <v>0</v>
      </c>
      <c r="AH30" s="161">
        <f t="shared" si="37"/>
        <v>0</v>
      </c>
      <c r="AI30" s="161">
        <f t="shared" ref="AI30:AR30" si="47">AI60/$M$1*$K$2</f>
        <v>0</v>
      </c>
      <c r="AJ30" s="161">
        <f t="shared" si="47"/>
        <v>0</v>
      </c>
      <c r="AK30" s="161">
        <f t="shared" si="47"/>
        <v>0</v>
      </c>
      <c r="AL30" s="161">
        <f t="shared" si="47"/>
        <v>0</v>
      </c>
      <c r="AM30" s="161">
        <f t="shared" si="47"/>
        <v>0</v>
      </c>
      <c r="AN30" s="161">
        <f t="shared" si="47"/>
        <v>0</v>
      </c>
      <c r="AO30" s="161">
        <f t="shared" si="47"/>
        <v>0</v>
      </c>
      <c r="AP30" s="161">
        <f t="shared" si="47"/>
        <v>0</v>
      </c>
      <c r="AQ30" s="161">
        <f t="shared" si="47"/>
        <v>0</v>
      </c>
      <c r="AR30" s="161">
        <f t="shared" si="47"/>
        <v>0</v>
      </c>
    </row>
    <row r="31" spans="1:44" ht="13.5" hidden="1" outlineLevel="1" thickBot="1">
      <c r="A31" s="159"/>
      <c r="B31" s="159" t="s">
        <v>27</v>
      </c>
      <c r="C31" s="54"/>
      <c r="D31" s="70" t="s">
        <v>121</v>
      </c>
      <c r="E31" s="160">
        <f t="shared" si="39"/>
        <v>175080.91317516405</v>
      </c>
      <c r="F31" s="160">
        <f t="shared" si="36"/>
        <v>319450.91467086156</v>
      </c>
      <c r="G31" s="160">
        <f t="shared" si="36"/>
        <v>760974.89057023649</v>
      </c>
      <c r="H31" s="160">
        <f t="shared" si="36"/>
        <v>231414.70012219457</v>
      </c>
      <c r="I31" s="160">
        <f t="shared" si="36"/>
        <v>175612.12701237714</v>
      </c>
      <c r="J31" s="160">
        <f t="shared" si="36"/>
        <v>96397.568304230415</v>
      </c>
      <c r="K31" s="160">
        <f t="shared" si="36"/>
        <v>80686.311761866571</v>
      </c>
      <c r="L31" s="160">
        <f t="shared" si="36"/>
        <v>16354.979431345017</v>
      </c>
      <c r="M31" s="160">
        <f t="shared" si="36"/>
        <v>0</v>
      </c>
      <c r="N31" s="160">
        <f t="shared" si="36"/>
        <v>0</v>
      </c>
      <c r="O31" s="160">
        <f t="shared" si="36"/>
        <v>0</v>
      </c>
      <c r="P31" s="161">
        <f t="shared" si="40"/>
        <v>0</v>
      </c>
      <c r="Q31" s="161">
        <f t="shared" si="37"/>
        <v>0</v>
      </c>
      <c r="R31" s="161">
        <f t="shared" si="37"/>
        <v>0</v>
      </c>
      <c r="S31" s="161">
        <f t="shared" si="37"/>
        <v>0</v>
      </c>
      <c r="T31" s="161">
        <f t="shared" si="37"/>
        <v>0</v>
      </c>
      <c r="U31" s="161">
        <f t="shared" si="37"/>
        <v>0</v>
      </c>
      <c r="V31" s="161">
        <f t="shared" si="37"/>
        <v>0</v>
      </c>
      <c r="W31" s="161">
        <f t="shared" si="37"/>
        <v>0</v>
      </c>
      <c r="X31" s="161">
        <f t="shared" si="37"/>
        <v>0</v>
      </c>
      <c r="Y31" s="161">
        <f t="shared" si="37"/>
        <v>0</v>
      </c>
      <c r="Z31" s="161">
        <f t="shared" si="37"/>
        <v>0</v>
      </c>
      <c r="AA31" s="161">
        <f t="shared" si="37"/>
        <v>0</v>
      </c>
      <c r="AB31" s="161">
        <f t="shared" si="37"/>
        <v>0</v>
      </c>
      <c r="AC31" s="161">
        <f t="shared" si="37"/>
        <v>0</v>
      </c>
      <c r="AD31" s="161">
        <f t="shared" si="37"/>
        <v>0</v>
      </c>
      <c r="AE31" s="161">
        <f t="shared" si="37"/>
        <v>0</v>
      </c>
      <c r="AF31" s="161">
        <f t="shared" si="37"/>
        <v>0</v>
      </c>
      <c r="AG31" s="161">
        <f t="shared" si="37"/>
        <v>0</v>
      </c>
      <c r="AH31" s="161">
        <f t="shared" si="37"/>
        <v>0</v>
      </c>
      <c r="AI31" s="161">
        <f t="shared" ref="AI31:AR31" si="48">AI61/$M$1*$K$2</f>
        <v>0</v>
      </c>
      <c r="AJ31" s="161">
        <f t="shared" si="48"/>
        <v>0</v>
      </c>
      <c r="AK31" s="161">
        <f t="shared" si="48"/>
        <v>0</v>
      </c>
      <c r="AL31" s="161">
        <f t="shared" si="48"/>
        <v>0</v>
      </c>
      <c r="AM31" s="161">
        <f t="shared" si="48"/>
        <v>0</v>
      </c>
      <c r="AN31" s="161">
        <f t="shared" si="48"/>
        <v>0</v>
      </c>
      <c r="AO31" s="161">
        <f t="shared" si="48"/>
        <v>0</v>
      </c>
      <c r="AP31" s="161">
        <f t="shared" si="48"/>
        <v>0</v>
      </c>
      <c r="AQ31" s="161">
        <f t="shared" si="48"/>
        <v>0</v>
      </c>
      <c r="AR31" s="161">
        <f t="shared" si="48"/>
        <v>0</v>
      </c>
    </row>
    <row r="32" spans="1:44" ht="13.5" hidden="1" outlineLevel="1" thickBot="1">
      <c r="A32" s="159" t="s">
        <v>30</v>
      </c>
      <c r="B32" s="165" t="s">
        <v>127</v>
      </c>
      <c r="C32" s="54"/>
      <c r="D32" s="70" t="s">
        <v>121</v>
      </c>
      <c r="E32" s="160">
        <f t="shared" si="39"/>
        <v>18823.681489141673</v>
      </c>
      <c r="F32" s="160">
        <f t="shared" si="36"/>
        <v>41412.09927611168</v>
      </c>
      <c r="G32" s="160">
        <f t="shared" si="36"/>
        <v>144942.3474663909</v>
      </c>
      <c r="H32" s="160">
        <f t="shared" si="36"/>
        <v>21772.716969242181</v>
      </c>
      <c r="I32" s="160">
        <f t="shared" si="36"/>
        <v>14922.68524584214</v>
      </c>
      <c r="J32" s="160">
        <f t="shared" si="36"/>
        <v>6565.9815081705428</v>
      </c>
      <c r="K32" s="160">
        <f t="shared" si="36"/>
        <v>0</v>
      </c>
      <c r="L32" s="160">
        <f t="shared" si="36"/>
        <v>0</v>
      </c>
      <c r="M32" s="160">
        <f t="shared" si="36"/>
        <v>25000.000000000004</v>
      </c>
      <c r="N32" s="160">
        <f t="shared" si="36"/>
        <v>25000.000000000004</v>
      </c>
      <c r="O32" s="160">
        <f t="shared" ref="F32:O34" si="49">O17/$E$2*$K$2</f>
        <v>10000</v>
      </c>
      <c r="P32" s="161">
        <f t="shared" si="40"/>
        <v>17900.458671844659</v>
      </c>
      <c r="Q32" s="161">
        <f t="shared" si="37"/>
        <v>34776.39346019418</v>
      </c>
      <c r="R32" s="161">
        <f t="shared" si="37"/>
        <v>39626.133250485429</v>
      </c>
      <c r="S32" s="161">
        <f t="shared" si="37"/>
        <v>44229.911906796115</v>
      </c>
      <c r="T32" s="161">
        <f t="shared" si="37"/>
        <v>41438.192714563105</v>
      </c>
      <c r="U32" s="161">
        <f t="shared" si="37"/>
        <v>126101.08577475727</v>
      </c>
      <c r="V32" s="161">
        <f t="shared" si="37"/>
        <v>20980.942357199718</v>
      </c>
      <c r="W32" s="161">
        <f t="shared" si="37"/>
        <v>21112.743138271744</v>
      </c>
      <c r="X32" s="161">
        <f t="shared" si="37"/>
        <v>21113.563511864522</v>
      </c>
      <c r="Y32" s="161">
        <f t="shared" si="37"/>
        <v>21710.368764117342</v>
      </c>
      <c r="Z32" s="161">
        <f t="shared" si="37"/>
        <v>21640.755841963099</v>
      </c>
      <c r="AA32" s="161">
        <f t="shared" si="37"/>
        <v>21830.700791404299</v>
      </c>
      <c r="AB32" s="161">
        <f t="shared" si="37"/>
        <v>21952.917733957671</v>
      </c>
      <c r="AC32" s="161">
        <f t="shared" si="37"/>
        <v>22083.389581780037</v>
      </c>
      <c r="AD32" s="161">
        <f t="shared" si="37"/>
        <v>22207.910472426382</v>
      </c>
      <c r="AE32" s="161">
        <f t="shared" si="37"/>
        <v>22336.273270938509</v>
      </c>
      <c r="AF32" s="161">
        <f t="shared" si="37"/>
        <v>22456.851022998762</v>
      </c>
      <c r="AG32" s="161">
        <f t="shared" si="37"/>
        <v>22583.10221832075</v>
      </c>
      <c r="AH32" s="161">
        <f t="shared" si="37"/>
        <v>22709.917339890857</v>
      </c>
      <c r="AI32" s="161">
        <f t="shared" ref="AI32:AR32" si="50">AI62/$M$1*$K$2</f>
        <v>22829.467847413485</v>
      </c>
      <c r="AJ32" s="161">
        <f t="shared" si="50"/>
        <v>22955.361230196984</v>
      </c>
      <c r="AK32" s="161">
        <f t="shared" si="50"/>
        <v>23069.933136478594</v>
      </c>
      <c r="AL32" s="161">
        <f t="shared" si="50"/>
        <v>23188.394344853863</v>
      </c>
      <c r="AM32" s="161">
        <f t="shared" si="50"/>
        <v>23307.984043540775</v>
      </c>
      <c r="AN32" s="161">
        <f t="shared" si="50"/>
        <v>23418.581798082534</v>
      </c>
      <c r="AO32" s="161">
        <f t="shared" si="50"/>
        <v>23532.858157273124</v>
      </c>
      <c r="AP32" s="161">
        <f t="shared" si="50"/>
        <v>23626.285084396426</v>
      </c>
      <c r="AQ32" s="161">
        <f t="shared" si="50"/>
        <v>23723.836745428187</v>
      </c>
      <c r="AR32" s="161">
        <f t="shared" si="50"/>
        <v>23825.120416455396</v>
      </c>
    </row>
    <row r="33" spans="1:44" ht="13.5" hidden="1" outlineLevel="1" thickBot="1">
      <c r="A33" s="159" t="s">
        <v>31</v>
      </c>
      <c r="B33" s="159" t="s">
        <v>32</v>
      </c>
      <c r="C33" s="54"/>
      <c r="D33" s="70" t="s">
        <v>13</v>
      </c>
      <c r="E33" s="160">
        <f t="shared" si="39"/>
        <v>393014.62616339186</v>
      </c>
      <c r="F33" s="160">
        <f t="shared" si="49"/>
        <v>68544.553774560496</v>
      </c>
      <c r="G33" s="160">
        <f t="shared" si="49"/>
        <v>752947.2595656669</v>
      </c>
      <c r="H33" s="160">
        <f t="shared" si="49"/>
        <v>55827.479408313287</v>
      </c>
      <c r="I33" s="160">
        <f t="shared" si="49"/>
        <v>55269.204614230155</v>
      </c>
      <c r="J33" s="160">
        <f t="shared" si="49"/>
        <v>601881.63824896642</v>
      </c>
      <c r="K33" s="160">
        <f t="shared" si="49"/>
        <v>54169.347442406979</v>
      </c>
      <c r="L33" s="160">
        <f t="shared" si="49"/>
        <v>53627.653967982915</v>
      </c>
      <c r="M33" s="160">
        <f t="shared" si="49"/>
        <v>122000</v>
      </c>
      <c r="N33" s="160">
        <f t="shared" si="49"/>
        <v>22000</v>
      </c>
      <c r="O33" s="160">
        <f t="shared" si="49"/>
        <v>20999.999999999996</v>
      </c>
      <c r="P33" s="161">
        <f t="shared" si="40"/>
        <v>531399.33472710371</v>
      </c>
      <c r="Q33" s="161">
        <f t="shared" si="37"/>
        <v>107263.41239700653</v>
      </c>
      <c r="R33" s="161">
        <f t="shared" si="37"/>
        <v>107263.41239700653</v>
      </c>
      <c r="S33" s="161">
        <f t="shared" si="37"/>
        <v>107263.41239700653</v>
      </c>
      <c r="T33" s="161">
        <f t="shared" si="37"/>
        <v>107263.41239700653</v>
      </c>
      <c r="U33" s="161">
        <f t="shared" si="37"/>
        <v>107263.41239700653</v>
      </c>
      <c r="V33" s="161">
        <f t="shared" si="37"/>
        <v>0</v>
      </c>
      <c r="W33" s="161">
        <f t="shared" si="37"/>
        <v>0</v>
      </c>
      <c r="X33" s="161">
        <f t="shared" si="37"/>
        <v>0</v>
      </c>
      <c r="Y33" s="161">
        <f t="shared" si="37"/>
        <v>0</v>
      </c>
      <c r="Z33" s="161">
        <f t="shared" si="37"/>
        <v>0</v>
      </c>
      <c r="AA33" s="161">
        <f t="shared" si="37"/>
        <v>0</v>
      </c>
      <c r="AB33" s="161">
        <f t="shared" si="37"/>
        <v>0</v>
      </c>
      <c r="AC33" s="161">
        <f t="shared" si="37"/>
        <v>0</v>
      </c>
      <c r="AD33" s="161">
        <f t="shared" si="37"/>
        <v>0</v>
      </c>
      <c r="AE33" s="161">
        <f t="shared" si="37"/>
        <v>0</v>
      </c>
      <c r="AF33" s="161">
        <f t="shared" si="37"/>
        <v>0</v>
      </c>
      <c r="AG33" s="161">
        <f t="shared" si="37"/>
        <v>0</v>
      </c>
      <c r="AH33" s="161">
        <f t="shared" si="37"/>
        <v>0</v>
      </c>
      <c r="AI33" s="161">
        <f t="shared" ref="AI33:AR33" si="51">AI63/$M$1*$K$2</f>
        <v>0</v>
      </c>
      <c r="AJ33" s="161">
        <f t="shared" si="51"/>
        <v>0</v>
      </c>
      <c r="AK33" s="161">
        <f t="shared" si="51"/>
        <v>0</v>
      </c>
      <c r="AL33" s="161">
        <f t="shared" si="51"/>
        <v>0</v>
      </c>
      <c r="AM33" s="161">
        <f t="shared" si="51"/>
        <v>0</v>
      </c>
      <c r="AN33" s="161">
        <f t="shared" si="51"/>
        <v>0</v>
      </c>
      <c r="AO33" s="161">
        <f t="shared" si="51"/>
        <v>0</v>
      </c>
      <c r="AP33" s="161">
        <f t="shared" si="51"/>
        <v>0</v>
      </c>
      <c r="AQ33" s="161">
        <f t="shared" si="51"/>
        <v>0</v>
      </c>
      <c r="AR33" s="161">
        <f t="shared" si="51"/>
        <v>0</v>
      </c>
    </row>
    <row r="34" spans="1:44" ht="13.5" hidden="1" outlineLevel="1" thickBot="1">
      <c r="A34" s="159" t="s">
        <v>33</v>
      </c>
      <c r="C34" s="54"/>
      <c r="D34" s="70" t="s">
        <v>49</v>
      </c>
      <c r="E34" s="160">
        <f t="shared" si="39"/>
        <v>0</v>
      </c>
      <c r="F34" s="160">
        <f t="shared" si="49"/>
        <v>0</v>
      </c>
      <c r="G34" s="160">
        <f t="shared" si="49"/>
        <v>0</v>
      </c>
      <c r="H34" s="160">
        <f t="shared" si="49"/>
        <v>0</v>
      </c>
      <c r="I34" s="160">
        <f t="shared" si="49"/>
        <v>0</v>
      </c>
      <c r="J34" s="160">
        <f t="shared" si="49"/>
        <v>0</v>
      </c>
      <c r="K34" s="160">
        <f t="shared" si="49"/>
        <v>0</v>
      </c>
      <c r="L34" s="160">
        <f t="shared" si="49"/>
        <v>0</v>
      </c>
      <c r="M34" s="160">
        <f t="shared" si="49"/>
        <v>0</v>
      </c>
      <c r="N34" s="160">
        <f t="shared" si="49"/>
        <v>0</v>
      </c>
      <c r="O34" s="160">
        <f t="shared" si="49"/>
        <v>0</v>
      </c>
      <c r="P34" s="161">
        <f t="shared" si="40"/>
        <v>0</v>
      </c>
      <c r="Q34" s="161">
        <f t="shared" si="37"/>
        <v>0</v>
      </c>
      <c r="R34" s="161">
        <f t="shared" si="37"/>
        <v>0</v>
      </c>
      <c r="S34" s="161">
        <f t="shared" si="37"/>
        <v>0</v>
      </c>
      <c r="T34" s="161">
        <f t="shared" si="37"/>
        <v>0</v>
      </c>
      <c r="U34" s="161">
        <f t="shared" si="37"/>
        <v>0</v>
      </c>
      <c r="V34" s="161">
        <f t="shared" si="37"/>
        <v>0</v>
      </c>
      <c r="W34" s="161">
        <f t="shared" si="37"/>
        <v>0</v>
      </c>
      <c r="X34" s="161">
        <f t="shared" si="37"/>
        <v>0</v>
      </c>
      <c r="Y34" s="161">
        <f t="shared" si="37"/>
        <v>0</v>
      </c>
      <c r="Z34" s="161">
        <f t="shared" si="37"/>
        <v>0</v>
      </c>
      <c r="AA34" s="161">
        <f t="shared" si="37"/>
        <v>0</v>
      </c>
      <c r="AB34" s="161">
        <f t="shared" si="37"/>
        <v>0</v>
      </c>
      <c r="AC34" s="161">
        <f t="shared" si="37"/>
        <v>0</v>
      </c>
      <c r="AD34" s="161">
        <f t="shared" si="37"/>
        <v>0</v>
      </c>
      <c r="AE34" s="161">
        <f t="shared" si="37"/>
        <v>0</v>
      </c>
      <c r="AF34" s="161">
        <f t="shared" si="37"/>
        <v>0</v>
      </c>
      <c r="AG34" s="161">
        <f t="shared" si="37"/>
        <v>0</v>
      </c>
      <c r="AH34" s="161">
        <f t="shared" si="37"/>
        <v>0</v>
      </c>
      <c r="AI34" s="161">
        <f t="shared" ref="AI34:AR34" si="52">AI64/$M$1*$K$2</f>
        <v>0</v>
      </c>
      <c r="AJ34" s="161">
        <f t="shared" si="52"/>
        <v>0</v>
      </c>
      <c r="AK34" s="161">
        <f t="shared" si="52"/>
        <v>0</v>
      </c>
      <c r="AL34" s="161">
        <f t="shared" si="52"/>
        <v>0</v>
      </c>
      <c r="AM34" s="161">
        <f t="shared" si="52"/>
        <v>0</v>
      </c>
      <c r="AN34" s="161">
        <f t="shared" si="52"/>
        <v>0</v>
      </c>
      <c r="AO34" s="161">
        <f t="shared" si="52"/>
        <v>0</v>
      </c>
      <c r="AP34" s="161">
        <f t="shared" si="52"/>
        <v>0</v>
      </c>
      <c r="AQ34" s="161">
        <f t="shared" si="52"/>
        <v>0</v>
      </c>
      <c r="AR34" s="161">
        <f t="shared" si="52"/>
        <v>0</v>
      </c>
    </row>
    <row r="35" spans="1:44" ht="13.5" hidden="1" outlineLevel="1" thickBot="1">
      <c r="A35" s="162"/>
      <c r="C35" s="54"/>
      <c r="D35" s="71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4"/>
      <c r="AN35" s="164"/>
      <c r="AO35" s="164"/>
      <c r="AP35" s="164"/>
      <c r="AQ35" s="164"/>
      <c r="AR35" s="164"/>
    </row>
    <row r="36" spans="1:44" ht="13.5" hidden="1" outlineLevel="1" thickBot="1">
      <c r="A36" s="158" t="s">
        <v>112</v>
      </c>
      <c r="C36" s="54"/>
      <c r="D36" s="28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  <c r="AP36" s="164"/>
      <c r="AQ36" s="164"/>
      <c r="AR36" s="164"/>
    </row>
    <row r="37" spans="1:44" ht="13.5" hidden="1" outlineLevel="1" thickBot="1">
      <c r="A37" s="159"/>
      <c r="B37" s="117"/>
      <c r="C37" s="54"/>
      <c r="D37" s="71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</row>
    <row r="38" spans="1:44" ht="13.5" hidden="1" outlineLevel="1" thickBot="1">
      <c r="A38" s="159" t="s">
        <v>20</v>
      </c>
      <c r="B38" s="159" t="s">
        <v>21</v>
      </c>
      <c r="C38" s="54"/>
      <c r="D38" s="70" t="s">
        <v>49</v>
      </c>
      <c r="E38" s="160">
        <f>E8/$E$2*$M$2</f>
        <v>9163851.6796381921</v>
      </c>
      <c r="F38" s="160">
        <f t="shared" ref="F38:O47" si="53">F8/$E$2*$M$2</f>
        <v>11978318.038899688</v>
      </c>
      <c r="G38" s="160">
        <f t="shared" si="53"/>
        <v>9043092.038538985</v>
      </c>
      <c r="H38" s="160">
        <f t="shared" si="53"/>
        <v>10838486.253836051</v>
      </c>
      <c r="I38" s="160">
        <f t="shared" si="53"/>
        <v>10692893.508755067</v>
      </c>
      <c r="J38" s="160">
        <f t="shared" si="53"/>
        <v>7308907.3725016518</v>
      </c>
      <c r="K38" s="160">
        <f t="shared" si="53"/>
        <v>5558667.0110044731</v>
      </c>
      <c r="L38" s="160">
        <f t="shared" si="53"/>
        <v>4878064.592699294</v>
      </c>
      <c r="M38" s="160">
        <f>M8/$E$2*$M$2</f>
        <v>974947.36366057745</v>
      </c>
      <c r="N38" s="160">
        <f>N8/$E$2*$M$2</f>
        <v>823949.48186977813</v>
      </c>
      <c r="O38" s="160">
        <f>O8/$E$2*$M$2</f>
        <v>745282.28546392603</v>
      </c>
      <c r="P38" s="161">
        <f>P53/$M$1*$M$2</f>
        <v>0</v>
      </c>
      <c r="Q38" s="161">
        <f t="shared" ref="Q38:AH49" si="54">Q53/$M$1*$M$2</f>
        <v>0</v>
      </c>
      <c r="R38" s="161">
        <f t="shared" si="54"/>
        <v>0</v>
      </c>
      <c r="S38" s="161">
        <f t="shared" si="54"/>
        <v>0</v>
      </c>
      <c r="T38" s="161">
        <f t="shared" si="54"/>
        <v>0</v>
      </c>
      <c r="U38" s="161">
        <f t="shared" si="54"/>
        <v>0</v>
      </c>
      <c r="V38" s="161">
        <f t="shared" si="54"/>
        <v>0</v>
      </c>
      <c r="W38" s="161">
        <f t="shared" si="54"/>
        <v>0</v>
      </c>
      <c r="X38" s="161">
        <f t="shared" si="54"/>
        <v>0</v>
      </c>
      <c r="Y38" s="161">
        <f t="shared" si="54"/>
        <v>0</v>
      </c>
      <c r="Z38" s="161">
        <f t="shared" si="54"/>
        <v>0</v>
      </c>
      <c r="AA38" s="161">
        <f t="shared" si="54"/>
        <v>0</v>
      </c>
      <c r="AB38" s="161">
        <f t="shared" si="54"/>
        <v>0</v>
      </c>
      <c r="AC38" s="161">
        <f t="shared" si="54"/>
        <v>0</v>
      </c>
      <c r="AD38" s="161">
        <f t="shared" si="54"/>
        <v>0</v>
      </c>
      <c r="AE38" s="161">
        <f t="shared" si="54"/>
        <v>0</v>
      </c>
      <c r="AF38" s="161">
        <f t="shared" si="54"/>
        <v>0</v>
      </c>
      <c r="AG38" s="161">
        <f t="shared" si="54"/>
        <v>0</v>
      </c>
      <c r="AH38" s="161">
        <f t="shared" si="54"/>
        <v>0</v>
      </c>
      <c r="AI38" s="161">
        <f t="shared" ref="AI38:AR38" si="55">AI53/$M$1*$M$2</f>
        <v>0</v>
      </c>
      <c r="AJ38" s="161">
        <f t="shared" si="55"/>
        <v>0</v>
      </c>
      <c r="AK38" s="161">
        <f t="shared" si="55"/>
        <v>0</v>
      </c>
      <c r="AL38" s="161">
        <f t="shared" si="55"/>
        <v>0</v>
      </c>
      <c r="AM38" s="161">
        <f t="shared" si="55"/>
        <v>0</v>
      </c>
      <c r="AN38" s="161">
        <f t="shared" si="55"/>
        <v>0</v>
      </c>
      <c r="AO38" s="161">
        <f t="shared" si="55"/>
        <v>0</v>
      </c>
      <c r="AP38" s="161">
        <f t="shared" si="55"/>
        <v>0</v>
      </c>
      <c r="AQ38" s="161">
        <f t="shared" si="55"/>
        <v>0</v>
      </c>
      <c r="AR38" s="161">
        <f t="shared" si="55"/>
        <v>0</v>
      </c>
    </row>
    <row r="39" spans="1:44" ht="13.5" hidden="1" outlineLevel="1" thickBot="1">
      <c r="A39" s="159"/>
      <c r="B39" s="159" t="s">
        <v>23</v>
      </c>
      <c r="C39" s="54"/>
      <c r="D39" s="70" t="s">
        <v>121</v>
      </c>
      <c r="E39" s="160">
        <f t="shared" ref="E39:O49" si="56">E9/$E$2*$M$2</f>
        <v>0</v>
      </c>
      <c r="F39" s="160">
        <f t="shared" si="56"/>
        <v>34604.816073275229</v>
      </c>
      <c r="G39" s="160">
        <f t="shared" si="56"/>
        <v>109676.46624316738</v>
      </c>
      <c r="H39" s="160">
        <f t="shared" si="56"/>
        <v>102479.96752119425</v>
      </c>
      <c r="I39" s="160">
        <f t="shared" si="56"/>
        <v>132996.18633483956</v>
      </c>
      <c r="J39" s="160">
        <f t="shared" si="56"/>
        <v>135336.49629038991</v>
      </c>
      <c r="K39" s="160">
        <f t="shared" si="56"/>
        <v>69622.389520866738</v>
      </c>
      <c r="L39" s="160">
        <f t="shared" si="56"/>
        <v>70561.705183370315</v>
      </c>
      <c r="M39" s="160">
        <f t="shared" si="56"/>
        <v>0</v>
      </c>
      <c r="N39" s="160">
        <f t="shared" si="56"/>
        <v>0</v>
      </c>
      <c r="O39" s="160">
        <f t="shared" si="56"/>
        <v>0</v>
      </c>
      <c r="P39" s="161">
        <f t="shared" ref="P39:AE49" si="57">P54/$M$1*$M$2</f>
        <v>0</v>
      </c>
      <c r="Q39" s="161">
        <f t="shared" si="57"/>
        <v>0</v>
      </c>
      <c r="R39" s="161">
        <f t="shared" si="57"/>
        <v>0</v>
      </c>
      <c r="S39" s="161">
        <f t="shared" si="57"/>
        <v>0</v>
      </c>
      <c r="T39" s="161">
        <f t="shared" si="57"/>
        <v>0</v>
      </c>
      <c r="U39" s="161">
        <f t="shared" si="57"/>
        <v>0</v>
      </c>
      <c r="V39" s="161">
        <f t="shared" si="57"/>
        <v>0</v>
      </c>
      <c r="W39" s="161">
        <f t="shared" si="57"/>
        <v>0</v>
      </c>
      <c r="X39" s="161">
        <f t="shared" si="57"/>
        <v>0</v>
      </c>
      <c r="Y39" s="161">
        <f t="shared" si="57"/>
        <v>0</v>
      </c>
      <c r="Z39" s="161">
        <f t="shared" si="57"/>
        <v>0</v>
      </c>
      <c r="AA39" s="161">
        <f t="shared" si="57"/>
        <v>0</v>
      </c>
      <c r="AB39" s="161">
        <f t="shared" si="57"/>
        <v>0</v>
      </c>
      <c r="AC39" s="161">
        <f t="shared" si="57"/>
        <v>0</v>
      </c>
      <c r="AD39" s="161">
        <f t="shared" si="57"/>
        <v>0</v>
      </c>
      <c r="AE39" s="161">
        <f t="shared" si="57"/>
        <v>0</v>
      </c>
      <c r="AF39" s="161">
        <f t="shared" si="54"/>
        <v>0</v>
      </c>
      <c r="AG39" s="161">
        <f t="shared" si="54"/>
        <v>0</v>
      </c>
      <c r="AH39" s="161">
        <f t="shared" si="54"/>
        <v>0</v>
      </c>
      <c r="AI39" s="161">
        <f t="shared" ref="AI39:AR39" si="58">AI54/$M$1*$M$2</f>
        <v>0</v>
      </c>
      <c r="AJ39" s="161">
        <f t="shared" si="58"/>
        <v>0</v>
      </c>
      <c r="AK39" s="161">
        <f t="shared" si="58"/>
        <v>0</v>
      </c>
      <c r="AL39" s="161">
        <f t="shared" si="58"/>
        <v>0</v>
      </c>
      <c r="AM39" s="161">
        <f t="shared" si="58"/>
        <v>0</v>
      </c>
      <c r="AN39" s="161">
        <f t="shared" si="58"/>
        <v>0</v>
      </c>
      <c r="AO39" s="161">
        <f t="shared" si="58"/>
        <v>0</v>
      </c>
      <c r="AP39" s="161">
        <f t="shared" si="58"/>
        <v>0</v>
      </c>
      <c r="AQ39" s="161">
        <f t="shared" si="58"/>
        <v>0</v>
      </c>
      <c r="AR39" s="161">
        <f t="shared" si="58"/>
        <v>0</v>
      </c>
    </row>
    <row r="40" spans="1:44" ht="13.5" hidden="1" outlineLevel="1" thickBot="1">
      <c r="A40" s="159" t="s">
        <v>25</v>
      </c>
      <c r="B40" s="165" t="s">
        <v>126</v>
      </c>
      <c r="C40" s="54"/>
      <c r="D40" s="70" t="s">
        <v>49</v>
      </c>
      <c r="E40" s="160">
        <f t="shared" si="56"/>
        <v>0</v>
      </c>
      <c r="F40" s="160">
        <f t="shared" si="53"/>
        <v>0</v>
      </c>
      <c r="G40" s="160">
        <f t="shared" si="53"/>
        <v>296461.25600827299</v>
      </c>
      <c r="H40" s="160">
        <f t="shared" si="53"/>
        <v>863447.65301689028</v>
      </c>
      <c r="I40" s="160">
        <f t="shared" si="53"/>
        <v>718423.40312568855</v>
      </c>
      <c r="J40" s="160">
        <f t="shared" si="53"/>
        <v>759541.22496342892</v>
      </c>
      <c r="K40" s="160">
        <f t="shared" si="53"/>
        <v>803852.7239325362</v>
      </c>
      <c r="L40" s="160">
        <f t="shared" si="53"/>
        <v>473345.10637361696</v>
      </c>
      <c r="M40" s="160">
        <f t="shared" si="53"/>
        <v>7139904.8895570524</v>
      </c>
      <c r="N40" s="160">
        <f t="shared" si="53"/>
        <v>5609094.8249780647</v>
      </c>
      <c r="O40" s="160">
        <f t="shared" si="53"/>
        <v>5030079.6722088484</v>
      </c>
      <c r="P40" s="161">
        <f>P55/$M$1*$M$2</f>
        <v>9485632.553598715</v>
      </c>
      <c r="Q40" s="161">
        <f t="shared" si="54"/>
        <v>9128953.6083972678</v>
      </c>
      <c r="R40" s="161">
        <f t="shared" si="54"/>
        <v>9188594.2404682338</v>
      </c>
      <c r="S40" s="161">
        <f t="shared" si="54"/>
        <v>9551318.9264160935</v>
      </c>
      <c r="T40" s="161">
        <f t="shared" si="54"/>
        <v>9508377.3602615204</v>
      </c>
      <c r="U40" s="161">
        <f t="shared" si="54"/>
        <v>10309474.358817786</v>
      </c>
      <c r="V40" s="161">
        <f t="shared" si="54"/>
        <v>7490699.2713284092</v>
      </c>
      <c r="W40" s="161">
        <f t="shared" si="54"/>
        <v>6629689.8364833556</v>
      </c>
      <c r="X40" s="161">
        <f t="shared" si="54"/>
        <v>6903703.4630262433</v>
      </c>
      <c r="Y40" s="161">
        <f t="shared" si="54"/>
        <v>4313005.5343957553</v>
      </c>
      <c r="Z40" s="161">
        <f t="shared" si="54"/>
        <v>2074124.674079739</v>
      </c>
      <c r="AA40" s="161">
        <f t="shared" si="54"/>
        <v>2055556.8079630837</v>
      </c>
      <c r="AB40" s="161">
        <f t="shared" si="54"/>
        <v>2046395.5673529757</v>
      </c>
      <c r="AC40" s="161">
        <f t="shared" si="54"/>
        <v>2038404.0336604824</v>
      </c>
      <c r="AD40" s="161">
        <f t="shared" si="54"/>
        <v>2031771.575258072</v>
      </c>
      <c r="AE40" s="161">
        <f t="shared" si="54"/>
        <v>2026767.5344954235</v>
      </c>
      <c r="AF40" s="161">
        <f t="shared" si="54"/>
        <v>2022329.691590166</v>
      </c>
      <c r="AG40" s="161">
        <f t="shared" si="54"/>
        <v>2019502.7822784728</v>
      </c>
      <c r="AH40" s="161">
        <f t="shared" si="54"/>
        <v>2017135.1817416649</v>
      </c>
      <c r="AI40" s="161">
        <f t="shared" ref="AI40:AR40" si="59">AI55/$M$1*$M$2</f>
        <v>2015419.555701104</v>
      </c>
      <c r="AJ40" s="161">
        <f t="shared" si="59"/>
        <v>2014705.4912390155</v>
      </c>
      <c r="AK40" s="161">
        <f t="shared" si="59"/>
        <v>2014393.454212324</v>
      </c>
      <c r="AL40" s="161">
        <f t="shared" si="59"/>
        <v>2014532.6803804662</v>
      </c>
      <c r="AM40" s="161">
        <f t="shared" si="59"/>
        <v>2015653.2920087115</v>
      </c>
      <c r="AN40" s="161">
        <f t="shared" si="59"/>
        <v>2016746.9353818337</v>
      </c>
      <c r="AO40" s="161">
        <f t="shared" si="59"/>
        <v>2018242.2526085062</v>
      </c>
      <c r="AP40" s="161">
        <f t="shared" si="59"/>
        <v>2019402.6386671921</v>
      </c>
      <c r="AQ40" s="161">
        <f t="shared" si="59"/>
        <v>2020943.5082819597</v>
      </c>
      <c r="AR40" s="161">
        <f t="shared" si="59"/>
        <v>2022928.4842950858</v>
      </c>
    </row>
    <row r="41" spans="1:44" ht="13.5" hidden="1" outlineLevel="1" thickBot="1">
      <c r="A41" s="159" t="s">
        <v>10</v>
      </c>
      <c r="B41" s="159" t="s">
        <v>26</v>
      </c>
      <c r="C41" s="54"/>
      <c r="D41" s="70" t="s">
        <v>26</v>
      </c>
      <c r="E41" s="160">
        <f t="shared" si="56"/>
        <v>206293.87178192832</v>
      </c>
      <c r="F41" s="160">
        <f t="shared" si="53"/>
        <v>384489.79515972827</v>
      </c>
      <c r="G41" s="160">
        <f t="shared" si="53"/>
        <v>778375.7743045406</v>
      </c>
      <c r="H41" s="160">
        <f t="shared" si="53"/>
        <v>1423063.4007354509</v>
      </c>
      <c r="I41" s="160">
        <f t="shared" si="53"/>
        <v>1598312.8119333212</v>
      </c>
      <c r="J41" s="160">
        <f t="shared" si="53"/>
        <v>1619193.6670771521</v>
      </c>
      <c r="K41" s="160">
        <f t="shared" si="53"/>
        <v>1640433.0368476138</v>
      </c>
      <c r="L41" s="160">
        <f t="shared" si="53"/>
        <v>1657131.706707872</v>
      </c>
      <c r="M41" s="160">
        <f t="shared" si="53"/>
        <v>2675817.0580964154</v>
      </c>
      <c r="N41" s="160">
        <f t="shared" si="53"/>
        <v>2675817.0580964154</v>
      </c>
      <c r="O41" s="160">
        <f t="shared" si="53"/>
        <v>2528988.875154512</v>
      </c>
      <c r="P41" s="161">
        <f t="shared" si="57"/>
        <v>3294755.4433889934</v>
      </c>
      <c r="Q41" s="161">
        <f t="shared" si="54"/>
        <v>3361921.1685420726</v>
      </c>
      <c r="R41" s="161">
        <f t="shared" si="54"/>
        <v>3433061.7249015952</v>
      </c>
      <c r="S41" s="161">
        <f t="shared" si="54"/>
        <v>3536800.4288808741</v>
      </c>
      <c r="T41" s="161">
        <f t="shared" si="54"/>
        <v>3830748.1364725656</v>
      </c>
      <c r="U41" s="161">
        <f t="shared" si="54"/>
        <v>3938608.0485828798</v>
      </c>
      <c r="V41" s="161">
        <f t="shared" si="54"/>
        <v>3828332.2700846237</v>
      </c>
      <c r="W41" s="161">
        <f t="shared" si="54"/>
        <v>3852381.579920664</v>
      </c>
      <c r="X41" s="161">
        <f t="shared" si="54"/>
        <v>3613613.5064574559</v>
      </c>
      <c r="Y41" s="161">
        <f t="shared" si="54"/>
        <v>3614225.5163164428</v>
      </c>
      <c r="Z41" s="161">
        <f t="shared" si="54"/>
        <v>3393898.4908074955</v>
      </c>
      <c r="AA41" s="161">
        <f t="shared" si="54"/>
        <v>3090056.3872808521</v>
      </c>
      <c r="AB41" s="161">
        <f t="shared" si="54"/>
        <v>2926773.0735643911</v>
      </c>
      <c r="AC41" s="161">
        <f t="shared" si="54"/>
        <v>2777265.4938086416</v>
      </c>
      <c r="AD41" s="161">
        <f t="shared" si="54"/>
        <v>2635282.7369367913</v>
      </c>
      <c r="AE41" s="161">
        <f t="shared" si="54"/>
        <v>2505018.1717418493</v>
      </c>
      <c r="AF41" s="161">
        <f t="shared" si="54"/>
        <v>2383511.3999471962</v>
      </c>
      <c r="AG41" s="161">
        <f t="shared" si="54"/>
        <v>2270552.4204995087</v>
      </c>
      <c r="AH41" s="161">
        <f t="shared" si="54"/>
        <v>2165716.8857876207</v>
      </c>
      <c r="AI41" s="161">
        <f t="shared" ref="AI41:AR41" si="60">AI56/$M$1*$M$2</f>
        <v>2067492.3314760523</v>
      </c>
      <c r="AJ41" s="161">
        <f t="shared" si="60"/>
        <v>1977290.2912846694</v>
      </c>
      <c r="AK41" s="161">
        <f t="shared" si="60"/>
        <v>1891791.8689340402</v>
      </c>
      <c r="AL41" s="161">
        <f t="shared" si="60"/>
        <v>1813395.0733075377</v>
      </c>
      <c r="AM41" s="161">
        <f t="shared" si="60"/>
        <v>1740994.7037009641</v>
      </c>
      <c r="AN41" s="161">
        <f t="shared" si="60"/>
        <v>1672982.4784916367</v>
      </c>
      <c r="AO41" s="161">
        <f t="shared" si="60"/>
        <v>1609413.816407783</v>
      </c>
      <c r="AP41" s="161">
        <f t="shared" si="60"/>
        <v>1549705.36097001</v>
      </c>
      <c r="AQ41" s="161">
        <f t="shared" si="60"/>
        <v>1493695.6052442812</v>
      </c>
      <c r="AR41" s="161">
        <f t="shared" si="60"/>
        <v>1442371.9573788084</v>
      </c>
    </row>
    <row r="42" spans="1:44" ht="13.5" hidden="1" outlineLevel="1" thickBot="1">
      <c r="A42" s="159"/>
      <c r="B42" s="159" t="s">
        <v>27</v>
      </c>
      <c r="C42" s="54"/>
      <c r="D42" s="70" t="s">
        <v>121</v>
      </c>
      <c r="E42" s="160">
        <f t="shared" si="56"/>
        <v>85624.95709237759</v>
      </c>
      <c r="F42" s="160">
        <f t="shared" si="53"/>
        <v>151567.7490803485</v>
      </c>
      <c r="G42" s="160">
        <f t="shared" si="53"/>
        <v>256740.27206065782</v>
      </c>
      <c r="H42" s="160">
        <f t="shared" si="53"/>
        <v>337353.82763334044</v>
      </c>
      <c r="I42" s="160">
        <f t="shared" si="53"/>
        <v>329645.77546102525</v>
      </c>
      <c r="J42" s="160">
        <f t="shared" si="53"/>
        <v>335446.49284531362</v>
      </c>
      <c r="K42" s="160">
        <f t="shared" si="53"/>
        <v>341118.98391114752</v>
      </c>
      <c r="L42" s="160">
        <f t="shared" si="53"/>
        <v>345721.21613227815</v>
      </c>
      <c r="M42" s="160">
        <f t="shared" si="53"/>
        <v>953539.34899052326</v>
      </c>
      <c r="N42" s="160">
        <f t="shared" si="53"/>
        <v>953539.34899052326</v>
      </c>
      <c r="O42" s="160">
        <f t="shared" si="53"/>
        <v>905862.38154099719</v>
      </c>
      <c r="P42" s="161">
        <f t="shared" si="57"/>
        <v>693775.76630817843</v>
      </c>
      <c r="Q42" s="161">
        <f t="shared" si="54"/>
        <v>707044.63795234472</v>
      </c>
      <c r="R42" s="161">
        <f t="shared" si="54"/>
        <v>720958.98808728904</v>
      </c>
      <c r="S42" s="161">
        <f t="shared" si="54"/>
        <v>741948.66861958278</v>
      </c>
      <c r="T42" s="161">
        <f t="shared" si="54"/>
        <v>866500.93823123036</v>
      </c>
      <c r="U42" s="161">
        <f t="shared" si="54"/>
        <v>966168.41964481317</v>
      </c>
      <c r="V42" s="161">
        <f t="shared" si="54"/>
        <v>1087201.7479758793</v>
      </c>
      <c r="W42" s="161">
        <f t="shared" si="54"/>
        <v>1265924.2374017867</v>
      </c>
      <c r="X42" s="161">
        <f t="shared" si="54"/>
        <v>1196863.0139508178</v>
      </c>
      <c r="Y42" s="161">
        <f t="shared" si="54"/>
        <v>1294611.3296557872</v>
      </c>
      <c r="Z42" s="161">
        <f t="shared" si="54"/>
        <v>1270856.9254206107</v>
      </c>
      <c r="AA42" s="161">
        <f t="shared" si="54"/>
        <v>1255443.1886516076</v>
      </c>
      <c r="AB42" s="161">
        <f t="shared" si="54"/>
        <v>1223022.7620252469</v>
      </c>
      <c r="AC42" s="161">
        <f t="shared" si="54"/>
        <v>1227056.6823938582</v>
      </c>
      <c r="AD42" s="161">
        <f t="shared" si="54"/>
        <v>1211291.3825602382</v>
      </c>
      <c r="AE42" s="161">
        <f t="shared" si="54"/>
        <v>1190040.2598753462</v>
      </c>
      <c r="AF42" s="161">
        <f t="shared" si="54"/>
        <v>1176893.8557262167</v>
      </c>
      <c r="AG42" s="161">
        <f t="shared" si="54"/>
        <v>1166178.4281407401</v>
      </c>
      <c r="AH42" s="161">
        <f t="shared" si="54"/>
        <v>1164803.2732284847</v>
      </c>
      <c r="AI42" s="161">
        <f t="shared" ref="AI42:AR42" si="61">AI57/$M$1*$M$2</f>
        <v>1253102.0111146825</v>
      </c>
      <c r="AJ42" s="161">
        <f t="shared" si="61"/>
        <v>1356143.7577661425</v>
      </c>
      <c r="AK42" s="161">
        <f t="shared" si="61"/>
        <v>1396592.209413399</v>
      </c>
      <c r="AL42" s="161">
        <f t="shared" si="61"/>
        <v>1553908.6314770398</v>
      </c>
      <c r="AM42" s="161">
        <f t="shared" si="61"/>
        <v>1480887.5868378861</v>
      </c>
      <c r="AN42" s="161">
        <f t="shared" si="61"/>
        <v>1547496.3227426619</v>
      </c>
      <c r="AO42" s="161">
        <f t="shared" si="61"/>
        <v>1522222.4913467397</v>
      </c>
      <c r="AP42" s="161">
        <f t="shared" si="61"/>
        <v>1504984.7916093499</v>
      </c>
      <c r="AQ42" s="161">
        <f t="shared" si="61"/>
        <v>1466355.1172742469</v>
      </c>
      <c r="AR42" s="161">
        <f t="shared" si="61"/>
        <v>1463597.6000697792</v>
      </c>
    </row>
    <row r="43" spans="1:44" ht="13.5" hidden="1" outlineLevel="1" thickBot="1">
      <c r="A43" s="159" t="s">
        <v>28</v>
      </c>
      <c r="B43" s="159" t="s">
        <v>26</v>
      </c>
      <c r="C43" s="54"/>
      <c r="D43" s="70" t="s">
        <v>26</v>
      </c>
      <c r="E43" s="160">
        <f t="shared" si="56"/>
        <v>167090.07571933369</v>
      </c>
      <c r="F43" s="160">
        <f t="shared" si="53"/>
        <v>211704.06969990322</v>
      </c>
      <c r="G43" s="160">
        <f t="shared" si="53"/>
        <v>630435.95781627402</v>
      </c>
      <c r="H43" s="160">
        <f t="shared" si="53"/>
        <v>421968.33656040509</v>
      </c>
      <c r="I43" s="160">
        <f t="shared" si="53"/>
        <v>342285.29556884582</v>
      </c>
      <c r="J43" s="160">
        <f t="shared" si="53"/>
        <v>373430.63370566611</v>
      </c>
      <c r="K43" s="160">
        <f t="shared" si="53"/>
        <v>216188.00975091438</v>
      </c>
      <c r="L43" s="160">
        <f t="shared" si="53"/>
        <v>163791.51001040993</v>
      </c>
      <c r="M43" s="160">
        <f t="shared" si="53"/>
        <v>184936.00329625054</v>
      </c>
      <c r="N43" s="160">
        <f t="shared" si="53"/>
        <v>121464.4581788216</v>
      </c>
      <c r="O43" s="160">
        <f t="shared" si="53"/>
        <v>59153.193242686444</v>
      </c>
      <c r="P43" s="161">
        <f t="shared" si="57"/>
        <v>444553.87225262984</v>
      </c>
      <c r="Q43" s="161">
        <f t="shared" si="54"/>
        <v>445287.66151812678</v>
      </c>
      <c r="R43" s="161">
        <f t="shared" si="54"/>
        <v>444930.17256293097</v>
      </c>
      <c r="S43" s="161">
        <f t="shared" si="54"/>
        <v>443668.06875389587</v>
      </c>
      <c r="T43" s="161">
        <f t="shared" si="54"/>
        <v>442900.77250854467</v>
      </c>
      <c r="U43" s="161">
        <f t="shared" si="54"/>
        <v>440842.18931374315</v>
      </c>
      <c r="V43" s="161">
        <f t="shared" si="54"/>
        <v>324911.43645447883</v>
      </c>
      <c r="W43" s="161">
        <f t="shared" si="54"/>
        <v>347242.40510771231</v>
      </c>
      <c r="X43" s="161">
        <f t="shared" si="54"/>
        <v>357157.63877247897</v>
      </c>
      <c r="Y43" s="161">
        <f t="shared" si="54"/>
        <v>369480.36632878549</v>
      </c>
      <c r="Z43" s="161">
        <f t="shared" si="54"/>
        <v>337349.33755776926</v>
      </c>
      <c r="AA43" s="161">
        <f t="shared" si="54"/>
        <v>306212.84755822155</v>
      </c>
      <c r="AB43" s="161">
        <f t="shared" si="54"/>
        <v>281819.17798898241</v>
      </c>
      <c r="AC43" s="161">
        <f t="shared" si="54"/>
        <v>248858.34893226382</v>
      </c>
      <c r="AD43" s="161">
        <f t="shared" si="54"/>
        <v>226641.0025542746</v>
      </c>
      <c r="AE43" s="161">
        <f t="shared" si="54"/>
        <v>205969.8365474779</v>
      </c>
      <c r="AF43" s="161">
        <f t="shared" si="54"/>
        <v>188322.03346606551</v>
      </c>
      <c r="AG43" s="161">
        <f t="shared" si="54"/>
        <v>173776.35192649762</v>
      </c>
      <c r="AH43" s="161">
        <f t="shared" si="54"/>
        <v>155257.05786227199</v>
      </c>
      <c r="AI43" s="161">
        <f t="shared" ref="AI43:AR43" si="62">AI58/$M$1*$M$2</f>
        <v>142356.63746863866</v>
      </c>
      <c r="AJ43" s="161">
        <f t="shared" si="62"/>
        <v>126463.71185608258</v>
      </c>
      <c r="AK43" s="161">
        <f t="shared" si="62"/>
        <v>118786.31414508788</v>
      </c>
      <c r="AL43" s="161">
        <f t="shared" si="62"/>
        <v>105462.86464669147</v>
      </c>
      <c r="AM43" s="161">
        <f t="shared" si="62"/>
        <v>95069.831320311088</v>
      </c>
      <c r="AN43" s="161">
        <f t="shared" si="62"/>
        <v>87086.790730073175</v>
      </c>
      <c r="AO43" s="161">
        <f t="shared" si="62"/>
        <v>75785.480281826865</v>
      </c>
      <c r="AP43" s="161">
        <f t="shared" si="62"/>
        <v>73662.65659300478</v>
      </c>
      <c r="AQ43" s="161">
        <f t="shared" si="62"/>
        <v>68403.858365996057</v>
      </c>
      <c r="AR43" s="161">
        <f t="shared" si="62"/>
        <v>59966.593491534244</v>
      </c>
    </row>
    <row r="44" spans="1:44" ht="13.5" hidden="1" outlineLevel="1" thickBot="1">
      <c r="A44" s="159"/>
      <c r="B44" s="159" t="s">
        <v>27</v>
      </c>
      <c r="C44" s="54"/>
      <c r="D44" s="70" t="s">
        <v>121</v>
      </c>
      <c r="E44" s="160">
        <f t="shared" si="56"/>
        <v>194898.57647652703</v>
      </c>
      <c r="F44" s="160">
        <f t="shared" si="53"/>
        <v>340488.5994191675</v>
      </c>
      <c r="G44" s="160">
        <f t="shared" si="53"/>
        <v>601209.0317122374</v>
      </c>
      <c r="H44" s="160">
        <f t="shared" si="53"/>
        <v>115788.28996855601</v>
      </c>
      <c r="I44" s="160">
        <f t="shared" si="53"/>
        <v>81714.167345848415</v>
      </c>
      <c r="J44" s="160">
        <f t="shared" si="53"/>
        <v>89548.390445766709</v>
      </c>
      <c r="K44" s="160">
        <f t="shared" si="53"/>
        <v>52035.815992396587</v>
      </c>
      <c r="L44" s="160">
        <f t="shared" si="53"/>
        <v>39553.39581455107</v>
      </c>
      <c r="M44" s="160">
        <f t="shared" si="53"/>
        <v>131168.61969509683</v>
      </c>
      <c r="N44" s="160">
        <f t="shared" si="53"/>
        <v>79099.46435929132</v>
      </c>
      <c r="O44" s="160">
        <f t="shared" si="53"/>
        <v>33773.646477132264</v>
      </c>
      <c r="P44" s="161">
        <f t="shared" si="57"/>
        <v>233345.54290779587</v>
      </c>
      <c r="Q44" s="161">
        <f t="shared" si="54"/>
        <v>235903.98405884503</v>
      </c>
      <c r="R44" s="161">
        <f t="shared" si="54"/>
        <v>223560.38400953502</v>
      </c>
      <c r="S44" s="161">
        <f t="shared" si="54"/>
        <v>222926.22514684772</v>
      </c>
      <c r="T44" s="161">
        <f t="shared" si="54"/>
        <v>241125.54748818098</v>
      </c>
      <c r="U44" s="161">
        <f t="shared" si="54"/>
        <v>250936.74751678688</v>
      </c>
      <c r="V44" s="161">
        <f t="shared" si="54"/>
        <v>249576.14540580544</v>
      </c>
      <c r="W44" s="161">
        <f t="shared" si="54"/>
        <v>287017.49828916334</v>
      </c>
      <c r="X44" s="161">
        <f t="shared" si="54"/>
        <v>249763.31420164468</v>
      </c>
      <c r="Y44" s="161">
        <f t="shared" si="54"/>
        <v>260540.24737203232</v>
      </c>
      <c r="Z44" s="161">
        <f t="shared" si="54"/>
        <v>243956.07466101128</v>
      </c>
      <c r="AA44" s="161">
        <f t="shared" si="54"/>
        <v>240517.62619544895</v>
      </c>
      <c r="AB44" s="161">
        <f t="shared" si="54"/>
        <v>202894.53140256857</v>
      </c>
      <c r="AC44" s="161">
        <f t="shared" si="54"/>
        <v>199008.08496533454</v>
      </c>
      <c r="AD44" s="161">
        <f t="shared" si="54"/>
        <v>172611.66662505362</v>
      </c>
      <c r="AE44" s="161">
        <f t="shared" si="54"/>
        <v>156985.15386180909</v>
      </c>
      <c r="AF44" s="161">
        <f t="shared" si="54"/>
        <v>152130.55802420925</v>
      </c>
      <c r="AG44" s="161">
        <f t="shared" si="54"/>
        <v>137583.76712145444</v>
      </c>
      <c r="AH44" s="161">
        <f t="shared" si="54"/>
        <v>127303.30374848653</v>
      </c>
      <c r="AI44" s="161">
        <f t="shared" ref="AI44:AR44" si="63">AI59/$M$1*$M$2</f>
        <v>136876.06311934671</v>
      </c>
      <c r="AJ44" s="161">
        <f t="shared" si="63"/>
        <v>135689.76807801222</v>
      </c>
      <c r="AK44" s="161">
        <f t="shared" si="63"/>
        <v>157014.54928280076</v>
      </c>
      <c r="AL44" s="161">
        <f t="shared" si="63"/>
        <v>180160.16384086147</v>
      </c>
      <c r="AM44" s="161">
        <f t="shared" si="63"/>
        <v>129953.81604994297</v>
      </c>
      <c r="AN44" s="161">
        <f t="shared" si="63"/>
        <v>129419.89968316004</v>
      </c>
      <c r="AO44" s="161">
        <f t="shared" si="63"/>
        <v>118586.4421402146</v>
      </c>
      <c r="AP44" s="161">
        <f t="shared" si="63"/>
        <v>126308.4184527819</v>
      </c>
      <c r="AQ44" s="161">
        <f t="shared" si="63"/>
        <v>100370.61315040158</v>
      </c>
      <c r="AR44" s="161">
        <f t="shared" si="63"/>
        <v>110625.02216886586</v>
      </c>
    </row>
    <row r="45" spans="1:44" ht="13.5" hidden="1" outlineLevel="1" thickBot="1">
      <c r="A45" s="159" t="s">
        <v>29</v>
      </c>
      <c r="B45" s="159" t="s">
        <v>26</v>
      </c>
      <c r="C45" s="54"/>
      <c r="D45" s="70" t="s">
        <v>26</v>
      </c>
      <c r="E45" s="160">
        <f t="shared" si="56"/>
        <v>14264.149419485108</v>
      </c>
      <c r="F45" s="160">
        <f t="shared" si="53"/>
        <v>98616.949467570201</v>
      </c>
      <c r="G45" s="160">
        <f t="shared" si="53"/>
        <v>269266.73154416599</v>
      </c>
      <c r="H45" s="160">
        <f t="shared" si="53"/>
        <v>335522.22155216348</v>
      </c>
      <c r="I45" s="160">
        <f t="shared" si="53"/>
        <v>300692.54766307306</v>
      </c>
      <c r="J45" s="160">
        <f t="shared" si="53"/>
        <v>150154.75459833004</v>
      </c>
      <c r="K45" s="160">
        <f t="shared" si="53"/>
        <v>111909.31276692472</v>
      </c>
      <c r="L45" s="160">
        <f t="shared" si="53"/>
        <v>22609.697110018151</v>
      </c>
      <c r="M45" s="160">
        <f t="shared" si="53"/>
        <v>0</v>
      </c>
      <c r="N45" s="160">
        <f t="shared" si="53"/>
        <v>0</v>
      </c>
      <c r="O45" s="160">
        <f t="shared" si="53"/>
        <v>0</v>
      </c>
      <c r="P45" s="161">
        <f t="shared" si="57"/>
        <v>0</v>
      </c>
      <c r="Q45" s="161">
        <f t="shared" si="54"/>
        <v>0</v>
      </c>
      <c r="R45" s="161">
        <f t="shared" si="54"/>
        <v>0</v>
      </c>
      <c r="S45" s="161">
        <f t="shared" si="54"/>
        <v>0</v>
      </c>
      <c r="T45" s="161">
        <f t="shared" si="54"/>
        <v>0</v>
      </c>
      <c r="U45" s="161">
        <f t="shared" si="54"/>
        <v>0</v>
      </c>
      <c r="V45" s="161">
        <f t="shared" si="54"/>
        <v>0</v>
      </c>
      <c r="W45" s="161">
        <f t="shared" si="54"/>
        <v>0</v>
      </c>
      <c r="X45" s="161">
        <f t="shared" si="54"/>
        <v>0</v>
      </c>
      <c r="Y45" s="161">
        <f t="shared" si="54"/>
        <v>0</v>
      </c>
      <c r="Z45" s="161">
        <f t="shared" si="54"/>
        <v>0</v>
      </c>
      <c r="AA45" s="161">
        <f t="shared" si="54"/>
        <v>0</v>
      </c>
      <c r="AB45" s="161">
        <f t="shared" si="54"/>
        <v>0</v>
      </c>
      <c r="AC45" s="161">
        <f t="shared" si="54"/>
        <v>0</v>
      </c>
      <c r="AD45" s="161">
        <f t="shared" si="54"/>
        <v>0</v>
      </c>
      <c r="AE45" s="161">
        <f t="shared" si="54"/>
        <v>0</v>
      </c>
      <c r="AF45" s="161">
        <f t="shared" si="54"/>
        <v>0</v>
      </c>
      <c r="AG45" s="161">
        <f t="shared" si="54"/>
        <v>0</v>
      </c>
      <c r="AH45" s="161">
        <f t="shared" si="54"/>
        <v>0</v>
      </c>
      <c r="AI45" s="161">
        <f t="shared" ref="AI45:AR45" si="64">AI60/$M$1*$M$2</f>
        <v>0</v>
      </c>
      <c r="AJ45" s="161">
        <f t="shared" si="64"/>
        <v>0</v>
      </c>
      <c r="AK45" s="161">
        <f t="shared" si="64"/>
        <v>0</v>
      </c>
      <c r="AL45" s="161">
        <f t="shared" si="64"/>
        <v>0</v>
      </c>
      <c r="AM45" s="161">
        <f t="shared" si="64"/>
        <v>0</v>
      </c>
      <c r="AN45" s="161">
        <f t="shared" si="64"/>
        <v>0</v>
      </c>
      <c r="AO45" s="161">
        <f t="shared" si="64"/>
        <v>0</v>
      </c>
      <c r="AP45" s="161">
        <f t="shared" si="64"/>
        <v>0</v>
      </c>
      <c r="AQ45" s="161">
        <f t="shared" si="64"/>
        <v>0</v>
      </c>
      <c r="AR45" s="161">
        <f t="shared" si="64"/>
        <v>0</v>
      </c>
    </row>
    <row r="46" spans="1:44" ht="13.5" hidden="1" outlineLevel="1" thickBot="1">
      <c r="A46" s="159"/>
      <c r="B46" s="159" t="s">
        <v>27</v>
      </c>
      <c r="C46" s="54"/>
      <c r="D46" s="70" t="s">
        <v>121</v>
      </c>
      <c r="E46" s="160">
        <f t="shared" si="56"/>
        <v>184675.37607269056</v>
      </c>
      <c r="F46" s="160">
        <f t="shared" si="53"/>
        <v>336956.87744433689</v>
      </c>
      <c r="G46" s="160">
        <f t="shared" si="53"/>
        <v>802676.43999167928</v>
      </c>
      <c r="H46" s="160">
        <f t="shared" si="53"/>
        <v>244096.26382893207</v>
      </c>
      <c r="I46" s="160">
        <f t="shared" si="53"/>
        <v>185235.70051573362</v>
      </c>
      <c r="J46" s="160">
        <f t="shared" si="53"/>
        <v>101680.17093482896</v>
      </c>
      <c r="K46" s="160">
        <f t="shared" si="53"/>
        <v>85107.934944531706</v>
      </c>
      <c r="L46" s="160">
        <f t="shared" si="53"/>
        <v>17251.234999688193</v>
      </c>
      <c r="M46" s="160">
        <f t="shared" si="53"/>
        <v>0</v>
      </c>
      <c r="N46" s="160">
        <f t="shared" si="53"/>
        <v>0</v>
      </c>
      <c r="O46" s="160">
        <f t="shared" si="53"/>
        <v>0</v>
      </c>
      <c r="P46" s="161">
        <f t="shared" si="57"/>
        <v>0</v>
      </c>
      <c r="Q46" s="161">
        <f t="shared" si="54"/>
        <v>0</v>
      </c>
      <c r="R46" s="161">
        <f t="shared" si="54"/>
        <v>0</v>
      </c>
      <c r="S46" s="161">
        <f t="shared" si="54"/>
        <v>0</v>
      </c>
      <c r="T46" s="161">
        <f t="shared" si="54"/>
        <v>0</v>
      </c>
      <c r="U46" s="161">
        <f t="shared" si="54"/>
        <v>0</v>
      </c>
      <c r="V46" s="161">
        <f t="shared" si="54"/>
        <v>0</v>
      </c>
      <c r="W46" s="161">
        <f t="shared" si="54"/>
        <v>0</v>
      </c>
      <c r="X46" s="161">
        <f t="shared" si="54"/>
        <v>0</v>
      </c>
      <c r="Y46" s="161">
        <f t="shared" si="54"/>
        <v>0</v>
      </c>
      <c r="Z46" s="161">
        <f t="shared" si="54"/>
        <v>0</v>
      </c>
      <c r="AA46" s="161">
        <f t="shared" si="54"/>
        <v>0</v>
      </c>
      <c r="AB46" s="161">
        <f t="shared" si="54"/>
        <v>0</v>
      </c>
      <c r="AC46" s="161">
        <f t="shared" si="54"/>
        <v>0</v>
      </c>
      <c r="AD46" s="161">
        <f t="shared" si="54"/>
        <v>0</v>
      </c>
      <c r="AE46" s="161">
        <f t="shared" si="54"/>
        <v>0</v>
      </c>
      <c r="AF46" s="161">
        <f t="shared" si="54"/>
        <v>0</v>
      </c>
      <c r="AG46" s="161">
        <f t="shared" si="54"/>
        <v>0</v>
      </c>
      <c r="AH46" s="161">
        <f t="shared" si="54"/>
        <v>0</v>
      </c>
      <c r="AI46" s="161">
        <f t="shared" ref="AI46:AR46" si="65">AI61/$M$1*$M$2</f>
        <v>0</v>
      </c>
      <c r="AJ46" s="161">
        <f t="shared" si="65"/>
        <v>0</v>
      </c>
      <c r="AK46" s="161">
        <f t="shared" si="65"/>
        <v>0</v>
      </c>
      <c r="AL46" s="161">
        <f t="shared" si="65"/>
        <v>0</v>
      </c>
      <c r="AM46" s="161">
        <f t="shared" si="65"/>
        <v>0</v>
      </c>
      <c r="AN46" s="161">
        <f t="shared" si="65"/>
        <v>0</v>
      </c>
      <c r="AO46" s="161">
        <f t="shared" si="65"/>
        <v>0</v>
      </c>
      <c r="AP46" s="161">
        <f t="shared" si="65"/>
        <v>0</v>
      </c>
      <c r="AQ46" s="161">
        <f t="shared" si="65"/>
        <v>0</v>
      </c>
      <c r="AR46" s="161">
        <f t="shared" si="65"/>
        <v>0</v>
      </c>
    </row>
    <row r="47" spans="1:44" ht="13.5" hidden="1" outlineLevel="1" thickBot="1">
      <c r="A47" s="159" t="s">
        <v>30</v>
      </c>
      <c r="B47" s="165" t="s">
        <v>127</v>
      </c>
      <c r="C47" s="54"/>
      <c r="D47" s="70" t="s">
        <v>121</v>
      </c>
      <c r="E47" s="160">
        <f t="shared" si="56"/>
        <v>19855.222337125128</v>
      </c>
      <c r="F47" s="160">
        <f t="shared" si="53"/>
        <v>43681.48914167528</v>
      </c>
      <c r="G47" s="160">
        <f t="shared" si="53"/>
        <v>152885.2119958635</v>
      </c>
      <c r="H47" s="160">
        <f t="shared" si="53"/>
        <v>22965.865447573131</v>
      </c>
      <c r="I47" s="160">
        <f t="shared" si="53"/>
        <v>15740.450856759737</v>
      </c>
      <c r="J47" s="160">
        <f t="shared" si="53"/>
        <v>6925.798376974285</v>
      </c>
      <c r="K47" s="160">
        <f t="shared" si="53"/>
        <v>0</v>
      </c>
      <c r="L47" s="160">
        <f t="shared" si="53"/>
        <v>0</v>
      </c>
      <c r="M47" s="160">
        <f t="shared" si="53"/>
        <v>26370.004120313148</v>
      </c>
      <c r="N47" s="160">
        <f t="shared" si="53"/>
        <v>26370.004120313148</v>
      </c>
      <c r="O47" s="160">
        <f t="shared" ref="F47:O49" si="66">O17/$E$2*$M$2</f>
        <v>10548.001648125259</v>
      </c>
      <c r="P47" s="161">
        <f t="shared" si="57"/>
        <v>18881.406757281555</v>
      </c>
      <c r="Q47" s="161">
        <f t="shared" si="54"/>
        <v>36682.145553398062</v>
      </c>
      <c r="R47" s="161">
        <f t="shared" si="54"/>
        <v>41797.651883495142</v>
      </c>
      <c r="S47" s="161">
        <f t="shared" si="54"/>
        <v>46653.718368932037</v>
      </c>
      <c r="T47" s="161">
        <f t="shared" si="54"/>
        <v>43709.01250485437</v>
      </c>
      <c r="U47" s="161">
        <f t="shared" si="54"/>
        <v>133011.44605825242</v>
      </c>
      <c r="V47" s="161">
        <f t="shared" si="54"/>
        <v>22130.701456296367</v>
      </c>
      <c r="W47" s="161">
        <f t="shared" si="54"/>
        <v>22269.724941893561</v>
      </c>
      <c r="X47" s="161">
        <f t="shared" si="54"/>
        <v>22270.590272094429</v>
      </c>
      <c r="Y47" s="161">
        <f t="shared" si="54"/>
        <v>22900.100550531683</v>
      </c>
      <c r="Z47" s="161">
        <f t="shared" si="54"/>
        <v>22826.672828770308</v>
      </c>
      <c r="AA47" s="161">
        <f t="shared" si="54"/>
        <v>23027.02679274619</v>
      </c>
      <c r="AB47" s="161">
        <f t="shared" si="54"/>
        <v>23155.941243894373</v>
      </c>
      <c r="AC47" s="161">
        <f t="shared" si="54"/>
        <v>23293.562970480798</v>
      </c>
      <c r="AD47" s="161">
        <f t="shared" si="54"/>
        <v>23424.907626457167</v>
      </c>
      <c r="AE47" s="161">
        <f t="shared" si="54"/>
        <v>23560.304727483555</v>
      </c>
      <c r="AF47" s="161">
        <f t="shared" si="54"/>
        <v>23687.490160229434</v>
      </c>
      <c r="AG47" s="161">
        <f t="shared" si="54"/>
        <v>23820.659941862843</v>
      </c>
      <c r="AH47" s="161">
        <f t="shared" si="54"/>
        <v>23954.424552995712</v>
      </c>
      <c r="AI47" s="161">
        <f t="shared" ref="AI47:AR47" si="67">AI62/$M$1*$M$2</f>
        <v>24080.526448034005</v>
      </c>
      <c r="AJ47" s="161">
        <f t="shared" si="67"/>
        <v>24213.318808942844</v>
      </c>
      <c r="AK47" s="161">
        <f t="shared" si="67"/>
        <v>24334.16927457157</v>
      </c>
      <c r="AL47" s="161">
        <f t="shared" si="67"/>
        <v>24459.122176689696</v>
      </c>
      <c r="AM47" s="161">
        <f t="shared" si="67"/>
        <v>24585.265410574531</v>
      </c>
      <c r="AN47" s="161">
        <f t="shared" si="67"/>
        <v>24701.923940293073</v>
      </c>
      <c r="AO47" s="161">
        <f t="shared" si="67"/>
        <v>24822.462662801481</v>
      </c>
      <c r="AP47" s="161">
        <f t="shared" si="67"/>
        <v>24921.00940092907</v>
      </c>
      <c r="AQ47" s="161">
        <f t="shared" si="67"/>
        <v>25023.906909063109</v>
      </c>
      <c r="AR47" s="161">
        <f t="shared" si="67"/>
        <v>25130.740941955424</v>
      </c>
    </row>
    <row r="48" spans="1:44" ht="13.5" hidden="1" outlineLevel="1" thickBot="1">
      <c r="A48" s="159" t="s">
        <v>31</v>
      </c>
      <c r="B48" s="159" t="s">
        <v>32</v>
      </c>
      <c r="C48" s="54"/>
      <c r="D48" s="70" t="s">
        <v>13</v>
      </c>
      <c r="E48" s="160">
        <f t="shared" si="56"/>
        <v>414551.89245087898</v>
      </c>
      <c r="F48" s="160">
        <f t="shared" si="66"/>
        <v>72300.806618407441</v>
      </c>
      <c r="G48" s="160">
        <f t="shared" si="66"/>
        <v>794208.89348500513</v>
      </c>
      <c r="H48" s="160">
        <f t="shared" si="66"/>
        <v>58886.83448095675</v>
      </c>
      <c r="I48" s="160">
        <f t="shared" si="66"/>
        <v>58297.966136147181</v>
      </c>
      <c r="J48" s="160">
        <f t="shared" si="66"/>
        <v>634864.85122264281</v>
      </c>
      <c r="K48" s="160">
        <f t="shared" si="66"/>
        <v>57137.836610037855</v>
      </c>
      <c r="L48" s="160">
        <f t="shared" si="66"/>
        <v>56566.458243937479</v>
      </c>
      <c r="M48" s="160">
        <f t="shared" si="66"/>
        <v>128685.62010712815</v>
      </c>
      <c r="N48" s="160">
        <f t="shared" si="66"/>
        <v>23205.603625875567</v>
      </c>
      <c r="O48" s="160">
        <f t="shared" si="66"/>
        <v>22150.803461063038</v>
      </c>
      <c r="P48" s="161">
        <f t="shared" si="57"/>
        <v>560520.10585141554</v>
      </c>
      <c r="Q48" s="161">
        <f t="shared" si="54"/>
        <v>113141.46507471641</v>
      </c>
      <c r="R48" s="161">
        <f t="shared" si="54"/>
        <v>113141.46507471641</v>
      </c>
      <c r="S48" s="161">
        <f t="shared" si="54"/>
        <v>113141.46507471641</v>
      </c>
      <c r="T48" s="161">
        <f t="shared" si="54"/>
        <v>113141.46507471641</v>
      </c>
      <c r="U48" s="161">
        <f t="shared" si="54"/>
        <v>113141.46507471641</v>
      </c>
      <c r="V48" s="161">
        <f t="shared" si="54"/>
        <v>0</v>
      </c>
      <c r="W48" s="161">
        <f t="shared" si="54"/>
        <v>0</v>
      </c>
      <c r="X48" s="161">
        <f t="shared" si="54"/>
        <v>0</v>
      </c>
      <c r="Y48" s="161">
        <f t="shared" si="54"/>
        <v>0</v>
      </c>
      <c r="Z48" s="161">
        <f t="shared" si="54"/>
        <v>0</v>
      </c>
      <c r="AA48" s="161">
        <f t="shared" si="54"/>
        <v>0</v>
      </c>
      <c r="AB48" s="161">
        <f t="shared" si="54"/>
        <v>0</v>
      </c>
      <c r="AC48" s="161">
        <f t="shared" si="54"/>
        <v>0</v>
      </c>
      <c r="AD48" s="161">
        <f t="shared" si="54"/>
        <v>0</v>
      </c>
      <c r="AE48" s="161">
        <f t="shared" si="54"/>
        <v>0</v>
      </c>
      <c r="AF48" s="161">
        <f t="shared" si="54"/>
        <v>0</v>
      </c>
      <c r="AG48" s="161">
        <f t="shared" si="54"/>
        <v>0</v>
      </c>
      <c r="AH48" s="161">
        <f t="shared" si="54"/>
        <v>0</v>
      </c>
      <c r="AI48" s="161">
        <f t="shared" ref="AI48:AR48" si="68">AI63/$M$1*$M$2</f>
        <v>0</v>
      </c>
      <c r="AJ48" s="161">
        <f t="shared" si="68"/>
        <v>0</v>
      </c>
      <c r="AK48" s="161">
        <f t="shared" si="68"/>
        <v>0</v>
      </c>
      <c r="AL48" s="161">
        <f t="shared" si="68"/>
        <v>0</v>
      </c>
      <c r="AM48" s="161">
        <f t="shared" si="68"/>
        <v>0</v>
      </c>
      <c r="AN48" s="161">
        <f t="shared" si="68"/>
        <v>0</v>
      </c>
      <c r="AO48" s="161">
        <f t="shared" si="68"/>
        <v>0</v>
      </c>
      <c r="AP48" s="161">
        <f t="shared" si="68"/>
        <v>0</v>
      </c>
      <c r="AQ48" s="161">
        <f t="shared" si="68"/>
        <v>0</v>
      </c>
      <c r="AR48" s="161">
        <f t="shared" si="68"/>
        <v>0</v>
      </c>
    </row>
    <row r="49" spans="1:69" ht="13.5" hidden="1" outlineLevel="1" thickBot="1">
      <c r="A49" s="159" t="s">
        <v>33</v>
      </c>
      <c r="C49" s="54"/>
      <c r="D49" s="70" t="s">
        <v>49</v>
      </c>
      <c r="E49" s="160">
        <f t="shared" si="56"/>
        <v>0</v>
      </c>
      <c r="F49" s="160">
        <f t="shared" si="66"/>
        <v>0</v>
      </c>
      <c r="G49" s="160">
        <f t="shared" si="66"/>
        <v>0</v>
      </c>
      <c r="H49" s="160">
        <f t="shared" si="66"/>
        <v>0</v>
      </c>
      <c r="I49" s="160">
        <f t="shared" si="66"/>
        <v>0</v>
      </c>
      <c r="J49" s="160">
        <f t="shared" si="66"/>
        <v>0</v>
      </c>
      <c r="K49" s="160">
        <f t="shared" si="66"/>
        <v>0</v>
      </c>
      <c r="L49" s="160">
        <f t="shared" si="66"/>
        <v>0</v>
      </c>
      <c r="M49" s="160">
        <f t="shared" si="66"/>
        <v>0</v>
      </c>
      <c r="N49" s="160">
        <f t="shared" si="66"/>
        <v>0</v>
      </c>
      <c r="O49" s="160">
        <f t="shared" si="66"/>
        <v>0</v>
      </c>
      <c r="P49" s="161">
        <f t="shared" si="57"/>
        <v>0</v>
      </c>
      <c r="Q49" s="161">
        <f t="shared" si="54"/>
        <v>0</v>
      </c>
      <c r="R49" s="161">
        <f t="shared" si="54"/>
        <v>0</v>
      </c>
      <c r="S49" s="161">
        <f t="shared" si="54"/>
        <v>0</v>
      </c>
      <c r="T49" s="161">
        <f t="shared" si="54"/>
        <v>0</v>
      </c>
      <c r="U49" s="161">
        <f t="shared" si="54"/>
        <v>0</v>
      </c>
      <c r="V49" s="161">
        <f t="shared" si="54"/>
        <v>0</v>
      </c>
      <c r="W49" s="161">
        <f t="shared" si="54"/>
        <v>0</v>
      </c>
      <c r="X49" s="161">
        <f t="shared" si="54"/>
        <v>0</v>
      </c>
      <c r="Y49" s="161">
        <f t="shared" si="54"/>
        <v>0</v>
      </c>
      <c r="Z49" s="161">
        <f t="shared" si="54"/>
        <v>0</v>
      </c>
      <c r="AA49" s="161">
        <f t="shared" si="54"/>
        <v>0</v>
      </c>
      <c r="AB49" s="161">
        <f t="shared" si="54"/>
        <v>0</v>
      </c>
      <c r="AC49" s="161">
        <f t="shared" si="54"/>
        <v>0</v>
      </c>
      <c r="AD49" s="161">
        <f t="shared" si="54"/>
        <v>0</v>
      </c>
      <c r="AE49" s="161">
        <f t="shared" si="54"/>
        <v>0</v>
      </c>
      <c r="AF49" s="161">
        <f t="shared" si="54"/>
        <v>0</v>
      </c>
      <c r="AG49" s="161">
        <f t="shared" si="54"/>
        <v>0</v>
      </c>
      <c r="AH49" s="161">
        <f t="shared" si="54"/>
        <v>0</v>
      </c>
      <c r="AI49" s="161">
        <f t="shared" ref="AI49:AR49" si="69">AI64/$M$1*$M$2</f>
        <v>0</v>
      </c>
      <c r="AJ49" s="161">
        <f t="shared" si="69"/>
        <v>0</v>
      </c>
      <c r="AK49" s="161">
        <f t="shared" si="69"/>
        <v>0</v>
      </c>
      <c r="AL49" s="161">
        <f t="shared" si="69"/>
        <v>0</v>
      </c>
      <c r="AM49" s="161">
        <f t="shared" si="69"/>
        <v>0</v>
      </c>
      <c r="AN49" s="161">
        <f t="shared" si="69"/>
        <v>0</v>
      </c>
      <c r="AO49" s="161">
        <f t="shared" si="69"/>
        <v>0</v>
      </c>
      <c r="AP49" s="161">
        <f t="shared" si="69"/>
        <v>0</v>
      </c>
      <c r="AQ49" s="161">
        <f t="shared" si="69"/>
        <v>0</v>
      </c>
      <c r="AR49" s="161">
        <f t="shared" si="69"/>
        <v>0</v>
      </c>
    </row>
    <row r="50" spans="1:69" ht="13.5" hidden="1" outlineLevel="1" thickBot="1">
      <c r="A50" s="162"/>
      <c r="C50" s="54"/>
      <c r="D50" s="71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3"/>
      <c r="AK50" s="163"/>
      <c r="AL50" s="163"/>
      <c r="AM50" s="163"/>
      <c r="AN50" s="163"/>
      <c r="AO50" s="163"/>
      <c r="AP50" s="163"/>
      <c r="AQ50" s="163"/>
      <c r="AR50" s="163"/>
    </row>
    <row r="51" spans="1:69" ht="13.5" hidden="1" outlineLevel="1" thickBot="1">
      <c r="A51" s="158" t="s">
        <v>122</v>
      </c>
      <c r="C51" s="54"/>
      <c r="D51" s="28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73"/>
      <c r="Q51" s="7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3"/>
      <c r="AK51" s="163"/>
      <c r="AL51" s="163"/>
      <c r="AM51" s="163"/>
      <c r="AN51" s="163"/>
      <c r="AO51" s="163"/>
      <c r="AP51" s="163"/>
      <c r="AQ51" s="163"/>
      <c r="AR51" s="163"/>
    </row>
    <row r="52" spans="1:69" ht="13.5" hidden="1" outlineLevel="1" thickBot="1">
      <c r="A52" s="159"/>
      <c r="B52" s="117"/>
      <c r="C52" s="54"/>
      <c r="D52" s="28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</row>
    <row r="53" spans="1:69" ht="13.5" hidden="1" outlineLevel="1" thickBot="1">
      <c r="A53" s="159" t="s">
        <v>20</v>
      </c>
      <c r="B53" s="159" t="s">
        <v>123</v>
      </c>
      <c r="C53" s="54"/>
      <c r="D53" s="70" t="s">
        <v>49</v>
      </c>
      <c r="E53" s="160">
        <f>E38/$M$2*$M$1</f>
        <v>9217546.1230735723</v>
      </c>
      <c r="F53" s="160">
        <f t="shared" ref="F53:O53" si="70">F38/$M$2*$M$1</f>
        <v>12048503.496158866</v>
      </c>
      <c r="G53" s="160">
        <f t="shared" si="70"/>
        <v>9096078.905952299</v>
      </c>
      <c r="H53" s="160">
        <f t="shared" si="70"/>
        <v>10901993.009229621</v>
      </c>
      <c r="I53" s="160">
        <f t="shared" si="70"/>
        <v>10755547.181657929</v>
      </c>
      <c r="J53" s="160">
        <f t="shared" si="70"/>
        <v>7351733.0016374039</v>
      </c>
      <c r="K53" s="160">
        <f t="shared" si="70"/>
        <v>5591237.3255220773</v>
      </c>
      <c r="L53" s="160">
        <f t="shared" si="70"/>
        <v>4906647.0024221418</v>
      </c>
      <c r="M53" s="160">
        <f t="shared" si="70"/>
        <v>980659.94586952613</v>
      </c>
      <c r="N53" s="160">
        <f t="shared" si="70"/>
        <v>828777.31086510886</v>
      </c>
      <c r="O53" s="160">
        <f t="shared" si="70"/>
        <v>749649.17385531624</v>
      </c>
      <c r="P53" s="161">
        <v>0</v>
      </c>
      <c r="Q53" s="161">
        <v>0</v>
      </c>
      <c r="R53" s="161">
        <v>0</v>
      </c>
      <c r="S53" s="161">
        <v>0</v>
      </c>
      <c r="T53" s="161">
        <v>0</v>
      </c>
      <c r="U53" s="161">
        <v>0</v>
      </c>
      <c r="V53" s="161">
        <v>0</v>
      </c>
      <c r="W53" s="161">
        <v>0</v>
      </c>
      <c r="X53" s="161">
        <v>0</v>
      </c>
      <c r="Y53" s="161">
        <v>0</v>
      </c>
      <c r="Z53" s="161">
        <v>0</v>
      </c>
      <c r="AA53" s="161">
        <v>0</v>
      </c>
      <c r="AB53" s="161">
        <v>0</v>
      </c>
      <c r="AC53" s="161">
        <v>0</v>
      </c>
      <c r="AD53" s="161">
        <v>0</v>
      </c>
      <c r="AE53" s="161">
        <v>0</v>
      </c>
      <c r="AF53" s="161">
        <v>0</v>
      </c>
      <c r="AG53" s="161">
        <v>0</v>
      </c>
      <c r="AH53" s="161">
        <v>0</v>
      </c>
      <c r="AI53" s="161">
        <v>0</v>
      </c>
      <c r="AJ53" s="161">
        <v>0</v>
      </c>
      <c r="AK53" s="161">
        <v>0</v>
      </c>
      <c r="AL53" s="161">
        <v>0</v>
      </c>
      <c r="AM53" s="161">
        <v>0</v>
      </c>
      <c r="AN53" s="161">
        <v>0</v>
      </c>
      <c r="AO53" s="161">
        <v>0</v>
      </c>
      <c r="AP53" s="161">
        <v>0</v>
      </c>
      <c r="AQ53" s="161">
        <v>0</v>
      </c>
      <c r="AR53" s="161">
        <v>0</v>
      </c>
    </row>
    <row r="54" spans="1:69" ht="13.5" hidden="1" outlineLevel="1" thickBot="1">
      <c r="A54" s="159"/>
      <c r="B54" s="159" t="s">
        <v>23</v>
      </c>
      <c r="C54" s="54"/>
      <c r="D54" s="70" t="s">
        <v>121</v>
      </c>
      <c r="E54" s="160">
        <f t="shared" ref="E54:O64" si="71">E39/$M$2*$M$1</f>
        <v>0</v>
      </c>
      <c r="F54" s="160">
        <f t="shared" si="71"/>
        <v>34807.578667454574</v>
      </c>
      <c r="G54" s="160">
        <f t="shared" si="71"/>
        <v>110319.10178756094</v>
      </c>
      <c r="H54" s="160">
        <f t="shared" si="71"/>
        <v>103080.43608088874</v>
      </c>
      <c r="I54" s="160">
        <f t="shared" si="71"/>
        <v>133775.46086414525</v>
      </c>
      <c r="J54" s="160">
        <f t="shared" si="71"/>
        <v>136129.48357334142</v>
      </c>
      <c r="K54" s="160">
        <f t="shared" si="71"/>
        <v>70030.333209465563</v>
      </c>
      <c r="L54" s="160">
        <f t="shared" si="71"/>
        <v>70975.152674679121</v>
      </c>
      <c r="M54" s="160">
        <f t="shared" si="71"/>
        <v>0</v>
      </c>
      <c r="N54" s="160">
        <f t="shared" si="71"/>
        <v>0</v>
      </c>
      <c r="O54" s="160">
        <f t="shared" si="71"/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0</v>
      </c>
      <c r="V54" s="161">
        <v>0</v>
      </c>
      <c r="W54" s="161">
        <v>0</v>
      </c>
      <c r="X54" s="161">
        <v>0</v>
      </c>
      <c r="Y54" s="161">
        <v>0</v>
      </c>
      <c r="Z54" s="161">
        <v>0</v>
      </c>
      <c r="AA54" s="161">
        <v>0</v>
      </c>
      <c r="AB54" s="161">
        <v>0</v>
      </c>
      <c r="AC54" s="161">
        <v>0</v>
      </c>
      <c r="AD54" s="161">
        <v>0</v>
      </c>
      <c r="AE54" s="161">
        <v>0</v>
      </c>
      <c r="AF54" s="161">
        <v>0</v>
      </c>
      <c r="AG54" s="161">
        <v>0</v>
      </c>
      <c r="AH54" s="161">
        <v>0</v>
      </c>
      <c r="AI54" s="161">
        <v>0</v>
      </c>
      <c r="AJ54" s="161">
        <v>0</v>
      </c>
      <c r="AK54" s="161">
        <v>0</v>
      </c>
      <c r="AL54" s="161">
        <v>0</v>
      </c>
      <c r="AM54" s="161">
        <v>0</v>
      </c>
      <c r="AN54" s="161">
        <v>0</v>
      </c>
      <c r="AO54" s="161">
        <v>0</v>
      </c>
      <c r="AP54" s="161">
        <v>0</v>
      </c>
      <c r="AQ54" s="161">
        <v>0</v>
      </c>
      <c r="AR54" s="161">
        <v>0</v>
      </c>
    </row>
    <row r="55" spans="1:69" ht="13.5" hidden="1" outlineLevel="1" thickBot="1">
      <c r="A55" s="159" t="s">
        <v>25</v>
      </c>
      <c r="B55" s="165" t="s">
        <v>126</v>
      </c>
      <c r="C55" s="54"/>
      <c r="D55" s="70" t="s">
        <v>49</v>
      </c>
      <c r="E55" s="160">
        <f t="shared" si="71"/>
        <v>0</v>
      </c>
      <c r="F55" s="160">
        <f t="shared" si="71"/>
        <v>0</v>
      </c>
      <c r="G55" s="160">
        <f t="shared" si="71"/>
        <v>298198.33368019649</v>
      </c>
      <c r="H55" s="160">
        <f t="shared" si="71"/>
        <v>868506.91660878609</v>
      </c>
      <c r="I55" s="160">
        <f t="shared" si="71"/>
        <v>722632.9152533781</v>
      </c>
      <c r="J55" s="160">
        <f t="shared" si="71"/>
        <v>763991.661828449</v>
      </c>
      <c r="K55" s="160">
        <f t="shared" si="71"/>
        <v>808562.79848682845</v>
      </c>
      <c r="L55" s="160">
        <f t="shared" si="71"/>
        <v>476118.61285627488</v>
      </c>
      <c r="M55" s="160">
        <f t="shared" si="71"/>
        <v>7181740.2697693007</v>
      </c>
      <c r="N55" s="160">
        <f t="shared" si="71"/>
        <v>5641960.6149681704</v>
      </c>
      <c r="O55" s="160">
        <f t="shared" si="71"/>
        <v>5059552.7952881968</v>
      </c>
      <c r="P55" s="161">
        <v>9541212.4318424575</v>
      </c>
      <c r="Q55" s="161">
        <v>9182443.5709464699</v>
      </c>
      <c r="R55" s="161">
        <v>9242433.659845978</v>
      </c>
      <c r="S55" s="161">
        <v>9607283.6857505627</v>
      </c>
      <c r="T55" s="161">
        <v>9564090.5088568032</v>
      </c>
      <c r="U55" s="161">
        <v>10369881.435138984</v>
      </c>
      <c r="V55" s="161">
        <v>7534590.0873713493</v>
      </c>
      <c r="W55" s="161">
        <v>6668535.6753690001</v>
      </c>
      <c r="X55" s="161">
        <v>6944154.8505049124</v>
      </c>
      <c r="Y55" s="161">
        <v>4338277.051198855</v>
      </c>
      <c r="Z55" s="161">
        <v>2086277.748341925</v>
      </c>
      <c r="AA55" s="161">
        <v>2067601.0861347425</v>
      </c>
      <c r="AB55" s="161">
        <v>2058386.1663804345</v>
      </c>
      <c r="AC55" s="161">
        <v>2050347.8072952118</v>
      </c>
      <c r="AD55" s="161">
        <v>2043676.4868318497</v>
      </c>
      <c r="AE55" s="161">
        <v>2038643.1255178577</v>
      </c>
      <c r="AF55" s="161">
        <v>2034179.279626827</v>
      </c>
      <c r="AG55" s="161">
        <v>2031335.8063933856</v>
      </c>
      <c r="AH55" s="161">
        <v>2028954.3331971825</v>
      </c>
      <c r="AI55" s="161">
        <v>2027228.6546602901</v>
      </c>
      <c r="AJ55" s="161">
        <v>2026510.4062267442</v>
      </c>
      <c r="AK55" s="161">
        <v>2026196.5408580992</v>
      </c>
      <c r="AL55" s="161">
        <v>2026336.5828045704</v>
      </c>
      <c r="AM55" s="161">
        <v>2027463.7605165751</v>
      </c>
      <c r="AN55" s="161">
        <v>2028563.8119563367</v>
      </c>
      <c r="AO55" s="161">
        <v>2030067.8908073842</v>
      </c>
      <c r="AP55" s="161">
        <v>2031235.0760031326</v>
      </c>
      <c r="AQ55" s="161">
        <v>2032784.9741507992</v>
      </c>
      <c r="AR55" s="161">
        <v>2034781.5808827523</v>
      </c>
    </row>
    <row r="56" spans="1:69" ht="13.5" hidden="1" outlineLevel="1" thickBot="1">
      <c r="A56" s="159" t="s">
        <v>10</v>
      </c>
      <c r="B56" s="159" t="s">
        <v>26</v>
      </c>
      <c r="C56" s="54"/>
      <c r="D56" s="70" t="s">
        <v>26</v>
      </c>
      <c r="E56" s="160">
        <f t="shared" si="71"/>
        <v>207502.62493690057</v>
      </c>
      <c r="F56" s="160">
        <f t="shared" si="71"/>
        <v>386742.66505324229</v>
      </c>
      <c r="G56" s="160">
        <f t="shared" si="71"/>
        <v>782936.56985710631</v>
      </c>
      <c r="H56" s="160">
        <f t="shared" si="71"/>
        <v>1431401.6628491352</v>
      </c>
      <c r="I56" s="160">
        <f t="shared" si="71"/>
        <v>1607677.926065743</v>
      </c>
      <c r="J56" s="160">
        <f t="shared" si="71"/>
        <v>1628681.1299701822</v>
      </c>
      <c r="K56" s="160">
        <f t="shared" si="71"/>
        <v>1650044.9491728928</v>
      </c>
      <c r="L56" s="160">
        <f t="shared" si="71"/>
        <v>1666841.4628018634</v>
      </c>
      <c r="M56" s="160">
        <f t="shared" si="71"/>
        <v>2691495.673671199</v>
      </c>
      <c r="N56" s="160">
        <f t="shared" si="71"/>
        <v>2691495.673671199</v>
      </c>
      <c r="O56" s="160">
        <f t="shared" si="71"/>
        <v>2543807.1693448704</v>
      </c>
      <c r="P56" s="161">
        <v>3314060.6510651009</v>
      </c>
      <c r="Q56" s="161">
        <v>3381619.9253889988</v>
      </c>
      <c r="R56" s="161">
        <v>3453177.3209459404</v>
      </c>
      <c r="S56" s="161">
        <v>3557523.8688938478</v>
      </c>
      <c r="T56" s="161">
        <v>3853193.9263347094</v>
      </c>
      <c r="U56" s="161">
        <v>3961685.8301175451</v>
      </c>
      <c r="V56" s="161">
        <v>3850763.9044796508</v>
      </c>
      <c r="W56" s="161">
        <v>3874954.1282405118</v>
      </c>
      <c r="X56" s="161">
        <v>3634787.0230968553</v>
      </c>
      <c r="Y56" s="161">
        <v>3635402.6189511092</v>
      </c>
      <c r="Z56" s="161">
        <v>3413784.6147770709</v>
      </c>
      <c r="AA56" s="161">
        <v>3108162.1864250759</v>
      </c>
      <c r="AB56" s="161">
        <v>2943922.1345423074</v>
      </c>
      <c r="AC56" s="161">
        <v>2793538.5338114267</v>
      </c>
      <c r="AD56" s="161">
        <v>2650723.8467235304</v>
      </c>
      <c r="AE56" s="161">
        <v>2519696.0125918994</v>
      </c>
      <c r="AF56" s="161">
        <v>2397477.2870562617</v>
      </c>
      <c r="AG56" s="161">
        <v>2283856.4385883729</v>
      </c>
      <c r="AH56" s="161">
        <v>2178406.6331652827</v>
      </c>
      <c r="AI56" s="161">
        <v>2079606.5443557948</v>
      </c>
      <c r="AJ56" s="161">
        <v>1988875.9765851656</v>
      </c>
      <c r="AK56" s="161">
        <v>1902876.5869160756</v>
      </c>
      <c r="AL56" s="161">
        <v>1824020.4350651992</v>
      </c>
      <c r="AM56" s="161">
        <v>1751195.844542962</v>
      </c>
      <c r="AN56" s="161">
        <v>1682785.1102015486</v>
      </c>
      <c r="AO56" s="161">
        <v>1618843.9754882974</v>
      </c>
      <c r="AP56" s="161">
        <v>1558785.6658194438</v>
      </c>
      <c r="AQ56" s="161">
        <v>1502447.7279312594</v>
      </c>
      <c r="AR56" s="161">
        <v>1450823.355566575</v>
      </c>
    </row>
    <row r="57" spans="1:69" ht="13.5" hidden="1" outlineLevel="1" thickBot="1">
      <c r="A57" s="159"/>
      <c r="B57" s="159" t="s">
        <v>27</v>
      </c>
      <c r="C57" s="54"/>
      <c r="D57" s="70" t="s">
        <v>121</v>
      </c>
      <c r="E57" s="160">
        <f t="shared" si="71"/>
        <v>86126.665825340737</v>
      </c>
      <c r="F57" s="160">
        <f t="shared" si="71"/>
        <v>152455.84136011617</v>
      </c>
      <c r="G57" s="160">
        <f t="shared" si="71"/>
        <v>258244.60959226324</v>
      </c>
      <c r="H57" s="160">
        <f t="shared" si="71"/>
        <v>339330.51021712954</v>
      </c>
      <c r="I57" s="160">
        <f t="shared" si="71"/>
        <v>331577.29367661721</v>
      </c>
      <c r="J57" s="160">
        <f t="shared" si="71"/>
        <v>337411.99963932915</v>
      </c>
      <c r="K57" s="160">
        <f t="shared" si="71"/>
        <v>343117.72795750189</v>
      </c>
      <c r="L57" s="160">
        <f t="shared" si="71"/>
        <v>347746.92638305319</v>
      </c>
      <c r="M57" s="160">
        <f t="shared" si="71"/>
        <v>959126.49361351458</v>
      </c>
      <c r="N57" s="160">
        <f t="shared" si="71"/>
        <v>959126.49361351458</v>
      </c>
      <c r="O57" s="160">
        <f t="shared" si="71"/>
        <v>911170.16893283895</v>
      </c>
      <c r="P57" s="161">
        <v>697840.85868889035</v>
      </c>
      <c r="Q57" s="161">
        <v>711187.47762784676</v>
      </c>
      <c r="R57" s="161">
        <v>725183.35715811304</v>
      </c>
      <c r="S57" s="161">
        <v>746296.02409977559</v>
      </c>
      <c r="T57" s="161">
        <v>871578.09216617898</v>
      </c>
      <c r="U57" s="161">
        <v>971829.56272866949</v>
      </c>
      <c r="V57" s="161">
        <v>1093572.0707179254</v>
      </c>
      <c r="W57" s="161">
        <v>1273341.7622303129</v>
      </c>
      <c r="X57" s="161">
        <v>1203875.8831731859</v>
      </c>
      <c r="Y57" s="161">
        <v>1302196.9429154892</v>
      </c>
      <c r="Z57" s="161">
        <v>1278303.352717997</v>
      </c>
      <c r="AA57" s="161">
        <v>1262799.3010851131</v>
      </c>
      <c r="AB57" s="161">
        <v>1230188.9110214885</v>
      </c>
      <c r="AC57" s="161">
        <v>1234246.4676422598</v>
      </c>
      <c r="AD57" s="161">
        <v>1218388.7930049272</v>
      </c>
      <c r="AE57" s="161">
        <v>1197013.1520230533</v>
      </c>
      <c r="AF57" s="161">
        <v>1183789.7181621124</v>
      </c>
      <c r="AG57" s="161">
        <v>1173011.5048681274</v>
      </c>
      <c r="AH57" s="161">
        <v>1171628.2924075578</v>
      </c>
      <c r="AI57" s="161">
        <v>1260444.4057110576</v>
      </c>
      <c r="AJ57" s="161">
        <v>1364089.9125968034</v>
      </c>
      <c r="AK57" s="161">
        <v>1404775.3668904307</v>
      </c>
      <c r="AL57" s="161">
        <v>1563013.5648646005</v>
      </c>
      <c r="AM57" s="161">
        <v>1489564.6625420144</v>
      </c>
      <c r="AN57" s="161">
        <v>1556563.6840087322</v>
      </c>
      <c r="AO57" s="161">
        <v>1531141.7637569746</v>
      </c>
      <c r="AP57" s="161">
        <v>1513803.061872686</v>
      </c>
      <c r="AQ57" s="161">
        <v>1474947.0417895257</v>
      </c>
      <c r="AR57" s="161">
        <v>1472173.367257688</v>
      </c>
    </row>
    <row r="58" spans="1:69" ht="13.5" hidden="1" outlineLevel="1" thickBot="1">
      <c r="A58" s="159" t="s">
        <v>28</v>
      </c>
      <c r="B58" s="159" t="s">
        <v>26</v>
      </c>
      <c r="C58" s="54"/>
      <c r="D58" s="70" t="s">
        <v>26</v>
      </c>
      <c r="E58" s="160">
        <f t="shared" si="71"/>
        <v>168069.11913175165</v>
      </c>
      <c r="F58" s="160">
        <f t="shared" si="71"/>
        <v>212944.52323330109</v>
      </c>
      <c r="G58" s="160">
        <f t="shared" si="71"/>
        <v>634129.9185066038</v>
      </c>
      <c r="H58" s="160">
        <f t="shared" si="71"/>
        <v>424440.80728243873</v>
      </c>
      <c r="I58" s="160">
        <f t="shared" si="71"/>
        <v>344290.87347256951</v>
      </c>
      <c r="J58" s="160">
        <f t="shared" si="71"/>
        <v>375618.70382503525</v>
      </c>
      <c r="K58" s="160">
        <f t="shared" si="71"/>
        <v>217454.73637054864</v>
      </c>
      <c r="L58" s="160">
        <f t="shared" si="71"/>
        <v>164751.22588937718</v>
      </c>
      <c r="M58" s="160">
        <f t="shared" si="71"/>
        <v>186019.61269056451</v>
      </c>
      <c r="N58" s="160">
        <f t="shared" si="71"/>
        <v>122176.16398846313</v>
      </c>
      <c r="O58" s="160">
        <f t="shared" si="71"/>
        <v>59499.79398434281</v>
      </c>
      <c r="P58" s="161">
        <v>447158.68009786011</v>
      </c>
      <c r="Q58" s="161">
        <v>447896.76890983456</v>
      </c>
      <c r="R58" s="161">
        <v>447537.18529279187</v>
      </c>
      <c r="S58" s="161">
        <v>446267.68634425075</v>
      </c>
      <c r="T58" s="161">
        <v>445495.89422246191</v>
      </c>
      <c r="U58" s="161">
        <v>443425.24901675334</v>
      </c>
      <c r="V58" s="161">
        <v>326815.21440245426</v>
      </c>
      <c r="W58" s="161">
        <v>349277.02857514034</v>
      </c>
      <c r="X58" s="161">
        <v>359250.35931216145</v>
      </c>
      <c r="Y58" s="161">
        <v>371645.29035024322</v>
      </c>
      <c r="Z58" s="161">
        <v>339325.99383252184</v>
      </c>
      <c r="AA58" s="161">
        <v>308007.06346188299</v>
      </c>
      <c r="AB58" s="161">
        <v>283470.46223501163</v>
      </c>
      <c r="AC58" s="161">
        <v>250316.50332053882</v>
      </c>
      <c r="AD58" s="161">
        <v>227968.97717861604</v>
      </c>
      <c r="AE58" s="161">
        <v>207176.69105849828</v>
      </c>
      <c r="AF58" s="161">
        <v>189425.48288090574</v>
      </c>
      <c r="AG58" s="161">
        <v>174794.57273856693</v>
      </c>
      <c r="AH58" s="161">
        <v>156166.76718568374</v>
      </c>
      <c r="AI58" s="161">
        <v>143190.75839130647</v>
      </c>
      <c r="AJ58" s="161">
        <v>127204.71016773931</v>
      </c>
      <c r="AK58" s="161">
        <v>119482.32770453175</v>
      </c>
      <c r="AL58" s="161">
        <v>106080.81111923067</v>
      </c>
      <c r="AM58" s="161">
        <v>95626.881113203533</v>
      </c>
      <c r="AN58" s="161">
        <v>87597.064894507203</v>
      </c>
      <c r="AO58" s="161">
        <v>76229.535830353198</v>
      </c>
      <c r="AP58" s="161">
        <v>74094.273721479418</v>
      </c>
      <c r="AQ58" s="161">
        <v>68804.66222360931</v>
      </c>
      <c r="AR58" s="161">
        <v>60317.960250273703</v>
      </c>
    </row>
    <row r="59" spans="1:69" ht="13.5" hidden="1" outlineLevel="1" thickBot="1">
      <c r="A59" s="159"/>
      <c r="B59" s="159" t="s">
        <v>27</v>
      </c>
      <c r="C59" s="54"/>
      <c r="D59" s="70" t="s">
        <v>121</v>
      </c>
      <c r="E59" s="160">
        <f t="shared" si="71"/>
        <v>196040.56032306919</v>
      </c>
      <c r="F59" s="160">
        <f t="shared" si="71"/>
        <v>342483.64980638918</v>
      </c>
      <c r="G59" s="160">
        <f t="shared" si="71"/>
        <v>604731.74088242627</v>
      </c>
      <c r="H59" s="160">
        <f t="shared" si="71"/>
        <v>116466.73698009051</v>
      </c>
      <c r="I59" s="160">
        <f t="shared" si="71"/>
        <v>82192.9612951405</v>
      </c>
      <c r="J59" s="160">
        <f t="shared" si="71"/>
        <v>90073.088046034871</v>
      </c>
      <c r="K59" s="160">
        <f t="shared" si="71"/>
        <v>52340.713351727034</v>
      </c>
      <c r="L59" s="160">
        <f t="shared" si="71"/>
        <v>39785.153993151958</v>
      </c>
      <c r="M59" s="160">
        <f t="shared" si="71"/>
        <v>131937.18582612279</v>
      </c>
      <c r="N59" s="160">
        <f t="shared" si="71"/>
        <v>79562.93778327154</v>
      </c>
      <c r="O59" s="160">
        <f t="shared" si="71"/>
        <v>33971.538936959209</v>
      </c>
      <c r="P59" s="161">
        <v>234712.80194827123</v>
      </c>
      <c r="Q59" s="161">
        <v>237286.23396543984</v>
      </c>
      <c r="R59" s="161">
        <v>224870.30813459089</v>
      </c>
      <c r="S59" s="161">
        <v>224232.43349731754</v>
      </c>
      <c r="T59" s="161">
        <v>242538.39249299455</v>
      </c>
      <c r="U59" s="161">
        <v>252407.08002176805</v>
      </c>
      <c r="V59" s="161">
        <v>251038.50563279257</v>
      </c>
      <c r="W59" s="161">
        <v>288699.24144320143</v>
      </c>
      <c r="X59" s="161">
        <v>251226.77112079493</v>
      </c>
      <c r="Y59" s="161">
        <v>262066.85038397781</v>
      </c>
      <c r="Z59" s="161">
        <v>245385.50478597815</v>
      </c>
      <c r="AA59" s="161">
        <v>241926.90916143791</v>
      </c>
      <c r="AB59" s="161">
        <v>204083.36654750549</v>
      </c>
      <c r="AC59" s="161">
        <v>200174.14796317829</v>
      </c>
      <c r="AD59" s="161">
        <v>173623.06310918479</v>
      </c>
      <c r="AE59" s="161">
        <v>157904.98874771813</v>
      </c>
      <c r="AF59" s="161">
        <v>153021.94801263235</v>
      </c>
      <c r="AG59" s="161">
        <v>138389.92200693171</v>
      </c>
      <c r="AH59" s="161">
        <v>128049.22154388782</v>
      </c>
      <c r="AI59" s="161">
        <v>137678.07130168664</v>
      </c>
      <c r="AJ59" s="161">
        <v>136484.82531284433</v>
      </c>
      <c r="AK59" s="161">
        <v>157934.55640750466</v>
      </c>
      <c r="AL59" s="161">
        <v>181215.78980086651</v>
      </c>
      <c r="AM59" s="161">
        <v>130715.2641908606</v>
      </c>
      <c r="AN59" s="161">
        <v>130178.21940786605</v>
      </c>
      <c r="AO59" s="161">
        <v>119281.28457462991</v>
      </c>
      <c r="AP59" s="161">
        <v>127048.50684215367</v>
      </c>
      <c r="AQ59" s="161">
        <v>100958.72221182971</v>
      </c>
      <c r="AR59" s="161">
        <v>111273.21565813656</v>
      </c>
    </row>
    <row r="60" spans="1:69" ht="13.5" hidden="1" outlineLevel="1" thickBot="1">
      <c r="A60" s="159" t="s">
        <v>29</v>
      </c>
      <c r="B60" s="159" t="s">
        <v>26</v>
      </c>
      <c r="C60" s="54"/>
      <c r="D60" s="70" t="s">
        <v>26</v>
      </c>
      <c r="E60" s="160">
        <f t="shared" si="71"/>
        <v>14347.728419989902</v>
      </c>
      <c r="F60" s="160">
        <f t="shared" si="71"/>
        <v>99194.783155856741</v>
      </c>
      <c r="G60" s="160">
        <f t="shared" si="71"/>
        <v>270844.46629930759</v>
      </c>
      <c r="H60" s="160">
        <f t="shared" si="71"/>
        <v>337488.17206907069</v>
      </c>
      <c r="I60" s="160">
        <f t="shared" si="71"/>
        <v>302454.41805953637</v>
      </c>
      <c r="J60" s="160">
        <f t="shared" si="71"/>
        <v>151034.56761355462</v>
      </c>
      <c r="K60" s="160">
        <f t="shared" si="71"/>
        <v>112565.03139641842</v>
      </c>
      <c r="L60" s="160">
        <f t="shared" si="71"/>
        <v>22742.175804022165</v>
      </c>
      <c r="M60" s="160">
        <f t="shared" si="71"/>
        <v>0</v>
      </c>
      <c r="N60" s="160">
        <f t="shared" si="71"/>
        <v>0</v>
      </c>
      <c r="O60" s="160">
        <f t="shared" si="71"/>
        <v>0</v>
      </c>
      <c r="P60" s="161">
        <v>0</v>
      </c>
      <c r="Q60" s="161">
        <v>0</v>
      </c>
      <c r="R60" s="161">
        <v>0</v>
      </c>
      <c r="S60" s="161">
        <v>0</v>
      </c>
      <c r="T60" s="161">
        <v>0</v>
      </c>
      <c r="U60" s="161">
        <v>0</v>
      </c>
      <c r="V60" s="161">
        <v>0</v>
      </c>
      <c r="W60" s="161">
        <v>0</v>
      </c>
      <c r="X60" s="161">
        <v>0</v>
      </c>
      <c r="Y60" s="161">
        <v>0</v>
      </c>
      <c r="Z60" s="161">
        <v>0</v>
      </c>
      <c r="AA60" s="161">
        <v>0</v>
      </c>
      <c r="AB60" s="161">
        <v>0</v>
      </c>
      <c r="AC60" s="161">
        <v>0</v>
      </c>
      <c r="AD60" s="161">
        <v>0</v>
      </c>
      <c r="AE60" s="161">
        <v>0</v>
      </c>
      <c r="AF60" s="161">
        <v>0</v>
      </c>
      <c r="AG60" s="161">
        <v>0</v>
      </c>
      <c r="AH60" s="161">
        <v>0</v>
      </c>
      <c r="AI60" s="161">
        <v>0</v>
      </c>
      <c r="AJ60" s="161">
        <v>0</v>
      </c>
      <c r="AK60" s="161">
        <v>0</v>
      </c>
      <c r="AL60" s="161">
        <v>0</v>
      </c>
      <c r="AM60" s="161">
        <v>0</v>
      </c>
      <c r="AN60" s="161">
        <v>0</v>
      </c>
      <c r="AO60" s="161">
        <v>0</v>
      </c>
      <c r="AP60" s="161">
        <v>0</v>
      </c>
      <c r="AQ60" s="161">
        <v>0</v>
      </c>
      <c r="AR60" s="161">
        <v>0</v>
      </c>
    </row>
    <row r="61" spans="1:69" ht="13.5" hidden="1" outlineLevel="1" thickBot="1">
      <c r="A61" s="159"/>
      <c r="B61" s="159" t="s">
        <v>27</v>
      </c>
      <c r="C61" s="54"/>
      <c r="D61" s="70" t="s">
        <v>121</v>
      </c>
      <c r="E61" s="160">
        <f t="shared" si="71"/>
        <v>185757.45835436648</v>
      </c>
      <c r="F61" s="160">
        <f t="shared" si="71"/>
        <v>338931.2341481123</v>
      </c>
      <c r="G61" s="160">
        <f t="shared" si="71"/>
        <v>807379.62225725548</v>
      </c>
      <c r="H61" s="160">
        <f t="shared" si="71"/>
        <v>245526.51537480473</v>
      </c>
      <c r="I61" s="160">
        <f t="shared" si="71"/>
        <v>186321.06594844299</v>
      </c>
      <c r="J61" s="160">
        <f t="shared" si="71"/>
        <v>102275.95318640022</v>
      </c>
      <c r="K61" s="160">
        <f t="shared" si="71"/>
        <v>85606.614250847328</v>
      </c>
      <c r="L61" s="160">
        <f t="shared" si="71"/>
        <v>17352.316454764492</v>
      </c>
      <c r="M61" s="160">
        <f t="shared" si="71"/>
        <v>0</v>
      </c>
      <c r="N61" s="160">
        <f t="shared" si="71"/>
        <v>0</v>
      </c>
      <c r="O61" s="160">
        <f t="shared" si="71"/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1">
        <v>0</v>
      </c>
      <c r="W61" s="161">
        <v>0</v>
      </c>
      <c r="X61" s="161">
        <v>0</v>
      </c>
      <c r="Y61" s="161">
        <v>0</v>
      </c>
      <c r="Z61" s="161">
        <v>0</v>
      </c>
      <c r="AA61" s="161">
        <v>0</v>
      </c>
      <c r="AB61" s="161">
        <v>0</v>
      </c>
      <c r="AC61" s="161">
        <v>0</v>
      </c>
      <c r="AD61" s="161">
        <v>0</v>
      </c>
      <c r="AE61" s="161">
        <v>0</v>
      </c>
      <c r="AF61" s="161">
        <v>0</v>
      </c>
      <c r="AG61" s="161">
        <v>0</v>
      </c>
      <c r="AH61" s="161">
        <v>0</v>
      </c>
      <c r="AI61" s="161">
        <v>0</v>
      </c>
      <c r="AJ61" s="161">
        <v>0</v>
      </c>
      <c r="AK61" s="161">
        <v>0</v>
      </c>
      <c r="AL61" s="161">
        <v>0</v>
      </c>
      <c r="AM61" s="161">
        <v>0</v>
      </c>
      <c r="AN61" s="161">
        <v>0</v>
      </c>
      <c r="AO61" s="161">
        <v>0</v>
      </c>
      <c r="AP61" s="161">
        <v>0</v>
      </c>
      <c r="AQ61" s="161">
        <v>0</v>
      </c>
      <c r="AR61" s="161">
        <v>0</v>
      </c>
    </row>
    <row r="62" spans="1:69" ht="13.5" hidden="1" outlineLevel="1" thickBot="1">
      <c r="A62" s="159" t="s">
        <v>30</v>
      </c>
      <c r="B62" s="165" t="s">
        <v>127</v>
      </c>
      <c r="C62" s="54"/>
      <c r="D62" s="70" t="s">
        <v>121</v>
      </c>
      <c r="E62" s="160">
        <f t="shared" si="71"/>
        <v>19971.561530506719</v>
      </c>
      <c r="F62" s="160">
        <f t="shared" si="71"/>
        <v>43937.435367114784</v>
      </c>
      <c r="G62" s="160">
        <f t="shared" si="71"/>
        <v>153781.02378490177</v>
      </c>
      <c r="H62" s="160">
        <f t="shared" si="71"/>
        <v>23100.431065430006</v>
      </c>
      <c r="I62" s="160">
        <f t="shared" si="71"/>
        <v>15832.680060998564</v>
      </c>
      <c r="J62" s="160">
        <f t="shared" si="71"/>
        <v>6966.379226839369</v>
      </c>
      <c r="K62" s="160">
        <f t="shared" si="71"/>
        <v>0</v>
      </c>
      <c r="L62" s="160">
        <f t="shared" si="71"/>
        <v>0</v>
      </c>
      <c r="M62" s="160">
        <f t="shared" si="71"/>
        <v>26524.515863205608</v>
      </c>
      <c r="N62" s="160">
        <f t="shared" si="71"/>
        <v>26524.515863205608</v>
      </c>
      <c r="O62" s="160">
        <f t="shared" si="71"/>
        <v>10609.806345282243</v>
      </c>
      <c r="P62" s="161">
        <v>18992.04</v>
      </c>
      <c r="Q62" s="161">
        <v>36897.08</v>
      </c>
      <c r="R62" s="161">
        <v>42042.559999999998</v>
      </c>
      <c r="S62" s="161">
        <v>46927.08</v>
      </c>
      <c r="T62" s="161">
        <v>43965.120000000003</v>
      </c>
      <c r="U62" s="161">
        <v>133790.81</v>
      </c>
      <c r="V62" s="161">
        <v>22260.373535141855</v>
      </c>
      <c r="W62" s="161">
        <v>22400.21161147497</v>
      </c>
      <c r="X62" s="161">
        <v>22401.082011969982</v>
      </c>
      <c r="Y62" s="161">
        <v>23034.280827194954</v>
      </c>
      <c r="Z62" s="161">
        <v>22960.422864876386</v>
      </c>
      <c r="AA62" s="161">
        <v>23161.950777859936</v>
      </c>
      <c r="AB62" s="161">
        <v>23291.620587120316</v>
      </c>
      <c r="AC62" s="161">
        <v>23430.048691010958</v>
      </c>
      <c r="AD62" s="161">
        <v>23562.162944580938</v>
      </c>
      <c r="AE62" s="161">
        <v>23698.353387996154</v>
      </c>
      <c r="AF62" s="161">
        <v>23826.284047887028</v>
      </c>
      <c r="AG62" s="161">
        <v>23960.234121209694</v>
      </c>
      <c r="AH62" s="161">
        <v>24094.782509360921</v>
      </c>
      <c r="AI62" s="161">
        <v>24221.623282690452</v>
      </c>
      <c r="AJ62" s="161">
        <v>24355.193723838995</v>
      </c>
      <c r="AK62" s="161">
        <v>24476.752297664763</v>
      </c>
      <c r="AL62" s="161">
        <v>24602.437345693736</v>
      </c>
      <c r="AM62" s="161">
        <v>24729.319700089618</v>
      </c>
      <c r="AN62" s="161">
        <v>24846.661775880726</v>
      </c>
      <c r="AO62" s="161">
        <v>24967.906779966335</v>
      </c>
      <c r="AP62" s="161">
        <v>25067.030940387638</v>
      </c>
      <c r="AQ62" s="161">
        <v>25170.531363608399</v>
      </c>
      <c r="AR62" s="161">
        <v>25277.991377162194</v>
      </c>
    </row>
    <row r="63" spans="1:69" ht="13.5" hidden="1" outlineLevel="1" thickBot="1">
      <c r="A63" s="159" t="s">
        <v>31</v>
      </c>
      <c r="B63" s="159" t="s">
        <v>32</v>
      </c>
      <c r="C63" s="54"/>
      <c r="D63" s="70" t="s">
        <v>13</v>
      </c>
      <c r="E63" s="160">
        <f t="shared" si="71"/>
        <v>416980.90744570835</v>
      </c>
      <c r="F63" s="160">
        <f t="shared" si="71"/>
        <v>72724.444157187172</v>
      </c>
      <c r="G63" s="160">
        <f t="shared" si="71"/>
        <v>798862.46122026886</v>
      </c>
      <c r="H63" s="160">
        <f t="shared" si="71"/>
        <v>59231.874526743602</v>
      </c>
      <c r="I63" s="160">
        <f t="shared" si="71"/>
        <v>58639.555781476171</v>
      </c>
      <c r="J63" s="160">
        <f t="shared" si="71"/>
        <v>638584.76246027544</v>
      </c>
      <c r="K63" s="160">
        <f t="shared" si="71"/>
        <v>57472.628621424796</v>
      </c>
      <c r="L63" s="160">
        <f t="shared" si="71"/>
        <v>56897.902335210551</v>
      </c>
      <c r="M63" s="160">
        <f t="shared" si="71"/>
        <v>129439.63741244336</v>
      </c>
      <c r="N63" s="160">
        <f t="shared" si="71"/>
        <v>23341.573959620931</v>
      </c>
      <c r="O63" s="160">
        <f t="shared" si="71"/>
        <v>22280.593325092705</v>
      </c>
      <c r="P63" s="161">
        <v>563804.40334663866</v>
      </c>
      <c r="Q63" s="161">
        <v>113804.40334663857</v>
      </c>
      <c r="R63" s="161">
        <v>113804.40334663857</v>
      </c>
      <c r="S63" s="161">
        <v>113804.40334663857</v>
      </c>
      <c r="T63" s="161">
        <v>113804.40334663857</v>
      </c>
      <c r="U63" s="161">
        <v>113804.40334663857</v>
      </c>
      <c r="V63" s="161">
        <v>0</v>
      </c>
      <c r="W63" s="161">
        <v>0</v>
      </c>
      <c r="X63" s="161">
        <v>0</v>
      </c>
      <c r="Y63" s="161">
        <v>0</v>
      </c>
      <c r="Z63" s="161">
        <v>0</v>
      </c>
      <c r="AA63" s="161">
        <v>0</v>
      </c>
      <c r="AB63" s="161">
        <v>0</v>
      </c>
      <c r="AC63" s="161">
        <v>0</v>
      </c>
      <c r="AD63" s="161">
        <v>0</v>
      </c>
      <c r="AE63" s="161">
        <v>0</v>
      </c>
      <c r="AF63" s="161">
        <v>0</v>
      </c>
      <c r="AG63" s="161">
        <v>0</v>
      </c>
      <c r="AH63" s="161">
        <v>0</v>
      </c>
      <c r="AI63" s="161">
        <v>0</v>
      </c>
      <c r="AJ63" s="161">
        <v>0</v>
      </c>
      <c r="AK63" s="161">
        <v>0</v>
      </c>
      <c r="AL63" s="161">
        <v>0</v>
      </c>
      <c r="AM63" s="161">
        <v>0</v>
      </c>
      <c r="AN63" s="161">
        <v>0</v>
      </c>
      <c r="AO63" s="161">
        <v>0</v>
      </c>
      <c r="AP63" s="161">
        <v>0</v>
      </c>
      <c r="AQ63" s="161">
        <v>0</v>
      </c>
      <c r="AR63" s="161">
        <v>0</v>
      </c>
    </row>
    <row r="64" spans="1:69" ht="13.5" hidden="1" outlineLevel="1" thickBot="1">
      <c r="A64" s="159" t="s">
        <v>33</v>
      </c>
      <c r="D64" s="70" t="s">
        <v>49</v>
      </c>
      <c r="E64" s="160">
        <f t="shared" si="71"/>
        <v>0</v>
      </c>
      <c r="F64" s="160">
        <f t="shared" si="71"/>
        <v>0</v>
      </c>
      <c r="G64" s="160">
        <f t="shared" si="71"/>
        <v>0</v>
      </c>
      <c r="H64" s="160">
        <f t="shared" si="71"/>
        <v>0</v>
      </c>
      <c r="I64" s="160">
        <f t="shared" si="71"/>
        <v>0</v>
      </c>
      <c r="J64" s="160">
        <f t="shared" si="71"/>
        <v>0</v>
      </c>
      <c r="K64" s="160">
        <f t="shared" si="71"/>
        <v>0</v>
      </c>
      <c r="L64" s="160">
        <f t="shared" si="71"/>
        <v>0</v>
      </c>
      <c r="M64" s="160">
        <f t="shared" si="71"/>
        <v>0</v>
      </c>
      <c r="N64" s="160">
        <f t="shared" si="71"/>
        <v>0</v>
      </c>
      <c r="O64" s="160">
        <f t="shared" si="71"/>
        <v>0</v>
      </c>
      <c r="P64" s="161">
        <v>0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161">
        <v>0</v>
      </c>
      <c r="W64" s="161">
        <v>0</v>
      </c>
      <c r="X64" s="161">
        <v>0</v>
      </c>
      <c r="Y64" s="161">
        <v>0</v>
      </c>
      <c r="Z64" s="161">
        <v>0</v>
      </c>
      <c r="AA64" s="161">
        <v>0</v>
      </c>
      <c r="AB64" s="161">
        <v>0</v>
      </c>
      <c r="AC64" s="161">
        <v>0</v>
      </c>
      <c r="AD64" s="161">
        <v>0</v>
      </c>
      <c r="AE64" s="161">
        <v>0</v>
      </c>
      <c r="AF64" s="161">
        <v>0</v>
      </c>
      <c r="AG64" s="161">
        <v>0</v>
      </c>
      <c r="AH64" s="161">
        <v>0</v>
      </c>
      <c r="AI64" s="161">
        <v>0</v>
      </c>
      <c r="AJ64" s="161">
        <v>0</v>
      </c>
      <c r="AK64" s="161">
        <v>0</v>
      </c>
      <c r="AL64" s="161">
        <v>0</v>
      </c>
      <c r="AM64" s="161">
        <v>0</v>
      </c>
      <c r="AN64" s="161">
        <v>0</v>
      </c>
      <c r="AO64" s="161">
        <v>0</v>
      </c>
      <c r="AP64" s="161">
        <v>0</v>
      </c>
      <c r="AQ64" s="161">
        <v>0</v>
      </c>
      <c r="AR64" s="161">
        <v>0</v>
      </c>
      <c r="AT64" s="66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</row>
    <row r="65" spans="1:69" ht="13.5" hidden="1" outlineLevel="1" thickBot="1">
      <c r="A65" s="162"/>
      <c r="D65" s="71"/>
      <c r="E65" s="163"/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T65" s="66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</row>
    <row r="66" spans="1:69" ht="13.5" hidden="1" outlineLevel="1" thickBot="1">
      <c r="A66" s="158" t="s">
        <v>119</v>
      </c>
      <c r="D66" s="28"/>
      <c r="E66" s="163"/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</row>
    <row r="67" spans="1:69" ht="13.5" hidden="1" outlineLevel="1" thickBot="1">
      <c r="A67" s="159"/>
      <c r="B67" s="117"/>
      <c r="D67" s="28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364" t="s">
        <v>134</v>
      </c>
      <c r="Q67" s="364"/>
      <c r="R67" s="364"/>
      <c r="S67" s="364"/>
      <c r="T67" s="364"/>
      <c r="U67" s="364"/>
      <c r="V67" s="363" t="s">
        <v>135</v>
      </c>
      <c r="W67" s="363"/>
      <c r="X67" s="363"/>
      <c r="Y67" s="363"/>
      <c r="Z67" s="363"/>
      <c r="AA67" s="363"/>
      <c r="AB67" s="363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</row>
    <row r="68" spans="1:69" ht="13.5" hidden="1" outlineLevel="1" thickBot="1">
      <c r="A68" s="159" t="s">
        <v>20</v>
      </c>
      <c r="B68" s="159" t="s">
        <v>123</v>
      </c>
      <c r="D68" s="70" t="s">
        <v>49</v>
      </c>
      <c r="E68" s="160">
        <f>E38</f>
        <v>9163851.6796381921</v>
      </c>
      <c r="F68" s="160">
        <f t="shared" ref="F68:L68" si="72">F38</f>
        <v>11978318.038899688</v>
      </c>
      <c r="G68" s="160">
        <f t="shared" si="72"/>
        <v>9043092.038538985</v>
      </c>
      <c r="H68" s="160">
        <f t="shared" si="72"/>
        <v>10838486.253836051</v>
      </c>
      <c r="I68" s="160">
        <f t="shared" si="72"/>
        <v>10692893.508755067</v>
      </c>
      <c r="J68" s="160">
        <f t="shared" si="72"/>
        <v>7308907.3725016518</v>
      </c>
      <c r="K68" s="160">
        <f t="shared" si="72"/>
        <v>5558667.0110044731</v>
      </c>
      <c r="L68" s="160">
        <f t="shared" si="72"/>
        <v>4878064.592699294</v>
      </c>
      <c r="M68" s="160">
        <v>974947.36366057745</v>
      </c>
      <c r="N68" s="160">
        <v>823949.48186977813</v>
      </c>
      <c r="O68" s="160">
        <v>745282.28546392603</v>
      </c>
      <c r="P68" s="169">
        <v>0</v>
      </c>
      <c r="Q68" s="169">
        <v>0</v>
      </c>
      <c r="R68" s="169">
        <v>0</v>
      </c>
      <c r="S68" s="169">
        <v>0</v>
      </c>
      <c r="T68" s="169">
        <v>0</v>
      </c>
      <c r="U68" s="169">
        <v>0</v>
      </c>
      <c r="V68" s="168">
        <v>0</v>
      </c>
      <c r="W68" s="168">
        <v>0</v>
      </c>
      <c r="X68" s="168">
        <v>0</v>
      </c>
      <c r="Y68" s="168">
        <v>0</v>
      </c>
      <c r="Z68" s="168">
        <v>0</v>
      </c>
      <c r="AA68" s="168">
        <v>0</v>
      </c>
      <c r="AB68" s="168">
        <v>0</v>
      </c>
      <c r="AC68" s="168">
        <v>0</v>
      </c>
      <c r="AD68" s="168">
        <v>0</v>
      </c>
      <c r="AE68" s="168">
        <v>0</v>
      </c>
      <c r="AF68" s="168">
        <v>0</v>
      </c>
      <c r="AG68" s="168">
        <v>0</v>
      </c>
      <c r="AH68" s="168">
        <v>0</v>
      </c>
      <c r="AI68" s="168">
        <v>0</v>
      </c>
      <c r="AJ68" s="168">
        <v>0</v>
      </c>
      <c r="AK68" s="168">
        <v>0</v>
      </c>
      <c r="AL68" s="168">
        <v>0</v>
      </c>
      <c r="AM68" s="168">
        <v>0</v>
      </c>
      <c r="AN68" s="168">
        <v>0</v>
      </c>
      <c r="AO68" s="168">
        <v>0</v>
      </c>
      <c r="AP68" s="168">
        <v>0</v>
      </c>
      <c r="AQ68" s="168">
        <v>0</v>
      </c>
      <c r="AR68" s="168">
        <v>0</v>
      </c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</row>
    <row r="69" spans="1:69" ht="13.5" hidden="1" outlineLevel="1" thickBot="1">
      <c r="A69" s="159"/>
      <c r="B69" s="159" t="s">
        <v>23</v>
      </c>
      <c r="D69" s="70" t="s">
        <v>121</v>
      </c>
      <c r="E69" s="160">
        <f t="shared" ref="E69:L79" si="73">E39</f>
        <v>0</v>
      </c>
      <c r="F69" s="160">
        <f t="shared" si="73"/>
        <v>34604.816073275229</v>
      </c>
      <c r="G69" s="160">
        <f t="shared" si="73"/>
        <v>109676.46624316738</v>
      </c>
      <c r="H69" s="160">
        <f t="shared" si="73"/>
        <v>102479.96752119425</v>
      </c>
      <c r="I69" s="160">
        <f t="shared" si="73"/>
        <v>132996.18633483956</v>
      </c>
      <c r="J69" s="160">
        <f t="shared" si="73"/>
        <v>135336.49629038991</v>
      </c>
      <c r="K69" s="160">
        <f t="shared" si="73"/>
        <v>69622.389520866738</v>
      </c>
      <c r="L69" s="160">
        <f t="shared" si="73"/>
        <v>70561.705183370315</v>
      </c>
      <c r="M69" s="160">
        <v>0</v>
      </c>
      <c r="N69" s="160">
        <v>0</v>
      </c>
      <c r="O69" s="160">
        <v>0</v>
      </c>
      <c r="P69" s="169">
        <v>0</v>
      </c>
      <c r="Q69" s="169">
        <v>0</v>
      </c>
      <c r="R69" s="169">
        <v>0</v>
      </c>
      <c r="S69" s="169">
        <v>0</v>
      </c>
      <c r="T69" s="169">
        <v>0</v>
      </c>
      <c r="U69" s="169">
        <v>0</v>
      </c>
      <c r="V69" s="168">
        <v>0</v>
      </c>
      <c r="W69" s="168">
        <v>0</v>
      </c>
      <c r="X69" s="168">
        <v>0</v>
      </c>
      <c r="Y69" s="168">
        <v>0</v>
      </c>
      <c r="Z69" s="168">
        <v>0</v>
      </c>
      <c r="AA69" s="168">
        <v>0</v>
      </c>
      <c r="AB69" s="168">
        <v>0</v>
      </c>
      <c r="AC69" s="168">
        <v>0</v>
      </c>
      <c r="AD69" s="168">
        <v>0</v>
      </c>
      <c r="AE69" s="168">
        <v>0</v>
      </c>
      <c r="AF69" s="168">
        <v>0</v>
      </c>
      <c r="AG69" s="168">
        <v>0</v>
      </c>
      <c r="AH69" s="168">
        <v>0</v>
      </c>
      <c r="AI69" s="168">
        <v>0</v>
      </c>
      <c r="AJ69" s="168">
        <v>0</v>
      </c>
      <c r="AK69" s="168">
        <v>0</v>
      </c>
      <c r="AL69" s="168">
        <v>0</v>
      </c>
      <c r="AM69" s="168">
        <v>0</v>
      </c>
      <c r="AN69" s="168">
        <v>0</v>
      </c>
      <c r="AO69" s="168">
        <v>0</v>
      </c>
      <c r="AP69" s="168">
        <v>0</v>
      </c>
      <c r="AQ69" s="168">
        <v>0</v>
      </c>
      <c r="AR69" s="168">
        <v>0</v>
      </c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</row>
    <row r="70" spans="1:69" ht="13.5" hidden="1" outlineLevel="1" thickBot="1">
      <c r="A70" s="159" t="s">
        <v>25</v>
      </c>
      <c r="B70" s="165" t="s">
        <v>126</v>
      </c>
      <c r="D70" s="70" t="s">
        <v>49</v>
      </c>
      <c r="E70" s="160">
        <f t="shared" si="73"/>
        <v>0</v>
      </c>
      <c r="F70" s="160">
        <f t="shared" si="73"/>
        <v>0</v>
      </c>
      <c r="G70" s="160">
        <f t="shared" si="73"/>
        <v>296461.25600827299</v>
      </c>
      <c r="H70" s="160">
        <f t="shared" si="73"/>
        <v>863447.65301689028</v>
      </c>
      <c r="I70" s="160">
        <f t="shared" si="73"/>
        <v>718423.40312568855</v>
      </c>
      <c r="J70" s="160">
        <f t="shared" si="73"/>
        <v>759541.22496342892</v>
      </c>
      <c r="K70" s="160">
        <f t="shared" si="73"/>
        <v>803852.7239325362</v>
      </c>
      <c r="L70" s="160">
        <f t="shared" si="73"/>
        <v>473345.10637361696</v>
      </c>
      <c r="M70" s="160">
        <v>7139904.8895570515</v>
      </c>
      <c r="N70" s="160">
        <v>5609094.8249780647</v>
      </c>
      <c r="O70" s="160">
        <v>5030079.6722088484</v>
      </c>
      <c r="P70" s="169">
        <v>8555091.644436311</v>
      </c>
      <c r="Q70" s="169">
        <v>8281762.3229990024</v>
      </c>
      <c r="R70" s="169">
        <v>8161225.047773717</v>
      </c>
      <c r="S70" s="169">
        <v>8125322.5929647023</v>
      </c>
      <c r="T70" s="169">
        <v>8223366.0130449189</v>
      </c>
      <c r="U70" s="169">
        <v>8250559.77759209</v>
      </c>
      <c r="V70" s="168">
        <v>8453132.4855783507</v>
      </c>
      <c r="W70" s="168">
        <v>7589340.6137340749</v>
      </c>
      <c r="X70" s="168">
        <v>7879579.3768352084</v>
      </c>
      <c r="Y70" s="168">
        <v>5273178.960268897</v>
      </c>
      <c r="Z70" s="168">
        <v>2049709.2412921893</v>
      </c>
      <c r="AA70" s="168">
        <v>2044389.6513965565</v>
      </c>
      <c r="AB70" s="168">
        <v>2036741.719915896</v>
      </c>
      <c r="AC70" s="168">
        <v>2030756.3092185059</v>
      </c>
      <c r="AD70" s="168">
        <v>2023772.1763426452</v>
      </c>
      <c r="AE70" s="168">
        <v>2025056.4298815154</v>
      </c>
      <c r="AF70" s="168">
        <v>2017952.3897440073</v>
      </c>
      <c r="AG70" s="168">
        <v>2019538.2637438904</v>
      </c>
      <c r="AH70" s="168">
        <v>2020815.0240027274</v>
      </c>
      <c r="AI70" s="168">
        <v>2022216.8998972939</v>
      </c>
      <c r="AJ70" s="168">
        <v>2016419.265806979</v>
      </c>
      <c r="AK70" s="168">
        <v>2017145.3566747506</v>
      </c>
      <c r="AL70" s="168">
        <v>2018598.5189045211</v>
      </c>
      <c r="AM70" s="168">
        <v>2020003.4711567846</v>
      </c>
      <c r="AN70" s="168">
        <v>2019965.8070137941</v>
      </c>
      <c r="AO70" s="168">
        <v>2021067.6757632357</v>
      </c>
      <c r="AP70" s="168">
        <v>2020852.1249681364</v>
      </c>
      <c r="AQ70" s="168">
        <v>2028099.1836716477</v>
      </c>
      <c r="AR70" s="168">
        <v>2028363.5652776069</v>
      </c>
      <c r="AT70" s="66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</row>
    <row r="71" spans="1:69" ht="13.5" hidden="1" outlineLevel="1" thickBot="1">
      <c r="A71" s="159" t="s">
        <v>10</v>
      </c>
      <c r="B71" s="159" t="s">
        <v>26</v>
      </c>
      <c r="D71" s="70" t="s">
        <v>26</v>
      </c>
      <c r="E71" s="160">
        <f t="shared" si="73"/>
        <v>206293.87178192832</v>
      </c>
      <c r="F71" s="160">
        <f t="shared" si="73"/>
        <v>384489.79515972827</v>
      </c>
      <c r="G71" s="160">
        <f t="shared" si="73"/>
        <v>778375.7743045406</v>
      </c>
      <c r="H71" s="160">
        <f t="shared" si="73"/>
        <v>1423063.4007354509</v>
      </c>
      <c r="I71" s="160">
        <f t="shared" si="73"/>
        <v>1598312.8119333212</v>
      </c>
      <c r="J71" s="160">
        <f t="shared" si="73"/>
        <v>1619193.6670771521</v>
      </c>
      <c r="K71" s="160">
        <f t="shared" si="73"/>
        <v>1640433.0368476138</v>
      </c>
      <c r="L71" s="160">
        <f t="shared" si="73"/>
        <v>1657131.706707872</v>
      </c>
      <c r="M71" s="160">
        <v>2675817.0580964154</v>
      </c>
      <c r="N71" s="160">
        <v>2675817.0580964154</v>
      </c>
      <c r="O71" s="160">
        <v>2528988.875154512</v>
      </c>
      <c r="P71" s="169">
        <v>2715542.1730459379</v>
      </c>
      <c r="Q71" s="169">
        <v>2937434.9065124448</v>
      </c>
      <c r="R71" s="169">
        <v>3161948.8897992135</v>
      </c>
      <c r="S71" s="169">
        <v>3354215.8146297769</v>
      </c>
      <c r="T71" s="169">
        <v>3544045.6130942423</v>
      </c>
      <c r="U71" s="169">
        <v>3661855.9301229944</v>
      </c>
      <c r="V71" s="168">
        <v>3632004.7674730783</v>
      </c>
      <c r="W71" s="168">
        <v>3632004.7674730783</v>
      </c>
      <c r="X71" s="168">
        <v>3558792.5363007416</v>
      </c>
      <c r="Y71" s="168">
        <v>3412368.0739560686</v>
      </c>
      <c r="Z71" s="168">
        <v>3265943.6116113956</v>
      </c>
      <c r="AA71" s="168">
        <v>3082913.0336805545</v>
      </c>
      <c r="AB71" s="168">
        <v>2936488.571335881</v>
      </c>
      <c r="AC71" s="168">
        <v>2790064.108991208</v>
      </c>
      <c r="AD71" s="168">
        <v>2643639.6466465355</v>
      </c>
      <c r="AE71" s="168">
        <v>2570427.4154741988</v>
      </c>
      <c r="AF71" s="168">
        <v>2424002.9531295253</v>
      </c>
      <c r="AG71" s="168">
        <v>2350790.721957189</v>
      </c>
      <c r="AH71" s="168">
        <v>2277578.4907848523</v>
      </c>
      <c r="AI71" s="168">
        <v>2204366.259612516</v>
      </c>
      <c r="AJ71" s="168">
        <v>2057941.797267843</v>
      </c>
      <c r="AK71" s="168">
        <v>1984729.5660955063</v>
      </c>
      <c r="AL71" s="168">
        <v>1911517.3349231696</v>
      </c>
      <c r="AM71" s="168">
        <v>1838305.1037508335</v>
      </c>
      <c r="AN71" s="168">
        <v>1765092.8725784968</v>
      </c>
      <c r="AO71" s="168">
        <v>1691880.6414061601</v>
      </c>
      <c r="AP71" s="168">
        <v>1618668.4102338236</v>
      </c>
      <c r="AQ71" s="168">
        <v>1618668.4102338236</v>
      </c>
      <c r="AR71" s="168">
        <v>1545456.1790614873</v>
      </c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</row>
    <row r="72" spans="1:69" ht="13.5" hidden="1" outlineLevel="1" thickBot="1">
      <c r="A72" s="159"/>
      <c r="B72" s="159" t="s">
        <v>27</v>
      </c>
      <c r="D72" s="70" t="s">
        <v>121</v>
      </c>
      <c r="E72" s="160">
        <f t="shared" si="73"/>
        <v>85624.95709237759</v>
      </c>
      <c r="F72" s="160">
        <f t="shared" si="73"/>
        <v>151567.7490803485</v>
      </c>
      <c r="G72" s="160">
        <f t="shared" si="73"/>
        <v>256740.27206065782</v>
      </c>
      <c r="H72" s="160">
        <f t="shared" si="73"/>
        <v>337353.82763334044</v>
      </c>
      <c r="I72" s="160">
        <f t="shared" si="73"/>
        <v>329645.77546102525</v>
      </c>
      <c r="J72" s="160">
        <f t="shared" si="73"/>
        <v>335446.49284531362</v>
      </c>
      <c r="K72" s="160">
        <f t="shared" si="73"/>
        <v>341118.98391114752</v>
      </c>
      <c r="L72" s="160">
        <f t="shared" si="73"/>
        <v>345721.21613227815</v>
      </c>
      <c r="M72" s="160">
        <v>953539.34899052337</v>
      </c>
      <c r="N72" s="160">
        <v>953539.34899052337</v>
      </c>
      <c r="O72" s="160">
        <v>905862.38154099719</v>
      </c>
      <c r="P72" s="169">
        <v>914610.59814739041</v>
      </c>
      <c r="Q72" s="169">
        <v>985805.17941834405</v>
      </c>
      <c r="R72" s="169">
        <v>1058574.6869490414</v>
      </c>
      <c r="S72" s="169">
        <v>1124467.1965966329</v>
      </c>
      <c r="T72" s="169">
        <v>1191617.4288233523</v>
      </c>
      <c r="U72" s="169">
        <v>1240210.6970556299</v>
      </c>
      <c r="V72" s="168">
        <v>1266936.204132532</v>
      </c>
      <c r="W72" s="168">
        <v>1286564.7546286986</v>
      </c>
      <c r="X72" s="168">
        <v>1286769.714145784</v>
      </c>
      <c r="Y72" s="168">
        <v>1352576.8358863872</v>
      </c>
      <c r="Z72" s="168">
        <v>1431570.8467666362</v>
      </c>
      <c r="AA72" s="168">
        <v>1514421.1532830545</v>
      </c>
      <c r="AB72" s="168">
        <v>1540317.1835032448</v>
      </c>
      <c r="AC72" s="168">
        <v>1591026.7634380483</v>
      </c>
      <c r="AD72" s="168">
        <v>1758991.3747081144</v>
      </c>
      <c r="AE72" s="168">
        <v>1899908.3552778082</v>
      </c>
      <c r="AF72" s="168">
        <v>1878468.7104044317</v>
      </c>
      <c r="AG72" s="168">
        <v>1875535.0721653942</v>
      </c>
      <c r="AH72" s="168">
        <v>1869378.9273550182</v>
      </c>
      <c r="AI72" s="168">
        <v>1824739.0922623342</v>
      </c>
      <c r="AJ72" s="168">
        <v>1874672.7703340726</v>
      </c>
      <c r="AK72" s="168">
        <v>1933773.0063815692</v>
      </c>
      <c r="AL72" s="168">
        <v>1992509.7507532111</v>
      </c>
      <c r="AM72" s="168">
        <v>2041352.9537973849</v>
      </c>
      <c r="AN72" s="168">
        <v>2089832.6651657035</v>
      </c>
      <c r="AO72" s="168">
        <v>2118888.7855549403</v>
      </c>
      <c r="AP72" s="168">
        <v>2052280.9177521907</v>
      </c>
      <c r="AQ72" s="168">
        <v>2061913.4471623464</v>
      </c>
      <c r="AR72" s="168">
        <v>2033062.2862901944</v>
      </c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</row>
    <row r="73" spans="1:69" ht="13.5" hidden="1" outlineLevel="1" thickBot="1">
      <c r="A73" s="159" t="s">
        <v>28</v>
      </c>
      <c r="B73" s="159" t="s">
        <v>26</v>
      </c>
      <c r="D73" s="70" t="s">
        <v>26</v>
      </c>
      <c r="E73" s="160">
        <f t="shared" si="73"/>
        <v>167090.07571933369</v>
      </c>
      <c r="F73" s="160">
        <f t="shared" si="73"/>
        <v>211704.06969990322</v>
      </c>
      <c r="G73" s="160">
        <f t="shared" si="73"/>
        <v>630435.95781627402</v>
      </c>
      <c r="H73" s="160">
        <f t="shared" si="73"/>
        <v>421968.33656040509</v>
      </c>
      <c r="I73" s="160">
        <f t="shared" si="73"/>
        <v>342285.29556884582</v>
      </c>
      <c r="J73" s="160">
        <f t="shared" si="73"/>
        <v>373430.63370566611</v>
      </c>
      <c r="K73" s="160">
        <f t="shared" si="73"/>
        <v>216188.00975091438</v>
      </c>
      <c r="L73" s="160">
        <f t="shared" si="73"/>
        <v>163791.51001040993</v>
      </c>
      <c r="M73" s="160">
        <v>184936.00329625054</v>
      </c>
      <c r="N73" s="160">
        <v>121464.4581788216</v>
      </c>
      <c r="O73" s="160">
        <v>59153.193242686444</v>
      </c>
      <c r="P73" s="169">
        <v>289929.80349587015</v>
      </c>
      <c r="Q73" s="169">
        <v>286919.25332701189</v>
      </c>
      <c r="R73" s="169">
        <v>284617.05994610139</v>
      </c>
      <c r="S73" s="169">
        <v>282898.5189716419</v>
      </c>
      <c r="T73" s="169">
        <v>281190.35468746745</v>
      </c>
      <c r="U73" s="169">
        <v>279492.50443827745</v>
      </c>
      <c r="V73" s="168">
        <v>242836.62683015471</v>
      </c>
      <c r="W73" s="168">
        <v>261531.55881281287</v>
      </c>
      <c r="X73" s="168">
        <v>268143.18109936261</v>
      </c>
      <c r="Y73" s="168">
        <v>271107.01177954022</v>
      </c>
      <c r="Z73" s="168">
        <v>243976.56170714609</v>
      </c>
      <c r="AA73" s="168">
        <v>224711.66228599229</v>
      </c>
      <c r="AB73" s="168">
        <v>198721.14709058954</v>
      </c>
      <c r="AC73" s="168">
        <v>182876.05230040979</v>
      </c>
      <c r="AD73" s="168">
        <v>161715.0113167215</v>
      </c>
      <c r="AE73" s="168">
        <v>147009.85140353313</v>
      </c>
      <c r="AF73" s="168">
        <v>127744.95198237934</v>
      </c>
      <c r="AG73" s="168">
        <v>117713.52506485546</v>
      </c>
      <c r="AH73" s="168">
        <v>104148.30002865843</v>
      </c>
      <c r="AI73" s="168">
        <v>97536.677742108615</v>
      </c>
      <c r="AJ73" s="168">
        <v>87163.270361487346</v>
      </c>
      <c r="AK73" s="168">
        <v>77701.810882459162</v>
      </c>
      <c r="AL73" s="168">
        <v>72458.110448298961</v>
      </c>
      <c r="AM73" s="168">
        <v>65846.488161749134</v>
      </c>
      <c r="AN73" s="168">
        <v>51867.036903106338</v>
      </c>
      <c r="AO73" s="168">
        <v>46395.349493547867</v>
      </c>
      <c r="AP73" s="168">
        <v>44115.479739565177</v>
      </c>
      <c r="AQ73" s="168">
        <v>40011.714182396317</v>
      </c>
      <c r="AR73" s="168">
        <v>36363.922576024008</v>
      </c>
      <c r="AT73" s="66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</row>
    <row r="74" spans="1:69" ht="13.5" hidden="1" outlineLevel="1" thickBot="1">
      <c r="A74" s="159"/>
      <c r="B74" s="159" t="s">
        <v>27</v>
      </c>
      <c r="D74" s="70" t="s">
        <v>121</v>
      </c>
      <c r="E74" s="160">
        <f t="shared" si="73"/>
        <v>194898.57647652703</v>
      </c>
      <c r="F74" s="160">
        <f t="shared" si="73"/>
        <v>340488.5994191675</v>
      </c>
      <c r="G74" s="160">
        <f t="shared" si="73"/>
        <v>601209.0317122374</v>
      </c>
      <c r="H74" s="160">
        <f t="shared" si="73"/>
        <v>115788.28996855601</v>
      </c>
      <c r="I74" s="160">
        <f t="shared" si="73"/>
        <v>81714.167345848415</v>
      </c>
      <c r="J74" s="160">
        <f t="shared" si="73"/>
        <v>89548.390445766709</v>
      </c>
      <c r="K74" s="160">
        <f t="shared" si="73"/>
        <v>52035.815992396587</v>
      </c>
      <c r="L74" s="160">
        <f t="shared" si="73"/>
        <v>39553.39581455107</v>
      </c>
      <c r="M74" s="160">
        <v>131168.61969509683</v>
      </c>
      <c r="N74" s="160">
        <v>79099.464359291305</v>
      </c>
      <c r="O74" s="160">
        <v>33773.646477132264</v>
      </c>
      <c r="P74" s="169">
        <v>234721.92879138369</v>
      </c>
      <c r="Q74" s="169">
        <v>240823.18272676945</v>
      </c>
      <c r="R74" s="169">
        <v>220256.79274150814</v>
      </c>
      <c r="S74" s="169">
        <v>218926.86429905641</v>
      </c>
      <c r="T74" s="169">
        <v>217604.96607279018</v>
      </c>
      <c r="U74" s="169">
        <v>216291.04957561049</v>
      </c>
      <c r="V74" s="168">
        <v>186239.94948464163</v>
      </c>
      <c r="W74" s="168">
        <v>202156.80313154674</v>
      </c>
      <c r="X74" s="168">
        <v>212007.03941183811</v>
      </c>
      <c r="Y74" s="168">
        <v>281568.78253662837</v>
      </c>
      <c r="Z74" s="168">
        <v>322145.51782061637</v>
      </c>
      <c r="AA74" s="168">
        <v>474483.66068772704</v>
      </c>
      <c r="AB74" s="168">
        <v>755022.08846426138</v>
      </c>
      <c r="AC74" s="168">
        <v>568139.94449227839</v>
      </c>
      <c r="AD74" s="168">
        <v>545568.43667568907</v>
      </c>
      <c r="AE74" s="168">
        <v>504182.71085137868</v>
      </c>
      <c r="AF74" s="168">
        <v>362473.39328795183</v>
      </c>
      <c r="AG74" s="168">
        <v>418503.66163410124</v>
      </c>
      <c r="AH74" s="168">
        <v>273817.89046280837</v>
      </c>
      <c r="AI74" s="168">
        <v>154009.41128320337</v>
      </c>
      <c r="AJ74" s="168">
        <v>304933.02661491017</v>
      </c>
      <c r="AK74" s="168">
        <v>304985.51823635079</v>
      </c>
      <c r="AL74" s="168">
        <v>283941.98289541167</v>
      </c>
      <c r="AM74" s="168">
        <v>279254.59966563288</v>
      </c>
      <c r="AN74" s="168">
        <v>265081.86187666509</v>
      </c>
      <c r="AO74" s="168">
        <v>260585.07963991852</v>
      </c>
      <c r="AP74" s="168">
        <v>218942.9122790455</v>
      </c>
      <c r="AQ74" s="168">
        <v>233253.75943960491</v>
      </c>
      <c r="AR74" s="168">
        <v>239832.01798343088</v>
      </c>
      <c r="AT74" s="66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</row>
    <row r="75" spans="1:69" ht="13.5" hidden="1" outlineLevel="1" thickBot="1">
      <c r="A75" s="159" t="s">
        <v>29</v>
      </c>
      <c r="B75" s="159" t="s">
        <v>26</v>
      </c>
      <c r="D75" s="70" t="s">
        <v>26</v>
      </c>
      <c r="E75" s="160">
        <f t="shared" si="73"/>
        <v>14264.149419485108</v>
      </c>
      <c r="F75" s="160">
        <f t="shared" si="73"/>
        <v>98616.949467570201</v>
      </c>
      <c r="G75" s="160">
        <f t="shared" si="73"/>
        <v>269266.73154416599</v>
      </c>
      <c r="H75" s="160">
        <f t="shared" si="73"/>
        <v>335522.22155216348</v>
      </c>
      <c r="I75" s="160">
        <f t="shared" si="73"/>
        <v>300692.54766307306</v>
      </c>
      <c r="J75" s="160">
        <f t="shared" si="73"/>
        <v>150154.75459833004</v>
      </c>
      <c r="K75" s="160">
        <f t="shared" si="73"/>
        <v>111909.31276692472</v>
      </c>
      <c r="L75" s="160">
        <f t="shared" si="73"/>
        <v>22609.697110018151</v>
      </c>
      <c r="M75" s="160">
        <v>0</v>
      </c>
      <c r="N75" s="160">
        <v>0</v>
      </c>
      <c r="O75" s="160">
        <v>0</v>
      </c>
      <c r="P75" s="169">
        <v>0</v>
      </c>
      <c r="Q75" s="169">
        <v>0</v>
      </c>
      <c r="R75" s="169">
        <v>0</v>
      </c>
      <c r="S75" s="169">
        <v>0</v>
      </c>
      <c r="T75" s="169">
        <v>0</v>
      </c>
      <c r="U75" s="169">
        <v>0</v>
      </c>
      <c r="V75" s="168">
        <v>0</v>
      </c>
      <c r="W75" s="168">
        <v>0</v>
      </c>
      <c r="X75" s="168">
        <v>0</v>
      </c>
      <c r="Y75" s="168">
        <v>0</v>
      </c>
      <c r="Z75" s="168">
        <v>0</v>
      </c>
      <c r="AA75" s="168">
        <v>0</v>
      </c>
      <c r="AB75" s="168">
        <v>0</v>
      </c>
      <c r="AC75" s="168">
        <v>0</v>
      </c>
      <c r="AD75" s="168">
        <v>0</v>
      </c>
      <c r="AE75" s="168">
        <v>0</v>
      </c>
      <c r="AF75" s="168">
        <v>0</v>
      </c>
      <c r="AG75" s="168">
        <v>0</v>
      </c>
      <c r="AH75" s="168">
        <v>0</v>
      </c>
      <c r="AI75" s="168">
        <v>0</v>
      </c>
      <c r="AJ75" s="168">
        <v>0</v>
      </c>
      <c r="AK75" s="168">
        <v>0</v>
      </c>
      <c r="AL75" s="168">
        <v>0</v>
      </c>
      <c r="AM75" s="168">
        <v>0</v>
      </c>
      <c r="AN75" s="168">
        <v>0</v>
      </c>
      <c r="AO75" s="168">
        <v>0</v>
      </c>
      <c r="AP75" s="168">
        <v>0</v>
      </c>
      <c r="AQ75" s="168">
        <v>0</v>
      </c>
      <c r="AR75" s="168">
        <v>0</v>
      </c>
      <c r="AT75" s="66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</row>
    <row r="76" spans="1:69" ht="13.5" hidden="1" outlineLevel="1" thickBot="1">
      <c r="A76" s="159"/>
      <c r="B76" s="159" t="s">
        <v>27</v>
      </c>
      <c r="D76" s="70" t="s">
        <v>121</v>
      </c>
      <c r="E76" s="160">
        <f t="shared" si="73"/>
        <v>184675.37607269056</v>
      </c>
      <c r="F76" s="160">
        <f t="shared" si="73"/>
        <v>336956.87744433689</v>
      </c>
      <c r="G76" s="160">
        <f t="shared" si="73"/>
        <v>802676.43999167928</v>
      </c>
      <c r="H76" s="160">
        <f t="shared" si="73"/>
        <v>244096.26382893207</v>
      </c>
      <c r="I76" s="160">
        <f t="shared" si="73"/>
        <v>185235.70051573362</v>
      </c>
      <c r="J76" s="160">
        <f t="shared" si="73"/>
        <v>101680.17093482896</v>
      </c>
      <c r="K76" s="160">
        <f t="shared" si="73"/>
        <v>85107.934944531706</v>
      </c>
      <c r="L76" s="160">
        <f t="shared" si="73"/>
        <v>17251.234999688193</v>
      </c>
      <c r="M76" s="160">
        <v>0</v>
      </c>
      <c r="N76" s="160">
        <v>0</v>
      </c>
      <c r="O76" s="160">
        <v>0</v>
      </c>
      <c r="P76" s="169">
        <v>0</v>
      </c>
      <c r="Q76" s="169">
        <v>0</v>
      </c>
      <c r="R76" s="169">
        <v>0</v>
      </c>
      <c r="S76" s="169">
        <v>0</v>
      </c>
      <c r="T76" s="169">
        <v>0</v>
      </c>
      <c r="U76" s="169">
        <v>0</v>
      </c>
      <c r="V76" s="168">
        <v>0</v>
      </c>
      <c r="W76" s="168">
        <v>0</v>
      </c>
      <c r="X76" s="168">
        <v>0</v>
      </c>
      <c r="Y76" s="168">
        <v>0</v>
      </c>
      <c r="Z76" s="168">
        <v>0</v>
      </c>
      <c r="AA76" s="168">
        <v>0</v>
      </c>
      <c r="AB76" s="168">
        <v>0</v>
      </c>
      <c r="AC76" s="168">
        <v>0</v>
      </c>
      <c r="AD76" s="168">
        <v>0</v>
      </c>
      <c r="AE76" s="168">
        <v>0</v>
      </c>
      <c r="AF76" s="168">
        <v>0</v>
      </c>
      <c r="AG76" s="168">
        <v>0</v>
      </c>
      <c r="AH76" s="168">
        <v>0</v>
      </c>
      <c r="AI76" s="168">
        <v>0</v>
      </c>
      <c r="AJ76" s="168">
        <v>0</v>
      </c>
      <c r="AK76" s="168">
        <v>0</v>
      </c>
      <c r="AL76" s="168">
        <v>0</v>
      </c>
      <c r="AM76" s="168">
        <v>0</v>
      </c>
      <c r="AN76" s="168">
        <v>0</v>
      </c>
      <c r="AO76" s="168">
        <v>0</v>
      </c>
      <c r="AP76" s="168">
        <v>0</v>
      </c>
      <c r="AQ76" s="168">
        <v>0</v>
      </c>
      <c r="AR76" s="168">
        <v>0</v>
      </c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</row>
    <row r="77" spans="1:69" ht="13.5" hidden="1" outlineLevel="1" thickBot="1">
      <c r="A77" s="159" t="s">
        <v>30</v>
      </c>
      <c r="B77" s="165" t="s">
        <v>127</v>
      </c>
      <c r="D77" s="70" t="s">
        <v>121</v>
      </c>
      <c r="E77" s="160">
        <f t="shared" si="73"/>
        <v>19855.222337125128</v>
      </c>
      <c r="F77" s="160">
        <f t="shared" si="73"/>
        <v>43681.48914167528</v>
      </c>
      <c r="G77" s="160">
        <f t="shared" si="73"/>
        <v>152885.2119958635</v>
      </c>
      <c r="H77" s="160">
        <f t="shared" si="73"/>
        <v>22965.865447573131</v>
      </c>
      <c r="I77" s="160">
        <f t="shared" si="73"/>
        <v>15740.450856759737</v>
      </c>
      <c r="J77" s="160">
        <f t="shared" si="73"/>
        <v>6925.798376974285</v>
      </c>
      <c r="K77" s="160">
        <f t="shared" si="73"/>
        <v>0</v>
      </c>
      <c r="L77" s="160">
        <f t="shared" si="73"/>
        <v>0</v>
      </c>
      <c r="M77" s="160">
        <v>26370.004120313144</v>
      </c>
      <c r="N77" s="160">
        <v>26370.004120313144</v>
      </c>
      <c r="O77" s="160">
        <v>10548.001648125259</v>
      </c>
      <c r="P77" s="169">
        <v>6911.4367684450008</v>
      </c>
      <c r="Q77" s="169">
        <v>12624.620622117282</v>
      </c>
      <c r="R77" s="169">
        <v>23223.63620185461</v>
      </c>
      <c r="S77" s="169">
        <v>22043.470230512074</v>
      </c>
      <c r="T77" s="169">
        <v>7736.7635961618698</v>
      </c>
      <c r="U77" s="169">
        <v>29486.118130375162</v>
      </c>
      <c r="V77" s="168">
        <v>45877.639242704143</v>
      </c>
      <c r="W77" s="168">
        <v>40079.928281699387</v>
      </c>
      <c r="X77" s="168">
        <v>46017.528058502197</v>
      </c>
      <c r="Y77" s="168">
        <v>58520.507230143339</v>
      </c>
      <c r="Z77" s="168">
        <v>136697.27228508101</v>
      </c>
      <c r="AA77" s="168">
        <v>86440.253193116048</v>
      </c>
      <c r="AB77" s="168">
        <v>86569.16764426422</v>
      </c>
      <c r="AC77" s="168">
        <v>86706.78937085066</v>
      </c>
      <c r="AD77" s="168">
        <v>86838.134026827014</v>
      </c>
      <c r="AE77" s="168">
        <v>86973.531127853421</v>
      </c>
      <c r="AF77" s="168">
        <v>87100.716560599292</v>
      </c>
      <c r="AG77" s="168">
        <v>87233.886342232698</v>
      </c>
      <c r="AH77" s="168">
        <v>87367.650953365563</v>
      </c>
      <c r="AI77" s="168">
        <v>87493.752848403863</v>
      </c>
      <c r="AJ77" s="168">
        <v>87626.545209312695</v>
      </c>
      <c r="AK77" s="168">
        <v>87747.395674941421</v>
      </c>
      <c r="AL77" s="168">
        <v>87872.348577059543</v>
      </c>
      <c r="AM77" s="168">
        <v>87998.491810944382</v>
      </c>
      <c r="AN77" s="168">
        <v>88115.15034066292</v>
      </c>
      <c r="AO77" s="168">
        <v>43703.869420083043</v>
      </c>
      <c r="AP77" s="168">
        <v>70798.648643633205</v>
      </c>
      <c r="AQ77" s="168">
        <v>65103.835190762489</v>
      </c>
      <c r="AR77" s="168">
        <v>71148.269000457614</v>
      </c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</row>
    <row r="78" spans="1:69" ht="13.5" hidden="1" outlineLevel="1" thickBot="1">
      <c r="A78" s="159" t="s">
        <v>31</v>
      </c>
      <c r="B78" s="159" t="s">
        <v>32</v>
      </c>
      <c r="D78" s="70" t="s">
        <v>13</v>
      </c>
      <c r="E78" s="160">
        <f t="shared" si="73"/>
        <v>414551.89245087898</v>
      </c>
      <c r="F78" s="160">
        <f t="shared" si="73"/>
        <v>72300.806618407441</v>
      </c>
      <c r="G78" s="160">
        <f t="shared" si="73"/>
        <v>794208.89348500513</v>
      </c>
      <c r="H78" s="160">
        <f t="shared" si="73"/>
        <v>58886.83448095675</v>
      </c>
      <c r="I78" s="160">
        <f t="shared" si="73"/>
        <v>58297.966136147181</v>
      </c>
      <c r="J78" s="160">
        <f t="shared" si="73"/>
        <v>634864.85122264281</v>
      </c>
      <c r="K78" s="160">
        <f t="shared" si="73"/>
        <v>57137.836610037855</v>
      </c>
      <c r="L78" s="160">
        <f t="shared" si="73"/>
        <v>56566.458243937479</v>
      </c>
      <c r="M78" s="160">
        <v>128685.62010712815</v>
      </c>
      <c r="N78" s="160">
        <v>23205.603625875567</v>
      </c>
      <c r="O78" s="160">
        <v>22150.803461063042</v>
      </c>
      <c r="P78" s="169">
        <v>160607.71401945711</v>
      </c>
      <c r="Q78" s="169">
        <v>110424.82648356976</v>
      </c>
      <c r="R78" s="169">
        <v>109538.79565200016</v>
      </c>
      <c r="S78" s="169">
        <v>108877.39148790488</v>
      </c>
      <c r="T78" s="169">
        <v>108219.98093598762</v>
      </c>
      <c r="U78" s="169">
        <v>107566.53988249302</v>
      </c>
      <c r="V78" s="168">
        <v>107566.53988249302</v>
      </c>
      <c r="W78" s="168">
        <v>107566.53988249302</v>
      </c>
      <c r="X78" s="168">
        <v>107566.53988249302</v>
      </c>
      <c r="Y78" s="168">
        <v>107566.53988249302</v>
      </c>
      <c r="Z78" s="168">
        <v>107566.53988249302</v>
      </c>
      <c r="AA78" s="168">
        <v>107566.53988249302</v>
      </c>
      <c r="AB78" s="168">
        <v>107566.53988249302</v>
      </c>
      <c r="AC78" s="168">
        <v>107566.53988249302</v>
      </c>
      <c r="AD78" s="168">
        <v>107566.53988249302</v>
      </c>
      <c r="AE78" s="168">
        <v>107566.53988249302</v>
      </c>
      <c r="AF78" s="168">
        <v>107566.53988249302</v>
      </c>
      <c r="AG78" s="168">
        <v>107566.53988249302</v>
      </c>
      <c r="AH78" s="168">
        <v>107566.53988249302</v>
      </c>
      <c r="AI78" s="168">
        <v>107566.53988249302</v>
      </c>
      <c r="AJ78" s="168">
        <v>107566.53988249302</v>
      </c>
      <c r="AK78" s="168">
        <v>107566.53988249302</v>
      </c>
      <c r="AL78" s="168">
        <v>107566.53988249302</v>
      </c>
      <c r="AM78" s="168">
        <v>107566.53988249302</v>
      </c>
      <c r="AN78" s="168">
        <v>107566.53988249302</v>
      </c>
      <c r="AO78" s="168">
        <v>107566.53988249302</v>
      </c>
      <c r="AP78" s="168">
        <v>107566.53988249302</v>
      </c>
      <c r="AQ78" s="168">
        <v>107566.53988249302</v>
      </c>
      <c r="AR78" s="168">
        <v>107566.53988249302</v>
      </c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</row>
    <row r="79" spans="1:69" ht="13.5" hidden="1" outlineLevel="1" thickBot="1">
      <c r="A79" s="159" t="s">
        <v>33</v>
      </c>
      <c r="D79" s="70" t="s">
        <v>49</v>
      </c>
      <c r="E79" s="160">
        <f t="shared" si="73"/>
        <v>0</v>
      </c>
      <c r="F79" s="160">
        <f t="shared" si="73"/>
        <v>0</v>
      </c>
      <c r="G79" s="160">
        <f t="shared" si="73"/>
        <v>0</v>
      </c>
      <c r="H79" s="160">
        <f t="shared" si="73"/>
        <v>0</v>
      </c>
      <c r="I79" s="160">
        <f t="shared" si="73"/>
        <v>0</v>
      </c>
      <c r="J79" s="160">
        <f t="shared" si="73"/>
        <v>0</v>
      </c>
      <c r="K79" s="160">
        <f t="shared" si="73"/>
        <v>0</v>
      </c>
      <c r="L79" s="160">
        <f t="shared" si="73"/>
        <v>0</v>
      </c>
      <c r="M79" s="160">
        <v>0</v>
      </c>
      <c r="N79" s="160">
        <v>0</v>
      </c>
      <c r="O79" s="160">
        <v>0</v>
      </c>
      <c r="P79" s="169">
        <v>0</v>
      </c>
      <c r="Q79" s="169">
        <v>0</v>
      </c>
      <c r="R79" s="169">
        <v>0</v>
      </c>
      <c r="S79" s="169">
        <v>0</v>
      </c>
      <c r="T79" s="169">
        <v>0</v>
      </c>
      <c r="U79" s="169">
        <v>0</v>
      </c>
      <c r="V79" s="168">
        <v>0</v>
      </c>
      <c r="W79" s="168">
        <v>0</v>
      </c>
      <c r="X79" s="168">
        <v>0</v>
      </c>
      <c r="Y79" s="168">
        <v>0</v>
      </c>
      <c r="Z79" s="168">
        <v>0</v>
      </c>
      <c r="AA79" s="168">
        <v>0</v>
      </c>
      <c r="AB79" s="168">
        <v>0</v>
      </c>
      <c r="AC79" s="168">
        <v>0</v>
      </c>
      <c r="AD79" s="168">
        <v>0</v>
      </c>
      <c r="AE79" s="168">
        <v>0</v>
      </c>
      <c r="AF79" s="168">
        <v>0</v>
      </c>
      <c r="AG79" s="168">
        <v>0</v>
      </c>
      <c r="AH79" s="168">
        <v>0</v>
      </c>
      <c r="AI79" s="168">
        <v>0</v>
      </c>
      <c r="AJ79" s="168">
        <v>0</v>
      </c>
      <c r="AK79" s="168">
        <v>0</v>
      </c>
      <c r="AL79" s="168">
        <v>0</v>
      </c>
      <c r="AM79" s="168">
        <v>0</v>
      </c>
      <c r="AN79" s="168">
        <v>0</v>
      </c>
      <c r="AO79" s="168">
        <v>0</v>
      </c>
      <c r="AP79" s="168">
        <v>0</v>
      </c>
      <c r="AQ79" s="168">
        <v>0</v>
      </c>
      <c r="AR79" s="168">
        <v>0</v>
      </c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</row>
    <row r="80" spans="1:69" ht="13.5" hidden="1" outlineLevel="1" thickBot="1">
      <c r="A80" s="162"/>
      <c r="D80" s="71"/>
      <c r="E80" s="163"/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4"/>
      <c r="Q80" s="164"/>
      <c r="R80" s="164"/>
      <c r="S80" s="164"/>
      <c r="T80" s="164"/>
      <c r="U80" s="164"/>
      <c r="V80" s="166"/>
      <c r="W80" s="166"/>
      <c r="X80" s="166"/>
      <c r="Y80" s="166"/>
      <c r="Z80" s="166"/>
      <c r="AA80" s="166"/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T80" s="66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</row>
    <row r="81" spans="1:69" ht="13.5" hidden="1" outlineLevel="1" thickBot="1">
      <c r="A81" s="158" t="s">
        <v>120</v>
      </c>
      <c r="D81" s="28"/>
      <c r="E81" s="163"/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6"/>
      <c r="Q81" s="166"/>
      <c r="R81" s="166"/>
      <c r="S81" s="166"/>
      <c r="T81" s="166"/>
      <c r="U81" s="166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6"/>
      <c r="AG81" s="166"/>
      <c r="AH81" s="166"/>
      <c r="AI81" s="164"/>
      <c r="AJ81" s="164"/>
      <c r="AK81" s="164"/>
      <c r="AL81" s="164"/>
      <c r="AM81" s="164"/>
      <c r="AN81" s="164"/>
      <c r="AO81" s="164"/>
      <c r="AP81" s="164"/>
      <c r="AQ81" s="164"/>
      <c r="AR81" s="164"/>
      <c r="AT81" s="66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</row>
    <row r="82" spans="1:69" ht="13.5" hidden="1" outlineLevel="1" thickBot="1">
      <c r="A82" s="159"/>
      <c r="B82" s="117"/>
      <c r="D82" s="28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6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T82" s="66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</row>
    <row r="83" spans="1:69" ht="13.5" hidden="1" outlineLevel="1" thickBot="1">
      <c r="A83" s="159" t="s">
        <v>20</v>
      </c>
      <c r="B83" s="159" t="s">
        <v>123</v>
      </c>
      <c r="D83" s="70" t="s">
        <v>49</v>
      </c>
      <c r="E83" s="160">
        <f>E38</f>
        <v>9163851.6796381921</v>
      </c>
      <c r="F83" s="160">
        <f t="shared" ref="F83:O83" si="74">F38</f>
        <v>11978318.038899688</v>
      </c>
      <c r="G83" s="160">
        <f t="shared" si="74"/>
        <v>9043092.038538985</v>
      </c>
      <c r="H83" s="160">
        <f t="shared" si="74"/>
        <v>10838486.253836051</v>
      </c>
      <c r="I83" s="160">
        <f t="shared" si="74"/>
        <v>10692893.508755067</v>
      </c>
      <c r="J83" s="160">
        <f t="shared" si="74"/>
        <v>7308907.3725016518</v>
      </c>
      <c r="K83" s="160">
        <f t="shared" si="74"/>
        <v>5558667.0110044731</v>
      </c>
      <c r="L83" s="160">
        <f t="shared" si="74"/>
        <v>4878064.592699294</v>
      </c>
      <c r="M83" s="160">
        <f t="shared" si="74"/>
        <v>974947.36366057745</v>
      </c>
      <c r="N83" s="160">
        <f t="shared" si="74"/>
        <v>823949.48186977813</v>
      </c>
      <c r="O83" s="160">
        <f t="shared" si="74"/>
        <v>745282.28546392603</v>
      </c>
      <c r="P83" s="196">
        <v>0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6">
        <v>0</v>
      </c>
      <c r="W83" s="196">
        <v>0</v>
      </c>
      <c r="X83" s="196">
        <v>0</v>
      </c>
      <c r="Y83" s="196">
        <v>0</v>
      </c>
      <c r="Z83" s="196">
        <v>0</v>
      </c>
      <c r="AA83" s="196">
        <v>0</v>
      </c>
      <c r="AB83" s="196">
        <v>0</v>
      </c>
      <c r="AC83" s="196">
        <v>0</v>
      </c>
      <c r="AD83" s="196">
        <v>0</v>
      </c>
      <c r="AE83" s="196">
        <v>0</v>
      </c>
      <c r="AF83" s="196">
        <v>0</v>
      </c>
      <c r="AG83" s="196">
        <v>0</v>
      </c>
      <c r="AH83" s="196">
        <v>0</v>
      </c>
      <c r="AI83" s="196">
        <v>0</v>
      </c>
      <c r="AJ83" s="196">
        <v>0</v>
      </c>
      <c r="AK83" s="196">
        <v>0</v>
      </c>
      <c r="AL83" s="196">
        <v>0</v>
      </c>
      <c r="AM83" s="196">
        <v>0</v>
      </c>
      <c r="AN83" s="196">
        <v>0</v>
      </c>
      <c r="AO83" s="196">
        <v>0</v>
      </c>
      <c r="AP83" s="196">
        <v>0</v>
      </c>
      <c r="AQ83" s="196">
        <v>0</v>
      </c>
      <c r="AR83" s="196">
        <v>0</v>
      </c>
      <c r="AT83" s="66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</row>
    <row r="84" spans="1:69" ht="13.5" hidden="1" outlineLevel="1" thickBot="1">
      <c r="A84" s="159"/>
      <c r="B84" s="159" t="s">
        <v>23</v>
      </c>
      <c r="D84" s="70" t="s">
        <v>121</v>
      </c>
      <c r="E84" s="160">
        <f t="shared" ref="E84:O94" si="75">E39</f>
        <v>0</v>
      </c>
      <c r="F84" s="160">
        <f t="shared" si="75"/>
        <v>34604.816073275229</v>
      </c>
      <c r="G84" s="160">
        <f t="shared" si="75"/>
        <v>109676.46624316738</v>
      </c>
      <c r="H84" s="160">
        <f t="shared" si="75"/>
        <v>102479.96752119425</v>
      </c>
      <c r="I84" s="160">
        <f t="shared" si="75"/>
        <v>132996.18633483956</v>
      </c>
      <c r="J84" s="160">
        <f t="shared" si="75"/>
        <v>135336.49629038991</v>
      </c>
      <c r="K84" s="160">
        <f t="shared" si="75"/>
        <v>69622.389520866738</v>
      </c>
      <c r="L84" s="160">
        <f t="shared" si="75"/>
        <v>70561.705183370315</v>
      </c>
      <c r="M84" s="160">
        <f t="shared" si="75"/>
        <v>0</v>
      </c>
      <c r="N84" s="160">
        <f t="shared" si="75"/>
        <v>0</v>
      </c>
      <c r="O84" s="160">
        <f t="shared" si="75"/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6">
        <v>0</v>
      </c>
      <c r="W84" s="196">
        <v>0</v>
      </c>
      <c r="X84" s="196">
        <v>0</v>
      </c>
      <c r="Y84" s="196">
        <v>0</v>
      </c>
      <c r="Z84" s="196">
        <v>0</v>
      </c>
      <c r="AA84" s="196">
        <v>0</v>
      </c>
      <c r="AB84" s="196">
        <v>0</v>
      </c>
      <c r="AC84" s="196">
        <v>0</v>
      </c>
      <c r="AD84" s="196">
        <v>0</v>
      </c>
      <c r="AE84" s="196">
        <v>0</v>
      </c>
      <c r="AF84" s="196">
        <v>0</v>
      </c>
      <c r="AG84" s="196">
        <v>0</v>
      </c>
      <c r="AH84" s="196">
        <v>0</v>
      </c>
      <c r="AI84" s="196">
        <v>0</v>
      </c>
      <c r="AJ84" s="196">
        <v>0</v>
      </c>
      <c r="AK84" s="196">
        <v>0</v>
      </c>
      <c r="AL84" s="196">
        <v>0</v>
      </c>
      <c r="AM84" s="196">
        <v>0</v>
      </c>
      <c r="AN84" s="196">
        <v>0</v>
      </c>
      <c r="AO84" s="196">
        <v>0</v>
      </c>
      <c r="AP84" s="196">
        <v>0</v>
      </c>
      <c r="AQ84" s="196">
        <v>0</v>
      </c>
      <c r="AR84" s="196">
        <v>0</v>
      </c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</row>
    <row r="85" spans="1:69" ht="13.5" hidden="1" outlineLevel="1" thickBot="1">
      <c r="A85" s="159" t="s">
        <v>25</v>
      </c>
      <c r="B85" s="165" t="s">
        <v>133</v>
      </c>
      <c r="D85" s="70" t="s">
        <v>49</v>
      </c>
      <c r="E85" s="160">
        <f t="shared" si="75"/>
        <v>0</v>
      </c>
      <c r="F85" s="160">
        <f t="shared" si="75"/>
        <v>0</v>
      </c>
      <c r="G85" s="160">
        <f t="shared" si="75"/>
        <v>296461.25600827299</v>
      </c>
      <c r="H85" s="160">
        <f t="shared" si="75"/>
        <v>863447.65301689028</v>
      </c>
      <c r="I85" s="160">
        <f t="shared" si="75"/>
        <v>718423.40312568855</v>
      </c>
      <c r="J85" s="160">
        <f t="shared" si="75"/>
        <v>759541.22496342892</v>
      </c>
      <c r="K85" s="160">
        <f t="shared" si="75"/>
        <v>803852.7239325362</v>
      </c>
      <c r="L85" s="160">
        <f t="shared" si="75"/>
        <v>473345.10637361696</v>
      </c>
      <c r="M85" s="160">
        <f t="shared" si="75"/>
        <v>7139904.8895570524</v>
      </c>
      <c r="N85" s="160">
        <f t="shared" si="75"/>
        <v>5609094.8249780647</v>
      </c>
      <c r="O85" s="160">
        <f t="shared" si="75"/>
        <v>5030079.6722088484</v>
      </c>
      <c r="P85" s="196">
        <v>9337051.6389023922</v>
      </c>
      <c r="Q85" s="196">
        <v>9058446.7985165175</v>
      </c>
      <c r="R85" s="196">
        <v>8925843.7885425873</v>
      </c>
      <c r="S85" s="196">
        <v>8915125.1064422615</v>
      </c>
      <c r="T85" s="196">
        <v>8998069.8852982726</v>
      </c>
      <c r="U85" s="196">
        <v>9026202.663719859</v>
      </c>
      <c r="V85" s="196">
        <v>7320907.0622120257</v>
      </c>
      <c r="W85" s="196">
        <v>6482253.9923139447</v>
      </c>
      <c r="X85" s="196">
        <v>6762443.3002239261</v>
      </c>
      <c r="Y85" s="196">
        <v>4228461.1003260547</v>
      </c>
      <c r="Z85" s="196">
        <v>2058906.6057640414</v>
      </c>
      <c r="AA85" s="196">
        <v>2049585.2438961628</v>
      </c>
      <c r="AB85" s="196">
        <v>2038803.6858026143</v>
      </c>
      <c r="AC85" s="196">
        <v>2029665.8311927118</v>
      </c>
      <c r="AD85" s="196">
        <v>2019542.8197864466</v>
      </c>
      <c r="AE85" s="196">
        <v>2019106.9517996518</v>
      </c>
      <c r="AF85" s="196">
        <v>2008873.0216322506</v>
      </c>
      <c r="AG85" s="196">
        <v>2008743.5875681159</v>
      </c>
      <c r="AH85" s="196">
        <v>2008303.7542764484</v>
      </c>
      <c r="AI85" s="196">
        <v>2008005.5965221364</v>
      </c>
      <c r="AJ85" s="196">
        <v>1999065.9552651774</v>
      </c>
      <c r="AK85" s="196">
        <v>1998103.3613521929</v>
      </c>
      <c r="AL85" s="196">
        <v>1997858.973022565</v>
      </c>
      <c r="AM85" s="196">
        <v>1997563.8022885374</v>
      </c>
      <c r="AN85" s="196">
        <v>1995846.5125606998</v>
      </c>
      <c r="AO85" s="196">
        <v>1995260.370237682</v>
      </c>
      <c r="AP85" s="196">
        <v>1993404.3352644269</v>
      </c>
      <c r="AQ85" s="196">
        <v>2000429.0220842301</v>
      </c>
      <c r="AR85" s="196">
        <v>1999035.009832965</v>
      </c>
      <c r="AT85" s="66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</row>
    <row r="86" spans="1:69" ht="13.5" hidden="1" outlineLevel="1" thickBot="1">
      <c r="A86" s="159" t="s">
        <v>10</v>
      </c>
      <c r="B86" s="159" t="s">
        <v>26</v>
      </c>
      <c r="D86" s="70" t="s">
        <v>26</v>
      </c>
      <c r="E86" s="160">
        <f t="shared" si="75"/>
        <v>206293.87178192832</v>
      </c>
      <c r="F86" s="160">
        <f t="shared" si="75"/>
        <v>384489.79515972827</v>
      </c>
      <c r="G86" s="160">
        <f t="shared" si="75"/>
        <v>778375.7743045406</v>
      </c>
      <c r="H86" s="160">
        <f t="shared" si="75"/>
        <v>1423063.4007354509</v>
      </c>
      <c r="I86" s="160">
        <f t="shared" si="75"/>
        <v>1598312.8119333212</v>
      </c>
      <c r="J86" s="160">
        <f t="shared" si="75"/>
        <v>1619193.6670771521</v>
      </c>
      <c r="K86" s="160">
        <f t="shared" si="75"/>
        <v>1640433.0368476138</v>
      </c>
      <c r="L86" s="160">
        <f t="shared" si="75"/>
        <v>1657131.706707872</v>
      </c>
      <c r="M86" s="160">
        <f t="shared" si="75"/>
        <v>2675817.0580964154</v>
      </c>
      <c r="N86" s="160">
        <f t="shared" si="75"/>
        <v>2675817.0580964154</v>
      </c>
      <c r="O86" s="160">
        <f t="shared" si="75"/>
        <v>2528988.875154512</v>
      </c>
      <c r="P86" s="196">
        <v>3217111.5213252585</v>
      </c>
      <c r="Q86" s="196">
        <v>3491144.1919132471</v>
      </c>
      <c r="R86" s="196">
        <v>3760834.6534316181</v>
      </c>
      <c r="S86" s="196">
        <v>3990881.9717900185</v>
      </c>
      <c r="T86" s="196">
        <v>4217761.6154586468</v>
      </c>
      <c r="U86" s="196">
        <v>4357735.3372857664</v>
      </c>
      <c r="V86" s="196">
        <v>4288661.5510213263</v>
      </c>
      <c r="W86" s="196">
        <v>4288661.5510213263</v>
      </c>
      <c r="X86" s="196">
        <v>4201174.1723805489</v>
      </c>
      <c r="Y86" s="196">
        <v>4026199.4150989964</v>
      </c>
      <c r="Z86" s="196">
        <v>3851224.6578174429</v>
      </c>
      <c r="AA86" s="196">
        <v>3632506.2112155012</v>
      </c>
      <c r="AB86" s="196">
        <v>3457531.4539339477</v>
      </c>
      <c r="AC86" s="196">
        <v>3282556.6966523943</v>
      </c>
      <c r="AD86" s="196">
        <v>3107581.9393708408</v>
      </c>
      <c r="AE86" s="196">
        <v>3020094.5607300643</v>
      </c>
      <c r="AF86" s="196">
        <v>2845119.8034485108</v>
      </c>
      <c r="AG86" s="196">
        <v>2757632.4248077343</v>
      </c>
      <c r="AH86" s="196">
        <v>2670145.0461669574</v>
      </c>
      <c r="AI86" s="196">
        <v>2582657.6675261809</v>
      </c>
      <c r="AJ86" s="196">
        <v>2407682.9102446274</v>
      </c>
      <c r="AK86" s="196">
        <v>2320195.5316038509</v>
      </c>
      <c r="AL86" s="196">
        <v>2232708.1529630739</v>
      </c>
      <c r="AM86" s="196">
        <v>2145220.7743222974</v>
      </c>
      <c r="AN86" s="196">
        <v>2057733.3956815205</v>
      </c>
      <c r="AO86" s="196">
        <v>1970246.017040744</v>
      </c>
      <c r="AP86" s="196">
        <v>1882758.6383999672</v>
      </c>
      <c r="AQ86" s="196">
        <v>1882758.6383999672</v>
      </c>
      <c r="AR86" s="196">
        <v>1795271.2597591905</v>
      </c>
      <c r="AT86" s="66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</row>
    <row r="87" spans="1:69" ht="13.5" hidden="1" outlineLevel="1" thickBot="1">
      <c r="A87" s="159"/>
      <c r="B87" s="159" t="s">
        <v>27</v>
      </c>
      <c r="D87" s="70" t="s">
        <v>121</v>
      </c>
      <c r="E87" s="160">
        <f t="shared" si="75"/>
        <v>85624.95709237759</v>
      </c>
      <c r="F87" s="160">
        <f t="shared" si="75"/>
        <v>151567.7490803485</v>
      </c>
      <c r="G87" s="160">
        <f t="shared" si="75"/>
        <v>256740.27206065782</v>
      </c>
      <c r="H87" s="160">
        <f t="shared" si="75"/>
        <v>337353.82763334044</v>
      </c>
      <c r="I87" s="160">
        <f t="shared" si="75"/>
        <v>329645.77546102525</v>
      </c>
      <c r="J87" s="160">
        <f t="shared" si="75"/>
        <v>335446.49284531362</v>
      </c>
      <c r="K87" s="160">
        <f t="shared" si="75"/>
        <v>341118.98391114752</v>
      </c>
      <c r="L87" s="160">
        <f t="shared" si="75"/>
        <v>345721.21613227815</v>
      </c>
      <c r="M87" s="160">
        <f t="shared" si="75"/>
        <v>953539.34899052326</v>
      </c>
      <c r="N87" s="160">
        <f t="shared" si="75"/>
        <v>953539.34899052326</v>
      </c>
      <c r="O87" s="160">
        <f t="shared" si="75"/>
        <v>905862.38154099719</v>
      </c>
      <c r="P87" s="196">
        <v>921167.00594398438</v>
      </c>
      <c r="Q87" s="196">
        <v>994707.53568836651</v>
      </c>
      <c r="R87" s="196">
        <v>1067728.235583693</v>
      </c>
      <c r="S87" s="196">
        <v>1133622.7235087822</v>
      </c>
      <c r="T87" s="196">
        <v>1200718.2960644646</v>
      </c>
      <c r="U87" s="196">
        <v>1249057.0756896459</v>
      </c>
      <c r="V87" s="196">
        <v>1268690.7187431997</v>
      </c>
      <c r="W87" s="196">
        <v>1288459.0181009609</v>
      </c>
      <c r="X87" s="196">
        <v>1288801.1385377592</v>
      </c>
      <c r="Y87" s="196">
        <v>1354740.2453143131</v>
      </c>
      <c r="Z87" s="196">
        <v>1433861.0653467497</v>
      </c>
      <c r="AA87" s="196">
        <v>1516831.7111606519</v>
      </c>
      <c r="AB87" s="196">
        <v>1542842.9047945638</v>
      </c>
      <c r="AC87" s="196">
        <v>1593662.4722593261</v>
      </c>
      <c r="AD87" s="196">
        <v>1761731.8951755881</v>
      </c>
      <c r="AE87" s="196">
        <v>1902751.0994495961</v>
      </c>
      <c r="AF87" s="196">
        <v>1881408.5023967712</v>
      </c>
      <c r="AG87" s="196">
        <v>1878569.3240364045</v>
      </c>
      <c r="AH87" s="196">
        <v>1872505.0511628173</v>
      </c>
      <c r="AI87" s="196">
        <v>1827954.5000650408</v>
      </c>
      <c r="AJ87" s="196">
        <v>1877972.286247924</v>
      </c>
      <c r="AK87" s="196">
        <v>1937154.042464684</v>
      </c>
      <c r="AL87" s="196">
        <v>1995969.7190637079</v>
      </c>
      <c r="AM87" s="196">
        <v>2044889.2663933823</v>
      </c>
      <c r="AN87" s="196">
        <v>2093442.7341053204</v>
      </c>
      <c r="AO87" s="196">
        <v>2122570.0228962954</v>
      </c>
      <c r="AP87" s="196">
        <v>2056030.7355534022</v>
      </c>
      <c r="AQ87" s="196">
        <v>2065731.8454234144</v>
      </c>
      <c r="AR87" s="196">
        <v>2036946.6770692377</v>
      </c>
      <c r="AT87" s="66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</row>
    <row r="88" spans="1:69" ht="13.5" hidden="1" outlineLevel="1" thickBot="1">
      <c r="A88" s="159" t="s">
        <v>28</v>
      </c>
      <c r="B88" s="159" t="s">
        <v>26</v>
      </c>
      <c r="D88" s="70" t="s">
        <v>26</v>
      </c>
      <c r="E88" s="160">
        <f t="shared" si="75"/>
        <v>167090.07571933369</v>
      </c>
      <c r="F88" s="160">
        <f t="shared" si="75"/>
        <v>211704.06969990322</v>
      </c>
      <c r="G88" s="160">
        <f t="shared" si="75"/>
        <v>630435.95781627402</v>
      </c>
      <c r="H88" s="160">
        <f t="shared" si="75"/>
        <v>421968.33656040509</v>
      </c>
      <c r="I88" s="160">
        <f t="shared" si="75"/>
        <v>342285.29556884582</v>
      </c>
      <c r="J88" s="160">
        <f>J43</f>
        <v>373430.63370566611</v>
      </c>
      <c r="K88" s="160">
        <f t="shared" si="75"/>
        <v>216188.00975091438</v>
      </c>
      <c r="L88" s="160">
        <f t="shared" si="75"/>
        <v>163791.51001040993</v>
      </c>
      <c r="M88" s="160">
        <f t="shared" si="75"/>
        <v>184936.00329625054</v>
      </c>
      <c r="N88" s="160">
        <f t="shared" si="75"/>
        <v>121464.4581788216</v>
      </c>
      <c r="O88" s="160">
        <f t="shared" si="75"/>
        <v>59153.193242686444</v>
      </c>
      <c r="P88" s="196">
        <v>292008.17217862507</v>
      </c>
      <c r="Q88" s="196">
        <v>289510.2900421496</v>
      </c>
      <c r="R88" s="196">
        <v>287078.15799859399</v>
      </c>
      <c r="S88" s="196">
        <v>285201.90764468751</v>
      </c>
      <c r="T88" s="196">
        <v>283337.91985863046</v>
      </c>
      <c r="U88" s="196">
        <v>281486.11449622997</v>
      </c>
      <c r="V88" s="196">
        <v>242836.62683015471</v>
      </c>
      <c r="W88" s="196">
        <v>261531.55881281287</v>
      </c>
      <c r="X88" s="196">
        <v>268143.18109936261</v>
      </c>
      <c r="Y88" s="196">
        <v>271107.01177954022</v>
      </c>
      <c r="Z88" s="196">
        <v>243976.56170714609</v>
      </c>
      <c r="AA88" s="196">
        <v>224711.66228599229</v>
      </c>
      <c r="AB88" s="196">
        <v>198721.14709058954</v>
      </c>
      <c r="AC88" s="196">
        <v>182876.05230040979</v>
      </c>
      <c r="AD88" s="196">
        <v>161715.0113167215</v>
      </c>
      <c r="AE88" s="196">
        <v>147009.85140353313</v>
      </c>
      <c r="AF88" s="196">
        <v>127744.95198237934</v>
      </c>
      <c r="AG88" s="196">
        <v>117713.52506485546</v>
      </c>
      <c r="AH88" s="196">
        <v>104148.30002865843</v>
      </c>
      <c r="AI88" s="196">
        <v>97536.677742108615</v>
      </c>
      <c r="AJ88" s="196">
        <v>87163.270361487346</v>
      </c>
      <c r="AK88" s="196">
        <v>77701.810882459162</v>
      </c>
      <c r="AL88" s="196">
        <v>72458.110448298961</v>
      </c>
      <c r="AM88" s="196">
        <v>65846.488161749134</v>
      </c>
      <c r="AN88" s="196">
        <v>51867.036903106338</v>
      </c>
      <c r="AO88" s="196">
        <v>46395.349493547867</v>
      </c>
      <c r="AP88" s="196">
        <v>44115.479739565177</v>
      </c>
      <c r="AQ88" s="196">
        <v>40011.714182396317</v>
      </c>
      <c r="AR88" s="196">
        <v>36363.922576024008</v>
      </c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</row>
    <row r="89" spans="1:69" ht="13.5" hidden="1" outlineLevel="1" thickBot="1">
      <c r="A89" s="159"/>
      <c r="B89" s="159" t="s">
        <v>27</v>
      </c>
      <c r="D89" s="70" t="s">
        <v>121</v>
      </c>
      <c r="E89" s="160">
        <f t="shared" si="75"/>
        <v>194898.57647652703</v>
      </c>
      <c r="F89" s="160">
        <f t="shared" si="75"/>
        <v>340488.5994191675</v>
      </c>
      <c r="G89" s="160">
        <f t="shared" si="75"/>
        <v>601209.0317122374</v>
      </c>
      <c r="H89" s="160">
        <f t="shared" si="75"/>
        <v>115788.28996855601</v>
      </c>
      <c r="I89" s="160">
        <f t="shared" si="75"/>
        <v>81714.167345848415</v>
      </c>
      <c r="J89" s="160">
        <f t="shared" si="75"/>
        <v>89548.390445766709</v>
      </c>
      <c r="K89" s="160">
        <f t="shared" si="75"/>
        <v>52035.815992396587</v>
      </c>
      <c r="L89" s="160">
        <f t="shared" si="75"/>
        <v>39553.39581455107</v>
      </c>
      <c r="M89" s="160">
        <f t="shared" si="75"/>
        <v>131168.61969509683</v>
      </c>
      <c r="N89" s="160">
        <f t="shared" si="75"/>
        <v>79099.46435929132</v>
      </c>
      <c r="O89" s="160">
        <f t="shared" si="75"/>
        <v>33773.646477132264</v>
      </c>
      <c r="P89" s="196">
        <v>236404.53851302547</v>
      </c>
      <c r="Q89" s="196">
        <v>242997.94688451043</v>
      </c>
      <c r="R89" s="196">
        <v>222161.36432188717</v>
      </c>
      <c r="S89" s="196">
        <v>220709.38921747913</v>
      </c>
      <c r="T89" s="196">
        <v>219266.90375457675</v>
      </c>
      <c r="U89" s="196">
        <v>217833.84591194039</v>
      </c>
      <c r="V89" s="196">
        <v>186239.94948464163</v>
      </c>
      <c r="W89" s="196">
        <v>202156.80313154674</v>
      </c>
      <c r="X89" s="196">
        <v>212007.03941183811</v>
      </c>
      <c r="Y89" s="196">
        <v>281568.78253662837</v>
      </c>
      <c r="Z89" s="196">
        <v>322145.51782061643</v>
      </c>
      <c r="AA89" s="196">
        <v>474483.66068772704</v>
      </c>
      <c r="AB89" s="196">
        <v>755022.08846426127</v>
      </c>
      <c r="AC89" s="196">
        <v>568139.94449227827</v>
      </c>
      <c r="AD89" s="196">
        <v>545568.43667568907</v>
      </c>
      <c r="AE89" s="196">
        <v>504182.71085137868</v>
      </c>
      <c r="AF89" s="196">
        <v>362473.39328795177</v>
      </c>
      <c r="AG89" s="196">
        <v>418503.66163410124</v>
      </c>
      <c r="AH89" s="196">
        <v>273817.89046280837</v>
      </c>
      <c r="AI89" s="196">
        <v>154009.41128320337</v>
      </c>
      <c r="AJ89" s="196">
        <v>304933.02661491017</v>
      </c>
      <c r="AK89" s="196">
        <v>304985.51823635079</v>
      </c>
      <c r="AL89" s="196">
        <v>283941.98289541167</v>
      </c>
      <c r="AM89" s="196">
        <v>279254.59966563282</v>
      </c>
      <c r="AN89" s="196">
        <v>265081.86187666503</v>
      </c>
      <c r="AO89" s="196">
        <v>260585.07963991852</v>
      </c>
      <c r="AP89" s="196">
        <v>218942.9122790455</v>
      </c>
      <c r="AQ89" s="196">
        <v>233253.75943960488</v>
      </c>
      <c r="AR89" s="196">
        <v>239832.01798343085</v>
      </c>
      <c r="AT89" s="66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6"/>
      <c r="BF89" s="66"/>
      <c r="BG89" s="66"/>
      <c r="BH89" s="66"/>
      <c r="BI89" s="66"/>
      <c r="BJ89" s="66"/>
      <c r="BK89" s="66"/>
      <c r="BL89" s="66"/>
      <c r="BM89" s="66"/>
      <c r="BN89" s="66"/>
      <c r="BO89" s="66"/>
      <c r="BP89" s="66"/>
      <c r="BQ89" s="66"/>
    </row>
    <row r="90" spans="1:69" ht="13.5" hidden="1" outlineLevel="1" thickBot="1">
      <c r="A90" s="159" t="s">
        <v>29</v>
      </c>
      <c r="B90" s="159" t="s">
        <v>26</v>
      </c>
      <c r="D90" s="70" t="s">
        <v>26</v>
      </c>
      <c r="E90" s="160">
        <f t="shared" si="75"/>
        <v>14264.149419485108</v>
      </c>
      <c r="F90" s="160">
        <f t="shared" si="75"/>
        <v>98616.949467570201</v>
      </c>
      <c r="G90" s="160">
        <f t="shared" si="75"/>
        <v>269266.73154416599</v>
      </c>
      <c r="H90" s="160">
        <f t="shared" si="75"/>
        <v>335522.22155216348</v>
      </c>
      <c r="I90" s="160">
        <f t="shared" si="75"/>
        <v>300692.54766307306</v>
      </c>
      <c r="J90" s="160">
        <f t="shared" si="75"/>
        <v>150154.75459833004</v>
      </c>
      <c r="K90" s="160">
        <f t="shared" si="75"/>
        <v>111909.31276692472</v>
      </c>
      <c r="L90" s="160">
        <f t="shared" si="75"/>
        <v>22609.697110018151</v>
      </c>
      <c r="M90" s="160">
        <f t="shared" si="75"/>
        <v>0</v>
      </c>
      <c r="N90" s="160">
        <f t="shared" si="75"/>
        <v>0</v>
      </c>
      <c r="O90" s="160">
        <f t="shared" si="75"/>
        <v>0</v>
      </c>
      <c r="P90" s="196">
        <v>0</v>
      </c>
      <c r="Q90" s="196">
        <v>0</v>
      </c>
      <c r="R90" s="196">
        <v>0</v>
      </c>
      <c r="S90" s="196">
        <v>0</v>
      </c>
      <c r="T90" s="196">
        <v>0</v>
      </c>
      <c r="U90" s="196">
        <v>0</v>
      </c>
      <c r="V90" s="196">
        <v>0</v>
      </c>
      <c r="W90" s="196">
        <v>0</v>
      </c>
      <c r="X90" s="196">
        <v>0</v>
      </c>
      <c r="Y90" s="196">
        <v>0</v>
      </c>
      <c r="Z90" s="196">
        <v>0</v>
      </c>
      <c r="AA90" s="196">
        <v>0</v>
      </c>
      <c r="AB90" s="196">
        <v>0</v>
      </c>
      <c r="AC90" s="196">
        <v>0</v>
      </c>
      <c r="AD90" s="196">
        <v>0</v>
      </c>
      <c r="AE90" s="196">
        <v>0</v>
      </c>
      <c r="AF90" s="196">
        <v>0</v>
      </c>
      <c r="AG90" s="196">
        <v>0</v>
      </c>
      <c r="AH90" s="196">
        <v>0</v>
      </c>
      <c r="AI90" s="196">
        <v>0</v>
      </c>
      <c r="AJ90" s="196">
        <v>0</v>
      </c>
      <c r="AK90" s="196">
        <v>0</v>
      </c>
      <c r="AL90" s="196">
        <v>0</v>
      </c>
      <c r="AM90" s="196">
        <v>0</v>
      </c>
      <c r="AN90" s="196">
        <v>0</v>
      </c>
      <c r="AO90" s="196">
        <v>0</v>
      </c>
      <c r="AP90" s="196">
        <v>0</v>
      </c>
      <c r="AQ90" s="196">
        <v>0</v>
      </c>
      <c r="AR90" s="196">
        <v>0</v>
      </c>
      <c r="AT90" s="66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6"/>
      <c r="BF90" s="66"/>
      <c r="BG90" s="66"/>
      <c r="BH90" s="66"/>
      <c r="BI90" s="66"/>
      <c r="BJ90" s="66"/>
      <c r="BK90" s="66"/>
      <c r="BL90" s="66"/>
      <c r="BM90" s="66"/>
      <c r="BN90" s="66"/>
      <c r="BO90" s="66"/>
      <c r="BP90" s="66"/>
      <c r="BQ90" s="66"/>
    </row>
    <row r="91" spans="1:69" ht="13.5" hidden="1" outlineLevel="1" thickBot="1">
      <c r="A91" s="159"/>
      <c r="B91" s="159" t="s">
        <v>27</v>
      </c>
      <c r="D91" s="70" t="s">
        <v>121</v>
      </c>
      <c r="E91" s="160">
        <f t="shared" si="75"/>
        <v>184675.37607269056</v>
      </c>
      <c r="F91" s="160">
        <f t="shared" si="75"/>
        <v>336956.87744433689</v>
      </c>
      <c r="G91" s="160">
        <f t="shared" si="75"/>
        <v>802676.43999167928</v>
      </c>
      <c r="H91" s="160">
        <f t="shared" si="75"/>
        <v>244096.26382893207</v>
      </c>
      <c r="I91" s="160">
        <f t="shared" si="75"/>
        <v>185235.70051573362</v>
      </c>
      <c r="J91" s="160">
        <f t="shared" si="75"/>
        <v>101680.17093482896</v>
      </c>
      <c r="K91" s="160">
        <f t="shared" si="75"/>
        <v>85107.934944531706</v>
      </c>
      <c r="L91" s="160">
        <f t="shared" si="75"/>
        <v>17251.234999688193</v>
      </c>
      <c r="M91" s="160">
        <f t="shared" si="75"/>
        <v>0</v>
      </c>
      <c r="N91" s="160">
        <f t="shared" si="75"/>
        <v>0</v>
      </c>
      <c r="O91" s="160">
        <f t="shared" si="75"/>
        <v>0</v>
      </c>
      <c r="P91" s="196">
        <v>0</v>
      </c>
      <c r="Q91" s="196">
        <v>0</v>
      </c>
      <c r="R91" s="196">
        <v>0</v>
      </c>
      <c r="S91" s="196">
        <v>0</v>
      </c>
      <c r="T91" s="196">
        <v>0</v>
      </c>
      <c r="U91" s="196">
        <v>0</v>
      </c>
      <c r="V91" s="196">
        <v>0</v>
      </c>
      <c r="W91" s="196">
        <v>0</v>
      </c>
      <c r="X91" s="196">
        <v>0</v>
      </c>
      <c r="Y91" s="196">
        <v>0</v>
      </c>
      <c r="Z91" s="196">
        <v>0</v>
      </c>
      <c r="AA91" s="196">
        <v>0</v>
      </c>
      <c r="AB91" s="196">
        <v>0</v>
      </c>
      <c r="AC91" s="196">
        <v>0</v>
      </c>
      <c r="AD91" s="196">
        <v>0</v>
      </c>
      <c r="AE91" s="196">
        <v>0</v>
      </c>
      <c r="AF91" s="196">
        <v>0</v>
      </c>
      <c r="AG91" s="196">
        <v>0</v>
      </c>
      <c r="AH91" s="196">
        <v>0</v>
      </c>
      <c r="AI91" s="196">
        <v>0</v>
      </c>
      <c r="AJ91" s="196">
        <v>0</v>
      </c>
      <c r="AK91" s="196">
        <v>0</v>
      </c>
      <c r="AL91" s="196">
        <v>0</v>
      </c>
      <c r="AM91" s="196">
        <v>0</v>
      </c>
      <c r="AN91" s="196">
        <v>0</v>
      </c>
      <c r="AO91" s="196">
        <v>0</v>
      </c>
      <c r="AP91" s="196">
        <v>0</v>
      </c>
      <c r="AQ91" s="196">
        <v>0</v>
      </c>
      <c r="AR91" s="196">
        <v>0</v>
      </c>
      <c r="AT91" s="66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</row>
    <row r="92" spans="1:69" ht="13.5" hidden="1" outlineLevel="1" thickBot="1">
      <c r="A92" s="159" t="s">
        <v>30</v>
      </c>
      <c r="B92" s="165" t="s">
        <v>127</v>
      </c>
      <c r="D92" s="70" t="s">
        <v>121</v>
      </c>
      <c r="E92" s="160">
        <f t="shared" si="75"/>
        <v>19855.222337125128</v>
      </c>
      <c r="F92" s="160">
        <f t="shared" si="75"/>
        <v>43681.48914167528</v>
      </c>
      <c r="G92" s="160">
        <f t="shared" si="75"/>
        <v>152885.2119958635</v>
      </c>
      <c r="H92" s="160">
        <f t="shared" si="75"/>
        <v>22965.865447573131</v>
      </c>
      <c r="I92" s="160">
        <f t="shared" si="75"/>
        <v>15740.450856759737</v>
      </c>
      <c r="J92" s="160">
        <f t="shared" si="75"/>
        <v>6925.798376974285</v>
      </c>
      <c r="K92" s="160">
        <f t="shared" si="75"/>
        <v>0</v>
      </c>
      <c r="L92" s="160">
        <f t="shared" si="75"/>
        <v>0</v>
      </c>
      <c r="M92" s="160">
        <f t="shared" si="75"/>
        <v>26370.004120313148</v>
      </c>
      <c r="N92" s="160">
        <f t="shared" si="75"/>
        <v>26370.004120313148</v>
      </c>
      <c r="O92" s="160">
        <f t="shared" si="75"/>
        <v>10548.001648125259</v>
      </c>
      <c r="P92" s="196">
        <v>6960.9815670796179</v>
      </c>
      <c r="Q92" s="196">
        <v>12738.627804163405</v>
      </c>
      <c r="R92" s="196">
        <v>23424.452153783157</v>
      </c>
      <c r="S92" s="196">
        <v>22222.950419479308</v>
      </c>
      <c r="T92" s="196">
        <v>7795.8524082767326</v>
      </c>
      <c r="U92" s="196">
        <v>18327.505328439645</v>
      </c>
      <c r="V92" s="196">
        <v>19140.846601941746</v>
      </c>
      <c r="W92" s="196">
        <v>19140.846601941746</v>
      </c>
      <c r="X92" s="196">
        <v>19140.846601941746</v>
      </c>
      <c r="Y92" s="196">
        <v>19140.846601941746</v>
      </c>
      <c r="Z92" s="196">
        <v>18881.406757281555</v>
      </c>
      <c r="AA92" s="196">
        <v>30754.875650485439</v>
      </c>
      <c r="AB92" s="196">
        <v>24818.141203883497</v>
      </c>
      <c r="AC92" s="196">
        <v>30754.875650485439</v>
      </c>
      <c r="AD92" s="196">
        <v>42628.344543689323</v>
      </c>
      <c r="AE92" s="196">
        <v>120878.53732038835</v>
      </c>
      <c r="AF92" s="196">
        <v>29138.639320374037</v>
      </c>
      <c r="AG92" s="196">
        <v>29277.662805971231</v>
      </c>
      <c r="AH92" s="196">
        <v>29278.528136172099</v>
      </c>
      <c r="AI92" s="196">
        <v>29908.038414609353</v>
      </c>
      <c r="AJ92" s="196">
        <v>29834.610692847978</v>
      </c>
      <c r="AK92" s="196">
        <v>30034.96465682386</v>
      </c>
      <c r="AL92" s="196">
        <v>30163.879107972043</v>
      </c>
      <c r="AM92" s="196">
        <v>30301.500834558468</v>
      </c>
      <c r="AN92" s="196">
        <v>30432.845490534834</v>
      </c>
      <c r="AO92" s="196">
        <v>30568.242591561226</v>
      </c>
      <c r="AP92" s="196">
        <v>30695.428024307104</v>
      </c>
      <c r="AQ92" s="196">
        <v>30828.597805940513</v>
      </c>
      <c r="AR92" s="196">
        <v>30962.362417073382</v>
      </c>
      <c r="AT92" s="66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</row>
    <row r="93" spans="1:69" ht="13.5" hidden="1" outlineLevel="1" thickBot="1">
      <c r="A93" s="159" t="s">
        <v>31</v>
      </c>
      <c r="B93" s="159" t="s">
        <v>32</v>
      </c>
      <c r="D93" s="70" t="s">
        <v>13</v>
      </c>
      <c r="E93" s="160">
        <f t="shared" si="75"/>
        <v>414551.89245087898</v>
      </c>
      <c r="F93" s="160">
        <f t="shared" si="75"/>
        <v>72300.806618407441</v>
      </c>
      <c r="G93" s="160">
        <f t="shared" si="75"/>
        <v>794208.89348500513</v>
      </c>
      <c r="H93" s="160">
        <f t="shared" si="75"/>
        <v>58886.83448095675</v>
      </c>
      <c r="I93" s="160">
        <f t="shared" si="75"/>
        <v>58297.966136147181</v>
      </c>
      <c r="J93" s="160">
        <f t="shared" si="75"/>
        <v>634864.85122264281</v>
      </c>
      <c r="K93" s="160">
        <f t="shared" si="75"/>
        <v>57137.836610037855</v>
      </c>
      <c r="L93" s="160">
        <f t="shared" si="75"/>
        <v>56566.458243937479</v>
      </c>
      <c r="M93" s="160">
        <f t="shared" si="75"/>
        <v>128685.62010712815</v>
      </c>
      <c r="N93" s="160">
        <f t="shared" si="75"/>
        <v>23205.603625875567</v>
      </c>
      <c r="O93" s="160">
        <f t="shared" si="75"/>
        <v>22150.803461063038</v>
      </c>
      <c r="P93" s="196">
        <v>578567.43176510651</v>
      </c>
      <c r="Q93" s="196">
        <v>126785.73621678636</v>
      </c>
      <c r="R93" s="196">
        <v>124557.90765920668</v>
      </c>
      <c r="S93" s="196">
        <v>123743.83730304753</v>
      </c>
      <c r="T93" s="196">
        <v>113636.78954164691</v>
      </c>
      <c r="U93" s="196">
        <v>112894.09609509307</v>
      </c>
      <c r="V93" s="196">
        <v>167612.86812603404</v>
      </c>
      <c r="W93" s="196">
        <v>117904.13026195636</v>
      </c>
      <c r="X93" s="196">
        <v>117904.13026195636</v>
      </c>
      <c r="Y93" s="196">
        <v>117904.13026195636</v>
      </c>
      <c r="Z93" s="196">
        <v>117904.13026195636</v>
      </c>
      <c r="AA93" s="196">
        <v>117904.13026195636</v>
      </c>
      <c r="AB93" s="196">
        <v>167612.86812603404</v>
      </c>
      <c r="AC93" s="196">
        <v>117904.13026195636</v>
      </c>
      <c r="AD93" s="196">
        <v>117904.13026195636</v>
      </c>
      <c r="AE93" s="196">
        <v>117904.13026195636</v>
      </c>
      <c r="AF93" s="196">
        <v>117904.13026195636</v>
      </c>
      <c r="AG93" s="196">
        <v>117904.13026195636</v>
      </c>
      <c r="AH93" s="196">
        <v>167612.86812603404</v>
      </c>
      <c r="AI93" s="196">
        <v>117904.13026195636</v>
      </c>
      <c r="AJ93" s="196">
        <v>117904.13026195636</v>
      </c>
      <c r="AK93" s="196">
        <v>117904.13026195636</v>
      </c>
      <c r="AL93" s="196">
        <v>117904.13026195636</v>
      </c>
      <c r="AM93" s="196">
        <v>117904.13026195636</v>
      </c>
      <c r="AN93" s="196">
        <v>167612.86812603404</v>
      </c>
      <c r="AO93" s="196">
        <v>117904.13026195636</v>
      </c>
      <c r="AP93" s="196">
        <v>117904.13026195636</v>
      </c>
      <c r="AQ93" s="196">
        <v>117904.13026195636</v>
      </c>
      <c r="AR93" s="196">
        <v>117904.13026195636</v>
      </c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</row>
    <row r="94" spans="1:69" ht="13.5" hidden="1" outlineLevel="1" thickBot="1">
      <c r="A94" s="159" t="s">
        <v>33</v>
      </c>
      <c r="D94" s="70" t="s">
        <v>49</v>
      </c>
      <c r="E94" s="160">
        <f t="shared" si="75"/>
        <v>0</v>
      </c>
      <c r="F94" s="160">
        <f t="shared" si="75"/>
        <v>0</v>
      </c>
      <c r="G94" s="160">
        <f t="shared" si="75"/>
        <v>0</v>
      </c>
      <c r="H94" s="160">
        <f t="shared" si="75"/>
        <v>0</v>
      </c>
      <c r="I94" s="160">
        <f t="shared" si="75"/>
        <v>0</v>
      </c>
      <c r="J94" s="160">
        <f t="shared" si="75"/>
        <v>0</v>
      </c>
      <c r="K94" s="160">
        <f t="shared" si="75"/>
        <v>0</v>
      </c>
      <c r="L94" s="160">
        <f t="shared" si="75"/>
        <v>0</v>
      </c>
      <c r="M94" s="160">
        <f t="shared" si="75"/>
        <v>0</v>
      </c>
      <c r="N94" s="160">
        <f t="shared" si="75"/>
        <v>0</v>
      </c>
      <c r="O94" s="160">
        <f t="shared" si="75"/>
        <v>0</v>
      </c>
      <c r="P94" s="196">
        <f>2446182/M1*M2</f>
        <v>2431932.3961165049</v>
      </c>
      <c r="Q94" s="196">
        <v>0</v>
      </c>
      <c r="R94" s="196">
        <v>0</v>
      </c>
      <c r="S94" s="196">
        <v>0</v>
      </c>
      <c r="T94" s="196">
        <v>0</v>
      </c>
      <c r="U94" s="196">
        <v>0</v>
      </c>
      <c r="V94" s="196">
        <v>0</v>
      </c>
      <c r="W94" s="196">
        <v>0</v>
      </c>
      <c r="X94" s="196">
        <v>0</v>
      </c>
      <c r="Y94" s="196">
        <v>0</v>
      </c>
      <c r="Z94" s="196">
        <v>0</v>
      </c>
      <c r="AA94" s="196">
        <v>0</v>
      </c>
      <c r="AB94" s="196">
        <v>0</v>
      </c>
      <c r="AC94" s="196">
        <v>0</v>
      </c>
      <c r="AD94" s="196">
        <v>0</v>
      </c>
      <c r="AE94" s="196">
        <v>0</v>
      </c>
      <c r="AF94" s="196">
        <v>0</v>
      </c>
      <c r="AG94" s="196">
        <v>0</v>
      </c>
      <c r="AH94" s="196">
        <v>0</v>
      </c>
      <c r="AI94" s="196">
        <v>0</v>
      </c>
      <c r="AJ94" s="196">
        <v>0</v>
      </c>
      <c r="AK94" s="196">
        <v>0</v>
      </c>
      <c r="AL94" s="196">
        <v>0</v>
      </c>
      <c r="AM94" s="196">
        <v>0</v>
      </c>
      <c r="AN94" s="196">
        <v>0</v>
      </c>
      <c r="AO94" s="196">
        <v>0</v>
      </c>
      <c r="AP94" s="196">
        <v>0</v>
      </c>
      <c r="AQ94" s="196">
        <v>0</v>
      </c>
      <c r="AR94" s="196">
        <v>0</v>
      </c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  <c r="BP94" s="66"/>
      <c r="BQ94" s="66"/>
    </row>
    <row r="95" spans="1:69" s="73" customFormat="1" hidden="1" outlineLevel="1">
      <c r="D95" s="71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6"/>
      <c r="AD95" s="166"/>
      <c r="AE95" s="166"/>
      <c r="AF95" s="166"/>
      <c r="AG95" s="166"/>
      <c r="AH95" s="166"/>
      <c r="AI95" s="166"/>
      <c r="AJ95" s="166"/>
      <c r="AK95" s="166"/>
      <c r="AL95" s="166"/>
      <c r="AM95" s="166"/>
      <c r="AN95" s="166"/>
      <c r="AO95" s="166"/>
      <c r="AP95" s="166"/>
      <c r="AQ95" s="166"/>
      <c r="AR95" s="166"/>
    </row>
    <row r="96" spans="1:69" ht="19.5" collapsed="1" thickBot="1">
      <c r="A96" s="53" t="s">
        <v>34</v>
      </c>
      <c r="B96" s="73"/>
      <c r="C96" s="60"/>
      <c r="D96" s="55"/>
      <c r="E96" s="7"/>
      <c r="F96" s="7"/>
      <c r="G96" s="7"/>
      <c r="H96" s="7"/>
      <c r="I96" s="7"/>
      <c r="J96" s="7"/>
      <c r="K96" s="7"/>
      <c r="L96" s="7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  <c r="AC96" s="153"/>
      <c r="AD96" s="153"/>
      <c r="AE96" s="153"/>
      <c r="AF96" s="153"/>
      <c r="AG96" s="153"/>
      <c r="AH96" s="153"/>
      <c r="AI96" s="153"/>
      <c r="AJ96" s="153"/>
      <c r="AK96" s="153"/>
      <c r="AL96" s="153"/>
      <c r="AM96" s="153"/>
      <c r="AN96" s="153"/>
      <c r="AO96" s="153"/>
      <c r="AP96" s="153"/>
      <c r="AQ96" s="153"/>
      <c r="AR96" s="153"/>
    </row>
    <row r="97" spans="1:56" ht="13.5" hidden="1" thickBot="1">
      <c r="A97" s="17" t="s">
        <v>91</v>
      </c>
      <c r="B97" s="73"/>
      <c r="C97" s="60"/>
      <c r="D97" s="10"/>
      <c r="E97" s="18">
        <f>SUM(E8:E19)</f>
        <v>7895483.83559056</v>
      </c>
      <c r="F97" s="18">
        <f t="shared" ref="F97:AH97" si="76">SUM(F8:F19)</f>
        <v>10314210.256016379</v>
      </c>
      <c r="G97" s="18">
        <f t="shared" si="76"/>
        <v>10376384.490053689</v>
      </c>
      <c r="H97" s="18">
        <f t="shared" si="76"/>
        <v>11153785.133125253</v>
      </c>
      <c r="I97" s="18">
        <f t="shared" si="76"/>
        <v>10921235.910815915</v>
      </c>
      <c r="J97" s="18">
        <f t="shared" si="76"/>
        <v>8699245.2092299964</v>
      </c>
      <c r="K97" s="18">
        <f t="shared" si="76"/>
        <v>6750923.9409821527</v>
      </c>
      <c r="L97" s="18">
        <f t="shared" si="76"/>
        <v>5835691.3552398132</v>
      </c>
      <c r="M97" s="18">
        <f t="shared" si="76"/>
        <v>9228329.4793555364</v>
      </c>
      <c r="N97" s="18">
        <f t="shared" si="76"/>
        <v>7790801.8876248859</v>
      </c>
      <c r="O97" s="18">
        <f t="shared" si="76"/>
        <v>7052934.5131592024</v>
      </c>
      <c r="P97" s="152">
        <f>SUM(P8:P19)</f>
        <v>11129161.215828022</v>
      </c>
      <c r="Q97" s="152">
        <f t="shared" si="76"/>
        <v>10598421.739805136</v>
      </c>
      <c r="R97" s="152">
        <f t="shared" si="76"/>
        <v>10702004.026794687</v>
      </c>
      <c r="S97" s="152">
        <f t="shared" si="76"/>
        <v>11072495.627905728</v>
      </c>
      <c r="T97" s="152">
        <f t="shared" si="76"/>
        <v>11367162.988959171</v>
      </c>
      <c r="U97" s="152">
        <f t="shared" si="76"/>
        <v>12202469.255260689</v>
      </c>
      <c r="V97" s="152">
        <f t="shared" si="76"/>
        <v>9823248.0240673535</v>
      </c>
      <c r="W97" s="152">
        <f t="shared" si="76"/>
        <v>9371231.2092451602</v>
      </c>
      <c r="X97" s="152">
        <f t="shared" si="76"/>
        <v>9325031.4580470864</v>
      </c>
      <c r="Y97" s="152">
        <f t="shared" si="76"/>
        <v>7460074.9316382008</v>
      </c>
      <c r="Z97" s="152">
        <f t="shared" si="76"/>
        <v>5547416.2293505222</v>
      </c>
      <c r="AA97" s="152">
        <f t="shared" si="76"/>
        <v>5266232.0517620128</v>
      </c>
      <c r="AB97" s="152">
        <f t="shared" si="76"/>
        <v>5064708.6240702989</v>
      </c>
      <c r="AC97" s="152">
        <f t="shared" si="76"/>
        <v>4921037.4702413557</v>
      </c>
      <c r="AD97" s="152">
        <f t="shared" si="76"/>
        <v>4760226.174687014</v>
      </c>
      <c r="AE97" s="152">
        <f t="shared" si="76"/>
        <v>4614660.9372095</v>
      </c>
      <c r="AF97" s="152">
        <f t="shared" si="76"/>
        <v>4492678.2444999367</v>
      </c>
      <c r="AG97" s="152">
        <f t="shared" si="76"/>
        <v>4375232.6049855901</v>
      </c>
      <c r="AH97" s="152">
        <f t="shared" si="76"/>
        <v>4271548.8380727451</v>
      </c>
      <c r="AI97" s="152">
        <f t="shared" ref="AI97:AR97" si="77">SUM(AI8:AI19)</f>
        <v>4260335.4142125305</v>
      </c>
      <c r="AJ97" s="152">
        <f t="shared" si="77"/>
        <v>4256693.4608162353</v>
      </c>
      <c r="AK97" s="152">
        <f t="shared" si="77"/>
        <v>4232825.3520379458</v>
      </c>
      <c r="AL97" s="152">
        <f t="shared" si="77"/>
        <v>4300066.5813647807</v>
      </c>
      <c r="AM97" s="152">
        <f t="shared" si="77"/>
        <v>4145366.1929551195</v>
      </c>
      <c r="AN97" s="152">
        <f t="shared" si="77"/>
        <v>4138785.9510841095</v>
      </c>
      <c r="AO97" s="152">
        <f t="shared" si="77"/>
        <v>4056166.8267563218</v>
      </c>
      <c r="AP97" s="152">
        <f t="shared" si="77"/>
        <v>4003217.4803088978</v>
      </c>
      <c r="AQ97" s="152">
        <f t="shared" si="77"/>
        <v>3909394.1040011658</v>
      </c>
      <c r="AR97" s="152">
        <f t="shared" si="77"/>
        <v>3871490.5665629767</v>
      </c>
    </row>
    <row r="98" spans="1:56" ht="13.5" hidden="1" thickBot="1">
      <c r="A98" s="17" t="s">
        <v>92</v>
      </c>
      <c r="B98" s="73"/>
      <c r="C98" s="60"/>
      <c r="D98" s="10"/>
      <c r="E98" s="18">
        <f>SUM(E23:E34)</f>
        <v>9908138.194921555</v>
      </c>
      <c r="F98" s="18">
        <f t="shared" ref="F98:AH98" si="78">SUM(F23:F34)</f>
        <v>12943427.244752714</v>
      </c>
      <c r="G98" s="18">
        <f t="shared" si="78"/>
        <v>13021450.443309359</v>
      </c>
      <c r="H98" s="18">
        <f t="shared" si="78"/>
        <v>13997019.916284895</v>
      </c>
      <c r="I98" s="18">
        <f t="shared" si="78"/>
        <v>13705191.083531655</v>
      </c>
      <c r="J98" s="18">
        <f t="shared" si="78"/>
        <v>10916788.06763247</v>
      </c>
      <c r="K98" s="18">
        <f t="shared" si="78"/>
        <v>8471816.1348312739</v>
      </c>
      <c r="L98" s="18">
        <f t="shared" si="78"/>
        <v>7323279.6893314496</v>
      </c>
      <c r="M98" s="18">
        <f t="shared" si="78"/>
        <v>11580742.319749683</v>
      </c>
      <c r="N98" s="18">
        <f t="shared" si="78"/>
        <v>9776771.5518436395</v>
      </c>
      <c r="O98" s="18">
        <f t="shared" si="78"/>
        <v>8850812.8559655547</v>
      </c>
      <c r="P98" s="152">
        <f>SUM(P23:P34)</f>
        <v>13966119.064537022</v>
      </c>
      <c r="Q98" s="152">
        <f t="shared" si="78"/>
        <v>13300087.674512444</v>
      </c>
      <c r="R98" s="152">
        <f t="shared" si="78"/>
        <v>13430074.339726321</v>
      </c>
      <c r="S98" s="152">
        <f t="shared" si="78"/>
        <v>13895008.732640745</v>
      </c>
      <c r="T98" s="152">
        <f t="shared" si="78"/>
        <v>14264790.369288474</v>
      </c>
      <c r="U98" s="152">
        <f t="shared" si="78"/>
        <v>15313026.3094714</v>
      </c>
      <c r="V98" s="152">
        <f t="shared" si="78"/>
        <v>12327312.799592277</v>
      </c>
      <c r="W98" s="152">
        <f t="shared" si="78"/>
        <v>11760071.429595657</v>
      </c>
      <c r="X98" s="152">
        <f t="shared" si="78"/>
        <v>11702094.802833648</v>
      </c>
      <c r="Y98" s="152">
        <f t="shared" si="78"/>
        <v>9361738.2932191901</v>
      </c>
      <c r="Z98" s="152">
        <f t="shared" si="78"/>
        <v>6961519.745932634</v>
      </c>
      <c r="AA98" s="152">
        <f t="shared" si="78"/>
        <v>6608658.3193518119</v>
      </c>
      <c r="AB98" s="152">
        <f t="shared" si="78"/>
        <v>6355764.1316538854</v>
      </c>
      <c r="AC98" s="152">
        <f t="shared" si="78"/>
        <v>6175469.4623969868</v>
      </c>
      <c r="AD98" s="152">
        <f t="shared" si="78"/>
        <v>5973665.4219055753</v>
      </c>
      <c r="AE98" s="152">
        <f t="shared" si="78"/>
        <v>5790993.844161042</v>
      </c>
      <c r="AF98" s="152">
        <f t="shared" si="78"/>
        <v>5637916.287177531</v>
      </c>
      <c r="AG98" s="152">
        <f t="shared" si="78"/>
        <v>5490532.3331437567</v>
      </c>
      <c r="AH98" s="152">
        <f t="shared" si="78"/>
        <v>5360418.3195463056</v>
      </c>
      <c r="AI98" s="152">
        <f t="shared" ref="AI98:AR98" si="79">SUM(AI23:AI34)</f>
        <v>5346346.4582698084</v>
      </c>
      <c r="AJ98" s="152">
        <f t="shared" si="79"/>
        <v>5341776.1268877974</v>
      </c>
      <c r="AK98" s="152">
        <f t="shared" si="79"/>
        <v>5311823.7483950844</v>
      </c>
      <c r="AL98" s="152">
        <f t="shared" si="79"/>
        <v>5396205.58064753</v>
      </c>
      <c r="AM98" s="152">
        <f t="shared" si="79"/>
        <v>5202070.1914695315</v>
      </c>
      <c r="AN98" s="152">
        <f t="shared" si="79"/>
        <v>5193812.5663294373</v>
      </c>
      <c r="AO98" s="152">
        <f t="shared" si="79"/>
        <v>5090132.8275789013</v>
      </c>
      <c r="AP98" s="152">
        <f t="shared" si="79"/>
        <v>5023686.0520732654</v>
      </c>
      <c r="AQ98" s="152">
        <f t="shared" si="79"/>
        <v>4905945.9619497554</v>
      </c>
      <c r="AR98" s="152">
        <f t="shared" si="79"/>
        <v>4858380.354213207</v>
      </c>
    </row>
    <row r="99" spans="1:56" ht="13.5" hidden="1" thickBot="1">
      <c r="A99" s="17" t="s">
        <v>114</v>
      </c>
      <c r="B99" s="73"/>
      <c r="C99" s="52"/>
      <c r="D99" s="10"/>
      <c r="E99" s="18">
        <f>SUM(E38:E49)</f>
        <v>10451105.800988538</v>
      </c>
      <c r="F99" s="18">
        <f t="shared" ref="F99:AH99" si="80">SUM(F38:F49)</f>
        <v>13652729.191004101</v>
      </c>
      <c r="G99" s="18">
        <f t="shared" si="80"/>
        <v>13735028.073700851</v>
      </c>
      <c r="H99" s="18">
        <f t="shared" si="80"/>
        <v>14764058.914581511</v>
      </c>
      <c r="I99" s="18">
        <f t="shared" si="80"/>
        <v>14456237.813696349</v>
      </c>
      <c r="J99" s="18">
        <f t="shared" si="80"/>
        <v>11515029.852962147</v>
      </c>
      <c r="K99" s="18">
        <f t="shared" si="80"/>
        <v>8936073.0552814417</v>
      </c>
      <c r="L99" s="18">
        <f t="shared" si="80"/>
        <v>7724596.623275036</v>
      </c>
      <c r="M99" s="18">
        <f t="shared" si="80"/>
        <v>12215368.907523356</v>
      </c>
      <c r="N99" s="18">
        <f t="shared" si="80"/>
        <v>10312540.24421908</v>
      </c>
      <c r="O99" s="18">
        <f t="shared" si="80"/>
        <v>9335838.8591972925</v>
      </c>
      <c r="P99" s="132">
        <f>SUM(P38:P49)</f>
        <v>14731464.691065012</v>
      </c>
      <c r="Q99" s="132">
        <f t="shared" si="80"/>
        <v>14028934.671096772</v>
      </c>
      <c r="R99" s="132">
        <f t="shared" si="80"/>
        <v>14166044.626987794</v>
      </c>
      <c r="S99" s="132">
        <f t="shared" si="80"/>
        <v>14656457.501260942</v>
      </c>
      <c r="T99" s="132">
        <f t="shared" si="80"/>
        <v>15046503.232541613</v>
      </c>
      <c r="U99" s="132">
        <f t="shared" si="80"/>
        <v>16152182.675008979</v>
      </c>
      <c r="V99" s="132">
        <f t="shared" si="80"/>
        <v>13002851.572705494</v>
      </c>
      <c r="W99" s="132">
        <f t="shared" si="80"/>
        <v>12404525.282144578</v>
      </c>
      <c r="X99" s="132">
        <f t="shared" si="80"/>
        <v>12343371.526680736</v>
      </c>
      <c r="Y99" s="132">
        <f t="shared" si="80"/>
        <v>9874763.0946193356</v>
      </c>
      <c r="Z99" s="132">
        <f t="shared" si="80"/>
        <v>7343012.1753553953</v>
      </c>
      <c r="AA99" s="132">
        <f t="shared" si="80"/>
        <v>6970813.8844419606</v>
      </c>
      <c r="AB99" s="132">
        <f t="shared" si="80"/>
        <v>6704061.0535780583</v>
      </c>
      <c r="AC99" s="132">
        <f t="shared" si="80"/>
        <v>6513886.2067310605</v>
      </c>
      <c r="AD99" s="132">
        <f t="shared" si="80"/>
        <v>6301023.2715608869</v>
      </c>
      <c r="AE99" s="132">
        <f t="shared" si="80"/>
        <v>6108341.2612493904</v>
      </c>
      <c r="AF99" s="132">
        <f t="shared" si="80"/>
        <v>5946875.0289140828</v>
      </c>
      <c r="AG99" s="132">
        <f t="shared" si="80"/>
        <v>5791414.4099085368</v>
      </c>
      <c r="AH99" s="132">
        <f t="shared" si="80"/>
        <v>5654170.1269215243</v>
      </c>
      <c r="AI99" s="132">
        <f t="shared" ref="AI99:AR99" si="81">SUM(AI38:AI49)</f>
        <v>5639327.1253278581</v>
      </c>
      <c r="AJ99" s="132">
        <f t="shared" si="81"/>
        <v>5634506.3390328661</v>
      </c>
      <c r="AK99" s="132">
        <f t="shared" si="81"/>
        <v>5602912.5652622236</v>
      </c>
      <c r="AL99" s="132">
        <f t="shared" si="81"/>
        <v>5691918.5358292861</v>
      </c>
      <c r="AM99" s="132">
        <f t="shared" si="81"/>
        <v>5487144.4953283891</v>
      </c>
      <c r="AN99" s="132">
        <f t="shared" si="81"/>
        <v>5478434.3509696592</v>
      </c>
      <c r="AO99" s="132">
        <f t="shared" si="81"/>
        <v>5369072.9454478705</v>
      </c>
      <c r="AP99" s="132">
        <f t="shared" si="81"/>
        <v>5298984.8756932681</v>
      </c>
      <c r="AQ99" s="132">
        <f t="shared" si="81"/>
        <v>5174792.6092259493</v>
      </c>
      <c r="AR99" s="132">
        <f t="shared" si="81"/>
        <v>5124620.3983460292</v>
      </c>
    </row>
    <row r="100" spans="1:56" ht="13.5" hidden="1" thickBot="1">
      <c r="A100" s="17" t="s">
        <v>107</v>
      </c>
      <c r="B100" s="73"/>
      <c r="C100" s="52"/>
      <c r="D100" s="10"/>
      <c r="E100" s="18">
        <f>SUM(E53:E64)</f>
        <v>10512342.749041205</v>
      </c>
      <c r="F100" s="18">
        <f t="shared" ref="F100:AH100" si="82">SUM(F53:F64)</f>
        <v>13732725.651107643</v>
      </c>
      <c r="G100" s="18">
        <f t="shared" si="82"/>
        <v>13815506.753820188</v>
      </c>
      <c r="H100" s="18">
        <f t="shared" si="82"/>
        <v>14850567.072284138</v>
      </c>
      <c r="I100" s="18">
        <f t="shared" si="82"/>
        <v>14540942.332135979</v>
      </c>
      <c r="J100" s="18">
        <f t="shared" si="82"/>
        <v>11582500.731006846</v>
      </c>
      <c r="K100" s="18">
        <f t="shared" si="82"/>
        <v>8988432.8583397325</v>
      </c>
      <c r="L100" s="18">
        <f t="shared" si="82"/>
        <v>7769857.9316145377</v>
      </c>
      <c r="M100" s="18">
        <f t="shared" si="82"/>
        <v>12286943.334715877</v>
      </c>
      <c r="N100" s="18">
        <f t="shared" si="82"/>
        <v>10372965.284712555</v>
      </c>
      <c r="O100" s="18">
        <f t="shared" si="82"/>
        <v>9390541.0400128998</v>
      </c>
      <c r="P100" s="152">
        <f t="shared" si="82"/>
        <v>14817781.866989218</v>
      </c>
      <c r="Q100" s="152">
        <f t="shared" si="82"/>
        <v>14111135.46018523</v>
      </c>
      <c r="R100" s="152">
        <f t="shared" si="82"/>
        <v>14249048.794724055</v>
      </c>
      <c r="S100" s="152">
        <f t="shared" si="82"/>
        <v>14742335.181932392</v>
      </c>
      <c r="T100" s="152">
        <f t="shared" si="82"/>
        <v>15134666.337419787</v>
      </c>
      <c r="U100" s="152">
        <f t="shared" si="82"/>
        <v>16246824.370370358</v>
      </c>
      <c r="V100" s="152">
        <f t="shared" si="82"/>
        <v>13079040.156139312</v>
      </c>
      <c r="W100" s="152">
        <f t="shared" si="82"/>
        <v>12477208.047469644</v>
      </c>
      <c r="X100" s="152">
        <f t="shared" si="82"/>
        <v>12415695.96921988</v>
      </c>
      <c r="Y100" s="152">
        <f t="shared" si="82"/>
        <v>9932623.0346268695</v>
      </c>
      <c r="Z100" s="152">
        <f t="shared" si="82"/>
        <v>7386037.6373203695</v>
      </c>
      <c r="AA100" s="152">
        <f t="shared" si="82"/>
        <v>7011658.4970461121</v>
      </c>
      <c r="AB100" s="152">
        <f t="shared" si="82"/>
        <v>6743342.6613138691</v>
      </c>
      <c r="AC100" s="152">
        <f t="shared" si="82"/>
        <v>6552053.5087236259</v>
      </c>
      <c r="AD100" s="152">
        <f t="shared" si="82"/>
        <v>6337943.3297926895</v>
      </c>
      <c r="AE100" s="152">
        <f t="shared" si="82"/>
        <v>6144132.3233270217</v>
      </c>
      <c r="AF100" s="152">
        <f t="shared" si="82"/>
        <v>5981719.9997866256</v>
      </c>
      <c r="AG100" s="152">
        <f t="shared" si="82"/>
        <v>5825348.4787165951</v>
      </c>
      <c r="AH100" s="152">
        <f t="shared" si="82"/>
        <v>5687300.030008954</v>
      </c>
      <c r="AI100" s="152">
        <f t="shared" ref="AI100:AR100" si="83">SUM(AI53:AI64)</f>
        <v>5672370.0577028263</v>
      </c>
      <c r="AJ100" s="152">
        <f t="shared" si="83"/>
        <v>5667521.0246131355</v>
      </c>
      <c r="AK100" s="152">
        <f t="shared" si="83"/>
        <v>5635742.1310743075</v>
      </c>
      <c r="AL100" s="152">
        <f t="shared" si="83"/>
        <v>5725269.6210001614</v>
      </c>
      <c r="AM100" s="152">
        <f t="shared" si="83"/>
        <v>5519295.732605705</v>
      </c>
      <c r="AN100" s="152">
        <f t="shared" si="83"/>
        <v>5510534.5522448719</v>
      </c>
      <c r="AO100" s="152">
        <f t="shared" si="83"/>
        <v>5400532.3572376054</v>
      </c>
      <c r="AP100" s="152">
        <f t="shared" si="83"/>
        <v>5330033.6151992837</v>
      </c>
      <c r="AQ100" s="152">
        <f t="shared" si="83"/>
        <v>5205113.6596706314</v>
      </c>
      <c r="AR100" s="152">
        <f t="shared" si="83"/>
        <v>5154647.4709925875</v>
      </c>
    </row>
    <row r="101" spans="1:56" ht="13.5" hidden="1" thickBot="1">
      <c r="A101" s="17" t="s">
        <v>115</v>
      </c>
      <c r="B101" s="73"/>
      <c r="C101" s="52"/>
      <c r="D101" s="134"/>
      <c r="E101" s="137">
        <f>SUM(E68:E79)</f>
        <v>10451105.800988538</v>
      </c>
      <c r="F101" s="137">
        <f t="shared" ref="F101:N101" si="84">SUM(F68:F79)</f>
        <v>13652729.191004101</v>
      </c>
      <c r="G101" s="137">
        <f t="shared" si="84"/>
        <v>13735028.073700851</v>
      </c>
      <c r="H101" s="137">
        <f t="shared" si="84"/>
        <v>14764058.914581511</v>
      </c>
      <c r="I101" s="137">
        <f t="shared" si="84"/>
        <v>14456237.813696349</v>
      </c>
      <c r="J101" s="137">
        <f t="shared" si="84"/>
        <v>11515029.852962147</v>
      </c>
      <c r="K101" s="137">
        <f t="shared" si="84"/>
        <v>8936073.0552814417</v>
      </c>
      <c r="L101" s="137">
        <f t="shared" si="84"/>
        <v>7724596.623275036</v>
      </c>
      <c r="M101" s="137">
        <f t="shared" si="84"/>
        <v>12215368.907523356</v>
      </c>
      <c r="N101" s="137">
        <f t="shared" si="84"/>
        <v>10312540.244219081</v>
      </c>
      <c r="O101" s="137">
        <f>SUM(O68:O79)</f>
        <v>9335838.8591972925</v>
      </c>
      <c r="P101" s="132">
        <f>SUM(P68:P79)</f>
        <v>12877415.298704794</v>
      </c>
      <c r="Q101" s="132">
        <f t="shared" ref="Q101:AR101" si="85">SUM(Q68:Q79)</f>
        <v>12855794.292089259</v>
      </c>
      <c r="R101" s="132">
        <f t="shared" si="85"/>
        <v>13019384.909063434</v>
      </c>
      <c r="S101" s="132">
        <f t="shared" si="85"/>
        <v>13236751.849180231</v>
      </c>
      <c r="T101" s="132">
        <f t="shared" si="85"/>
        <v>13573781.120254919</v>
      </c>
      <c r="U101" s="132">
        <f t="shared" si="85"/>
        <v>13785462.61679747</v>
      </c>
      <c r="V101" s="132">
        <f>SUM(V68:V79)</f>
        <v>13934594.212623956</v>
      </c>
      <c r="W101" s="132">
        <f>SUM(W68:W79)</f>
        <v>13119244.965944404</v>
      </c>
      <c r="X101" s="132">
        <f t="shared" si="85"/>
        <v>13358875.915733928</v>
      </c>
      <c r="Y101" s="132">
        <f t="shared" si="85"/>
        <v>10756886.711540157</v>
      </c>
      <c r="Z101" s="132">
        <f t="shared" si="85"/>
        <v>7557609.591365559</v>
      </c>
      <c r="AA101" s="132">
        <f t="shared" si="85"/>
        <v>7534925.9544094941</v>
      </c>
      <c r="AB101" s="132">
        <f t="shared" si="85"/>
        <v>7661426.4178366298</v>
      </c>
      <c r="AC101" s="132">
        <f t="shared" si="85"/>
        <v>7357136.5076937946</v>
      </c>
      <c r="AD101" s="132">
        <f t="shared" si="85"/>
        <v>7328091.3195990259</v>
      </c>
      <c r="AE101" s="132">
        <f t="shared" si="85"/>
        <v>7341124.8338987809</v>
      </c>
      <c r="AF101" s="132">
        <f t="shared" si="85"/>
        <v>7005309.6549913874</v>
      </c>
      <c r="AG101" s="132">
        <f t="shared" si="85"/>
        <v>6976881.6707901573</v>
      </c>
      <c r="AH101" s="132">
        <f t="shared" si="85"/>
        <v>6740672.8234699238</v>
      </c>
      <c r="AI101" s="132">
        <f t="shared" si="85"/>
        <v>6497928.6335283527</v>
      </c>
      <c r="AJ101" s="132">
        <f t="shared" si="85"/>
        <v>6536323.2154770987</v>
      </c>
      <c r="AK101" s="132">
        <f t="shared" si="85"/>
        <v>6513649.1938280715</v>
      </c>
      <c r="AL101" s="132">
        <f t="shared" si="85"/>
        <v>6474464.5863841651</v>
      </c>
      <c r="AM101" s="132">
        <f t="shared" si="85"/>
        <v>6440327.6482258216</v>
      </c>
      <c r="AN101" s="132">
        <f t="shared" si="85"/>
        <v>6387521.9337609224</v>
      </c>
      <c r="AO101" s="132">
        <f t="shared" si="85"/>
        <v>6290087.941160379</v>
      </c>
      <c r="AP101" s="132">
        <f t="shared" si="85"/>
        <v>6133225.0334988879</v>
      </c>
      <c r="AQ101" s="132">
        <f t="shared" si="85"/>
        <v>6154616.8897630759</v>
      </c>
      <c r="AR101" s="132">
        <f t="shared" si="85"/>
        <v>6061792.7800716944</v>
      </c>
    </row>
    <row r="102" spans="1:56" ht="13.5" thickBot="1">
      <c r="A102" s="17" t="s">
        <v>116</v>
      </c>
      <c r="B102" s="73"/>
      <c r="C102" s="52"/>
      <c r="D102" s="134"/>
      <c r="E102" s="137">
        <f>SUM(E83:E94)</f>
        <v>10451105.800988538</v>
      </c>
      <c r="F102" s="137">
        <f t="shared" ref="F102:N102" si="86">SUM(F83:F94)</f>
        <v>13652729.191004101</v>
      </c>
      <c r="G102" s="137">
        <f t="shared" si="86"/>
        <v>13735028.073700851</v>
      </c>
      <c r="H102" s="137">
        <f t="shared" si="86"/>
        <v>14764058.914581511</v>
      </c>
      <c r="I102" s="137">
        <f t="shared" si="86"/>
        <v>14456237.813696349</v>
      </c>
      <c r="J102" s="137">
        <f t="shared" si="86"/>
        <v>11515029.852962147</v>
      </c>
      <c r="K102" s="137">
        <f t="shared" si="86"/>
        <v>8936073.0552814417</v>
      </c>
      <c r="L102" s="137">
        <f t="shared" si="86"/>
        <v>7724596.623275036</v>
      </c>
      <c r="M102" s="137">
        <f t="shared" si="86"/>
        <v>12215368.907523356</v>
      </c>
      <c r="N102" s="137">
        <f t="shared" si="86"/>
        <v>10312540.24421908</v>
      </c>
      <c r="O102" s="137">
        <f>SUM(O83:O94)</f>
        <v>9335838.8591972925</v>
      </c>
      <c r="P102" s="132">
        <f>SUM(P83:P94)</f>
        <v>17021203.686311975</v>
      </c>
      <c r="Q102" s="132">
        <f t="shared" ref="Q102:AR102" si="87">SUM(Q83:Q94)</f>
        <v>14216331.127065742</v>
      </c>
      <c r="R102" s="132">
        <f t="shared" si="87"/>
        <v>14411628.55969137</v>
      </c>
      <c r="S102" s="132">
        <f t="shared" si="87"/>
        <v>14691507.886325758</v>
      </c>
      <c r="T102" s="132">
        <f t="shared" si="87"/>
        <v>15040587.262384515</v>
      </c>
      <c r="U102" s="132">
        <f>SUM(U83:U94)</f>
        <v>15263536.638526972</v>
      </c>
      <c r="V102" s="132">
        <f t="shared" si="87"/>
        <v>13494089.623019325</v>
      </c>
      <c r="W102" s="132">
        <f t="shared" si="87"/>
        <v>12660107.900244487</v>
      </c>
      <c r="X102" s="132">
        <f t="shared" si="87"/>
        <v>12869613.808517333</v>
      </c>
      <c r="Y102" s="132">
        <f t="shared" si="87"/>
        <v>10299121.531919429</v>
      </c>
      <c r="Z102" s="132">
        <f t="shared" si="87"/>
        <v>8046899.9454752347</v>
      </c>
      <c r="AA102" s="132">
        <f t="shared" si="87"/>
        <v>8046777.4951584768</v>
      </c>
      <c r="AB102" s="132">
        <f t="shared" si="87"/>
        <v>8185352.2894158931</v>
      </c>
      <c r="AC102" s="132">
        <f t="shared" si="87"/>
        <v>7805560.0028095618</v>
      </c>
      <c r="AD102" s="132">
        <f t="shared" si="87"/>
        <v>7756672.5771309314</v>
      </c>
      <c r="AE102" s="132">
        <f t="shared" si="87"/>
        <v>7831927.8418165697</v>
      </c>
      <c r="AF102" s="132">
        <f t="shared" si="87"/>
        <v>7372662.4423301956</v>
      </c>
      <c r="AG102" s="132">
        <f t="shared" si="87"/>
        <v>7328344.3161791405</v>
      </c>
      <c r="AH102" s="132">
        <f t="shared" si="87"/>
        <v>7125811.4383598957</v>
      </c>
      <c r="AI102" s="132">
        <f t="shared" si="87"/>
        <v>6817976.0218152367</v>
      </c>
      <c r="AJ102" s="132">
        <f t="shared" si="87"/>
        <v>6824556.1896889303</v>
      </c>
      <c r="AK102" s="132">
        <f t="shared" si="87"/>
        <v>6786079.3594583189</v>
      </c>
      <c r="AL102" s="132">
        <f t="shared" si="87"/>
        <v>6731004.9477629857</v>
      </c>
      <c r="AM102" s="132">
        <f t="shared" si="87"/>
        <v>6680980.5619281139</v>
      </c>
      <c r="AN102" s="132">
        <f t="shared" si="87"/>
        <v>6662017.2547438806</v>
      </c>
      <c r="AO102" s="132">
        <f t="shared" si="87"/>
        <v>6543529.2121617058</v>
      </c>
      <c r="AP102" s="132">
        <f t="shared" si="87"/>
        <v>6343851.6595226703</v>
      </c>
      <c r="AQ102" s="132">
        <f t="shared" si="87"/>
        <v>6370917.7075975109</v>
      </c>
      <c r="AR102" s="132">
        <f t="shared" si="87"/>
        <v>6256315.3798998781</v>
      </c>
    </row>
    <row r="103" spans="1:56">
      <c r="B103" s="73"/>
      <c r="C103" s="60"/>
      <c r="D103" s="55"/>
      <c r="E103" s="55"/>
      <c r="F103" s="55"/>
      <c r="G103" s="55"/>
      <c r="H103" s="55"/>
      <c r="I103" s="66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</row>
    <row r="104" spans="1:56" ht="19.5" thickBot="1">
      <c r="A104" s="53" t="s">
        <v>4</v>
      </c>
      <c r="C104" s="60"/>
      <c r="D104" s="55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</row>
    <row r="105" spans="1:56" ht="13.5" thickBot="1">
      <c r="A105" s="17" t="s">
        <v>117</v>
      </c>
      <c r="B105" s="52"/>
      <c r="C105" s="52"/>
      <c r="D105" s="134"/>
      <c r="E105" s="137">
        <v>5042039.5355880875</v>
      </c>
      <c r="F105" s="137">
        <v>6462480.0228248565</v>
      </c>
      <c r="G105" s="137">
        <v>6426407.6637687851</v>
      </c>
      <c r="H105" s="137">
        <v>6203884.654678951</v>
      </c>
      <c r="I105" s="137">
        <v>5779951.4524189532</v>
      </c>
      <c r="J105" s="137">
        <v>5779756.2961345157</v>
      </c>
      <c r="K105" s="137">
        <v>5562712.4767710976</v>
      </c>
      <c r="L105" s="137">
        <v>5196757.8273461675</v>
      </c>
      <c r="M105" s="137">
        <v>5665371.4080630774</v>
      </c>
      <c r="N105" s="137">
        <v>5871023.9565660441</v>
      </c>
      <c r="O105" s="137">
        <v>6138280.638636535</v>
      </c>
      <c r="P105" s="197">
        <f>'[10]Pi Model Linked Summary'!B7/$M$1*$M$2</f>
        <v>6474556.3258338263</v>
      </c>
      <c r="Q105" s="197">
        <f>'[10]Pi Model Linked Summary'!C7/$M$1*$M$2</f>
        <v>6432215.6152958199</v>
      </c>
      <c r="R105" s="197">
        <f>'[10]Pi Model Linked Summary'!D7/$M$1*$M$2</f>
        <v>6583583.837526123</v>
      </c>
      <c r="S105" s="197">
        <f>'[10]Pi Model Linked Summary'!E7/$M$1*$M$2</f>
        <v>6793114.3752030926</v>
      </c>
      <c r="T105" s="197">
        <f>'[10]Pi Model Linked Summary'!F7/$M$1*$M$2</f>
        <v>7065453.4423640631</v>
      </c>
      <c r="U105" s="197">
        <f>'[10]Pi Model Linked Summary'!G7/$M$1*$M$2</f>
        <v>7340454.7020537173</v>
      </c>
      <c r="V105" s="197">
        <f>'[10]Pi Model Linked Summary'!H7/$M$1*$M$2</f>
        <v>7531548.3208538471</v>
      </c>
      <c r="W105" s="197">
        <f>'[10]Pi Model Linked Summary'!I7/$M$1*$M$2</f>
        <v>7632080.9659359977</v>
      </c>
      <c r="X105" s="197">
        <f>'[10]Pi Model Linked Summary'!J7/$M$1*$M$2</f>
        <v>7717952.5661377739</v>
      </c>
      <c r="Y105" s="197">
        <f>'[10]Pi Model Linked Summary'!K7/$M$1*$M$2</f>
        <v>7807233.2494330583</v>
      </c>
      <c r="Z105" s="197">
        <f>'[10]Pi Model Linked Summary'!L7/$M$1*$M$2</f>
        <v>7967326.0497623421</v>
      </c>
      <c r="AA105" s="197">
        <f>'[10]Pi Model Linked Summary'!M7/$M$1*$M$2</f>
        <v>8170351.6015278688</v>
      </c>
      <c r="AB105" s="197">
        <f>'[10]Pi Model Linked Summary'!N7/$M$1*$M$2</f>
        <v>8282143.9725933261</v>
      </c>
      <c r="AC105" s="197">
        <f>'[10]Pi Model Linked Summary'!O7/$M$1*$M$2</f>
        <v>8379773.5850651655</v>
      </c>
      <c r="AD105" s="197">
        <f>'[10]Pi Model Linked Summary'!P7/$M$1*$M$2</f>
        <v>8442176.1815064512</v>
      </c>
      <c r="AE105" s="197">
        <f>'[10]Pi Model Linked Summary'!Q7/$M$1*$M$2</f>
        <v>8378876.3851662828</v>
      </c>
      <c r="AF105" s="197">
        <f>'[10]Pi Model Linked Summary'!R7/$M$1*$M$2</f>
        <v>8284693.1925762268</v>
      </c>
      <c r="AG105" s="197">
        <f>'[10]Pi Model Linked Summary'!S7/$M$1*$M$2</f>
        <v>8269729.5495364424</v>
      </c>
      <c r="AH105" s="197">
        <f>'[10]Pi Model Linked Summary'!T7/$M$1*$M$2</f>
        <v>8388467.0378974807</v>
      </c>
      <c r="AI105" s="197">
        <f>'[10]Pi Model Linked Summary'!U7/$M$1*$M$2</f>
        <v>8581520.3224488348</v>
      </c>
      <c r="AJ105" s="197">
        <f>'[10]Pi Model Linked Summary'!V7/$M$1*$M$2</f>
        <v>8799876.0777129009</v>
      </c>
      <c r="AK105" s="197">
        <f>'[10]Pi Model Linked Summary'!W7/$M$1*$M$2</f>
        <v>8874063.8632396776</v>
      </c>
      <c r="AL105" s="197">
        <f>'[10]Pi Model Linked Summary'!X7/$M$1*$M$2</f>
        <v>8878337.7550850417</v>
      </c>
      <c r="AM105" s="197">
        <f>'[10]Pi Model Linked Summary'!Y7/$M$1*$M$2</f>
        <v>9127138.4801241476</v>
      </c>
      <c r="AN105" s="197">
        <f>'[10]Pi Model Linked Summary'!Z7/$M$1*$M$2</f>
        <v>9383991.944989102</v>
      </c>
      <c r="AO105" s="197">
        <f>'[10]Pi Model Linked Summary'!AA7/$M$1*$M$2</f>
        <v>9372036.0341143087</v>
      </c>
      <c r="AP105" s="197">
        <f>'[10]Pi Model Linked Summary'!AB7/$M$1*$M$2</f>
        <v>9222467.622103624</v>
      </c>
      <c r="AQ105" s="197">
        <f>'[10]Pi Model Linked Summary'!AC7/$M$1*$M$2</f>
        <v>9169864.4178396594</v>
      </c>
      <c r="AR105" s="197">
        <f>'[10]Pi Model Linked Summary'!AD7/$M$1*$M$2</f>
        <v>9090604.4448532835</v>
      </c>
      <c r="AT105" s="66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</row>
    <row r="106" spans="1:56" ht="13.5" thickBot="1">
      <c r="A106" s="7"/>
      <c r="C106" s="60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198"/>
      <c r="Q106" s="198"/>
      <c r="R106" s="198"/>
      <c r="S106" s="198"/>
      <c r="T106" s="198"/>
      <c r="U106" s="198"/>
      <c r="V106" s="198"/>
      <c r="W106" s="198"/>
      <c r="X106" s="198"/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  <c r="AL106" s="198"/>
      <c r="AM106" s="198"/>
      <c r="AN106" s="198"/>
      <c r="AO106" s="198"/>
      <c r="AP106" s="198"/>
      <c r="AQ106" s="198"/>
      <c r="AR106" s="198"/>
      <c r="AT106" s="66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</row>
    <row r="107" spans="1:56" ht="19.5" thickBot="1">
      <c r="A107" s="53" t="s">
        <v>35</v>
      </c>
      <c r="C107" s="60"/>
      <c r="D107" s="55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T107" s="66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</row>
    <row r="108" spans="1:56" s="65" customFormat="1" ht="13.5" hidden="1" outlineLevel="1" thickBot="1">
      <c r="A108" s="59" t="s">
        <v>125</v>
      </c>
      <c r="B108" s="52"/>
      <c r="C108" s="52"/>
      <c r="D108" s="134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1"/>
      <c r="Q108" s="151"/>
      <c r="R108" s="151"/>
      <c r="S108" s="151"/>
      <c r="T108" s="151"/>
      <c r="U108" s="151"/>
      <c r="V108" s="151"/>
      <c r="W108" s="151"/>
      <c r="X108" s="151"/>
      <c r="Y108" s="151"/>
      <c r="Z108" s="151"/>
      <c r="AA108" s="151"/>
      <c r="AB108" s="151"/>
      <c r="AC108" s="151"/>
      <c r="AD108" s="151"/>
      <c r="AE108" s="151"/>
      <c r="AF108" s="151"/>
      <c r="AG108" s="151"/>
      <c r="AH108" s="151"/>
      <c r="AI108" s="151"/>
      <c r="AJ108" s="151"/>
      <c r="AK108" s="151"/>
      <c r="AL108" s="151"/>
      <c r="AM108" s="151"/>
      <c r="AN108" s="151"/>
      <c r="AO108" s="151"/>
      <c r="AP108" s="151"/>
      <c r="AQ108" s="151"/>
      <c r="AR108" s="151"/>
      <c r="AS108" s="73"/>
    </row>
    <row r="109" spans="1:56" s="65" customFormat="1" ht="13.5" hidden="1" outlineLevel="1" thickBot="1">
      <c r="A109" s="56" t="s">
        <v>10</v>
      </c>
      <c r="B109" s="84" t="s">
        <v>14</v>
      </c>
      <c r="C109" s="52"/>
      <c r="D109" s="134"/>
      <c r="E109" s="154">
        <v>64221</v>
      </c>
      <c r="F109" s="154">
        <v>558617</v>
      </c>
      <c r="G109" s="154">
        <v>1506329</v>
      </c>
      <c r="H109" s="154">
        <v>1765161.1017030813</v>
      </c>
      <c r="I109" s="154">
        <v>2676992.6535403649</v>
      </c>
      <c r="J109" s="154">
        <v>3655315.6994553381</v>
      </c>
      <c r="K109" s="154">
        <v>4578235.3113516886</v>
      </c>
      <c r="L109" s="154">
        <v>5535454.7706306791</v>
      </c>
      <c r="M109" s="154">
        <v>8222120.8526521884</v>
      </c>
      <c r="N109" s="154">
        <v>9798128.2439809628</v>
      </c>
      <c r="O109" s="154">
        <v>11337112.59500844</v>
      </c>
      <c r="P109" s="195">
        <v>11228403.378270078</v>
      </c>
      <c r="Q109" s="195">
        <v>12779500.989018295</v>
      </c>
      <c r="R109" s="195">
        <v>14462359.280580208</v>
      </c>
      <c r="S109" s="195">
        <v>16267497.011711972</v>
      </c>
      <c r="T109" s="195">
        <v>18185433.057793058</v>
      </c>
      <c r="U109" s="195">
        <v>20197186.038751334</v>
      </c>
      <c r="V109" s="195">
        <v>22038984.862112332</v>
      </c>
      <c r="W109" s="195">
        <v>23793384.195931971</v>
      </c>
      <c r="X109" s="195">
        <v>25471148.318651419</v>
      </c>
      <c r="Y109" s="195">
        <v>27086070.180901729</v>
      </c>
      <c r="Z109" s="195">
        <v>28567207.212223012</v>
      </c>
      <c r="AA109" s="195">
        <v>29962673.191744193</v>
      </c>
      <c r="AB109" s="195">
        <v>31228311.769484412</v>
      </c>
      <c r="AC109" s="195">
        <v>32414365.345344577</v>
      </c>
      <c r="AD109" s="195">
        <v>33477386.578730002</v>
      </c>
      <c r="AE109" s="195">
        <v>34482468.170795672</v>
      </c>
      <c r="AF109" s="195">
        <v>35386438.888851844</v>
      </c>
      <c r="AG109" s="195">
        <v>36235622.984059706</v>
      </c>
      <c r="AH109" s="195">
        <v>37004489.436109841</v>
      </c>
      <c r="AI109" s="195">
        <v>37737956.427083813</v>
      </c>
      <c r="AJ109" s="195">
        <v>38377424.423116535</v>
      </c>
      <c r="AK109" s="195">
        <v>38967408.475897767</v>
      </c>
      <c r="AL109" s="195">
        <v>39483329.200000688</v>
      </c>
      <c r="AM109" s="195">
        <v>39968316.510583945</v>
      </c>
      <c r="AN109" s="195">
        <v>40381923.830349766</v>
      </c>
      <c r="AO109" s="195">
        <v>40766399.019907035</v>
      </c>
      <c r="AP109" s="195">
        <v>41082121.907651722</v>
      </c>
      <c r="AQ109" s="195">
        <v>41385829.452767648</v>
      </c>
      <c r="AR109" s="195">
        <v>41638237.542245932</v>
      </c>
      <c r="AS109" s="73"/>
    </row>
    <row r="110" spans="1:56" s="65" customFormat="1" ht="13.5" hidden="1" outlineLevel="1" thickBot="1">
      <c r="A110" s="56" t="s">
        <v>11</v>
      </c>
      <c r="B110" s="84" t="s">
        <v>39</v>
      </c>
      <c r="C110" s="52"/>
      <c r="D110" s="134"/>
      <c r="E110" s="154">
        <v>0</v>
      </c>
      <c r="F110" s="154">
        <v>2596</v>
      </c>
      <c r="G110" s="154">
        <v>20579</v>
      </c>
      <c r="H110" s="154">
        <v>1125000</v>
      </c>
      <c r="I110" s="154">
        <v>1430000</v>
      </c>
      <c r="J110" s="154">
        <v>1887000</v>
      </c>
      <c r="K110" s="154">
        <v>2255000</v>
      </c>
      <c r="L110" s="154">
        <v>2610000</v>
      </c>
      <c r="M110" s="154">
        <v>8795675.3019238226</v>
      </c>
      <c r="N110" s="154">
        <v>9434708.3817379549</v>
      </c>
      <c r="O110" s="154">
        <v>9821200.8075830545</v>
      </c>
      <c r="P110" s="195">
        <v>8335677.3474708954</v>
      </c>
      <c r="Q110" s="195">
        <v>8849510.5040420257</v>
      </c>
      <c r="R110" s="195">
        <v>9352278.0105153415</v>
      </c>
      <c r="S110" s="195">
        <v>9844149.79657715</v>
      </c>
      <c r="T110" s="195">
        <v>10325293.499885023</v>
      </c>
      <c r="U110" s="195">
        <v>10795874.494915435</v>
      </c>
      <c r="V110" s="195">
        <v>11215022.066147061</v>
      </c>
      <c r="W110" s="195">
        <v>11602463.199554017</v>
      </c>
      <c r="X110" s="195">
        <v>11773164.588792324</v>
      </c>
      <c r="Y110" s="195">
        <v>12166809.494504767</v>
      </c>
      <c r="Z110" s="195">
        <v>12306058.882053426</v>
      </c>
      <c r="AA110" s="195">
        <v>12610323.990060942</v>
      </c>
      <c r="AB110" s="195">
        <v>12673302.881860003</v>
      </c>
      <c r="AC110" s="195">
        <v>12905908.449900407</v>
      </c>
      <c r="AD110" s="195">
        <v>12908449.555074668</v>
      </c>
      <c r="AE110" s="195">
        <v>13083541.050804961</v>
      </c>
      <c r="AF110" s="195">
        <v>13038281.716745947</v>
      </c>
      <c r="AG110" s="195">
        <v>13167148.536668703</v>
      </c>
      <c r="AH110" s="195">
        <v>13084173.425693898</v>
      </c>
      <c r="AI110" s="195">
        <v>13175823.550813511</v>
      </c>
      <c r="AJ110" s="195">
        <v>13063178.452253668</v>
      </c>
      <c r="AK110" s="195">
        <v>13124797.838751927</v>
      </c>
      <c r="AL110" s="195">
        <v>12988900.384376364</v>
      </c>
      <c r="AM110" s="195">
        <v>13026220.144930789</v>
      </c>
      <c r="AN110" s="195">
        <v>12872188.055825885</v>
      </c>
      <c r="AO110" s="195">
        <v>12889777.887123175</v>
      </c>
      <c r="AP110" s="195">
        <v>12721691.263245024</v>
      </c>
      <c r="AQ110" s="195">
        <v>12723193.890889924</v>
      </c>
      <c r="AR110" s="195">
        <v>12544304.757362621</v>
      </c>
      <c r="AS110" s="73"/>
    </row>
    <row r="111" spans="1:56" s="65" customFormat="1" ht="13.5" hidden="1" outlineLevel="1" thickBot="1">
      <c r="A111" s="56" t="s">
        <v>12</v>
      </c>
      <c r="B111" s="84" t="s">
        <v>38</v>
      </c>
      <c r="C111" s="52"/>
      <c r="D111" s="134"/>
      <c r="E111" s="154">
        <v>0</v>
      </c>
      <c r="F111" s="154">
        <v>196639</v>
      </c>
      <c r="G111" s="154">
        <v>522544</v>
      </c>
      <c r="H111" s="154">
        <v>1872761.2253318976</v>
      </c>
      <c r="I111" s="154">
        <v>2624879.6059852978</v>
      </c>
      <c r="J111" s="154">
        <v>3089440.658133693</v>
      </c>
      <c r="K111" s="154">
        <v>3662526.0563349789</v>
      </c>
      <c r="L111" s="154">
        <v>3750125.7196735349</v>
      </c>
      <c r="M111" s="154">
        <v>3807199.7661422309</v>
      </c>
      <c r="N111" s="154">
        <v>3902269.7661422314</v>
      </c>
      <c r="O111" s="154">
        <v>3999351.9223922314</v>
      </c>
      <c r="P111" s="195">
        <v>6380452.711904861</v>
      </c>
      <c r="Q111" s="195">
        <v>6374076.0908642253</v>
      </c>
      <c r="R111" s="195">
        <v>6367763.2360339956</v>
      </c>
      <c r="S111" s="195">
        <v>6361513.5097520696</v>
      </c>
      <c r="T111" s="195">
        <v>6355326.2807329623</v>
      </c>
      <c r="U111" s="195">
        <v>6349200.9240040472</v>
      </c>
      <c r="V111" s="195">
        <v>6293990.481186619</v>
      </c>
      <c r="W111" s="195">
        <v>6238780.0383691927</v>
      </c>
      <c r="X111" s="195">
        <v>6183569.5955517665</v>
      </c>
      <c r="Y111" s="195">
        <v>6128359.1527343392</v>
      </c>
      <c r="Z111" s="195">
        <v>6073148.709916913</v>
      </c>
      <c r="AA111" s="195">
        <v>6017938.2670994867</v>
      </c>
      <c r="AB111" s="195">
        <v>5962727.8242820604</v>
      </c>
      <c r="AC111" s="195">
        <v>5907517.3814646332</v>
      </c>
      <c r="AD111" s="195">
        <v>5852306.9386472069</v>
      </c>
      <c r="AE111" s="195">
        <v>5797096.4958297806</v>
      </c>
      <c r="AF111" s="195">
        <v>5741886.0530123543</v>
      </c>
      <c r="AG111" s="195">
        <v>5686675.6101949271</v>
      </c>
      <c r="AH111" s="195">
        <v>5631465.1673775008</v>
      </c>
      <c r="AI111" s="195">
        <v>5576254.7245600745</v>
      </c>
      <c r="AJ111" s="195">
        <v>5521044.2817426482</v>
      </c>
      <c r="AK111" s="195">
        <v>5465833.838925221</v>
      </c>
      <c r="AL111" s="195">
        <v>5410623.3961077947</v>
      </c>
      <c r="AM111" s="195">
        <v>5355412.9532903684</v>
      </c>
      <c r="AN111" s="195">
        <v>5300202.5104729421</v>
      </c>
      <c r="AO111" s="195">
        <v>5244992.0676555149</v>
      </c>
      <c r="AP111" s="195">
        <v>5189781.6248380886</v>
      </c>
      <c r="AQ111" s="195">
        <v>5134571.1820206624</v>
      </c>
      <c r="AR111" s="195">
        <v>5079360.7392032361</v>
      </c>
      <c r="AS111" s="73"/>
    </row>
    <row r="112" spans="1:56" s="65" customFormat="1" ht="13.5" hidden="1" outlineLevel="1" thickBot="1">
      <c r="A112" s="56" t="s">
        <v>3</v>
      </c>
      <c r="B112" s="84" t="s">
        <v>37</v>
      </c>
      <c r="C112" s="52"/>
      <c r="D112" s="134"/>
      <c r="E112" s="154">
        <v>1163837</v>
      </c>
      <c r="F112" s="154">
        <v>4264513</v>
      </c>
      <c r="G112" s="154">
        <v>7745837</v>
      </c>
      <c r="H112" s="154">
        <v>599915.6273257588</v>
      </c>
      <c r="I112" s="154">
        <v>599668.1952572451</v>
      </c>
      <c r="J112" s="154">
        <v>599265.96313585842</v>
      </c>
      <c r="K112" s="154">
        <v>598716.84216108394</v>
      </c>
      <c r="L112" s="154">
        <v>598028.40908418782</v>
      </c>
      <c r="M112" s="154">
        <v>3337000</v>
      </c>
      <c r="N112" s="154">
        <v>3337000</v>
      </c>
      <c r="O112" s="154">
        <v>3337000</v>
      </c>
      <c r="P112" s="195">
        <v>1160961.1091276254</v>
      </c>
      <c r="Q112" s="195">
        <v>927141.3657889805</v>
      </c>
      <c r="R112" s="195">
        <v>927141.3657889805</v>
      </c>
      <c r="S112" s="195">
        <v>927141.3657889805</v>
      </c>
      <c r="T112" s="195">
        <v>927141.3657889805</v>
      </c>
      <c r="U112" s="195">
        <v>927141.3657889805</v>
      </c>
      <c r="V112" s="195">
        <v>919079.26695603284</v>
      </c>
      <c r="W112" s="195">
        <v>911017.16812308517</v>
      </c>
      <c r="X112" s="195">
        <v>902955.06929013762</v>
      </c>
      <c r="Y112" s="195">
        <v>894892.97045718983</v>
      </c>
      <c r="Z112" s="195">
        <v>886830.87162424228</v>
      </c>
      <c r="AA112" s="195">
        <v>878768.7727912945</v>
      </c>
      <c r="AB112" s="195">
        <v>870706.67395834695</v>
      </c>
      <c r="AC112" s="195">
        <v>862644.57512539916</v>
      </c>
      <c r="AD112" s="195">
        <v>854582.47629245161</v>
      </c>
      <c r="AE112" s="195">
        <v>846520.37745950394</v>
      </c>
      <c r="AF112" s="195">
        <v>838458.27862655628</v>
      </c>
      <c r="AG112" s="195">
        <v>830396.17979360861</v>
      </c>
      <c r="AH112" s="195">
        <v>822334.08096066094</v>
      </c>
      <c r="AI112" s="195">
        <v>814271.98212771327</v>
      </c>
      <c r="AJ112" s="195">
        <v>806209.8832947656</v>
      </c>
      <c r="AK112" s="195">
        <v>798147.78446181794</v>
      </c>
      <c r="AL112" s="195">
        <v>790085.68562887027</v>
      </c>
      <c r="AM112" s="195">
        <v>782023.58679592272</v>
      </c>
      <c r="AN112" s="195">
        <v>773961.48796297493</v>
      </c>
      <c r="AO112" s="195">
        <v>765899.38913002727</v>
      </c>
      <c r="AP112" s="195">
        <v>757837.29029707971</v>
      </c>
      <c r="AQ112" s="195">
        <v>749775.19146413205</v>
      </c>
      <c r="AR112" s="195">
        <v>741713.09263118438</v>
      </c>
      <c r="AS112" s="73"/>
    </row>
    <row r="113" spans="1:45" s="65" customFormat="1" ht="13.5" hidden="1" outlineLevel="1" thickBot="1">
      <c r="A113" s="56" t="s">
        <v>2</v>
      </c>
      <c r="B113" s="84" t="s">
        <v>15</v>
      </c>
      <c r="C113" s="52"/>
      <c r="D113" s="134"/>
      <c r="E113" s="154">
        <v>0</v>
      </c>
      <c r="F113" s="154">
        <v>0</v>
      </c>
      <c r="G113" s="154">
        <v>30698</v>
      </c>
      <c r="H113" s="154">
        <v>10445530.931120336</v>
      </c>
      <c r="I113" s="154">
        <v>13739397.800335582</v>
      </c>
      <c r="J113" s="154">
        <v>15604885.680057753</v>
      </c>
      <c r="K113" s="154">
        <v>16217243.531336559</v>
      </c>
      <c r="L113" s="154">
        <v>16348103.276331419</v>
      </c>
      <c r="M113" s="154">
        <v>11018999.999999998</v>
      </c>
      <c r="N113" s="154">
        <v>11018999.999999998</v>
      </c>
      <c r="O113" s="154">
        <v>11018999.999999998</v>
      </c>
      <c r="P113" s="195">
        <v>13374606.008694762</v>
      </c>
      <c r="Q113" s="195">
        <v>13360835.65099987</v>
      </c>
      <c r="R113" s="195">
        <v>13360835.65099987</v>
      </c>
      <c r="S113" s="195">
        <v>13360835.65099987</v>
      </c>
      <c r="T113" s="195">
        <v>13360835.65099987</v>
      </c>
      <c r="U113" s="195">
        <v>13360835.65099987</v>
      </c>
      <c r="V113" s="195">
        <v>13244654.47142596</v>
      </c>
      <c r="W113" s="195">
        <v>13128473.291852048</v>
      </c>
      <c r="X113" s="195">
        <v>13012292.112278137</v>
      </c>
      <c r="Y113" s="195">
        <v>12896110.932704223</v>
      </c>
      <c r="Z113" s="195">
        <v>12779929.753130313</v>
      </c>
      <c r="AA113" s="195">
        <v>12663748.573556401</v>
      </c>
      <c r="AB113" s="195">
        <v>12547567.393982489</v>
      </c>
      <c r="AC113" s="195">
        <v>12431386.214408576</v>
      </c>
      <c r="AD113" s="195">
        <v>12315205.034834664</v>
      </c>
      <c r="AE113" s="195">
        <v>12199023.855260752</v>
      </c>
      <c r="AF113" s="195">
        <v>12082842.67568684</v>
      </c>
      <c r="AG113" s="195">
        <v>11966661.496112928</v>
      </c>
      <c r="AH113" s="195">
        <v>11850480.316539017</v>
      </c>
      <c r="AI113" s="195">
        <v>11734299.136965103</v>
      </c>
      <c r="AJ113" s="195">
        <v>11618117.957391193</v>
      </c>
      <c r="AK113" s="195">
        <v>11501936.777817279</v>
      </c>
      <c r="AL113" s="195">
        <v>11385755.598243369</v>
      </c>
      <c r="AM113" s="195">
        <v>11269574.418669457</v>
      </c>
      <c r="AN113" s="195">
        <v>11153393.239095544</v>
      </c>
      <c r="AO113" s="195">
        <v>11037212.059521632</v>
      </c>
      <c r="AP113" s="195">
        <v>10921030.87994772</v>
      </c>
      <c r="AQ113" s="195">
        <v>10804849.70037381</v>
      </c>
      <c r="AR113" s="195">
        <v>10688668.520799898</v>
      </c>
      <c r="AS113" s="73"/>
    </row>
    <row r="114" spans="1:45" s="65" customFormat="1" ht="13.5" hidden="1" outlineLevel="1" thickBot="1">
      <c r="A114" s="56" t="s">
        <v>1</v>
      </c>
      <c r="B114" s="84" t="s">
        <v>36</v>
      </c>
      <c r="C114" s="52"/>
      <c r="D114" s="134"/>
      <c r="E114" s="154">
        <v>4770961</v>
      </c>
      <c r="F114" s="154">
        <v>9073301</v>
      </c>
      <c r="G114" s="154">
        <v>14530386</v>
      </c>
      <c r="H114" s="154">
        <v>11426119.582749041</v>
      </c>
      <c r="I114" s="154">
        <v>13355461.799958056</v>
      </c>
      <c r="J114" s="154">
        <v>13659721.423725909</v>
      </c>
      <c r="K114" s="154">
        <v>13647204.711606814</v>
      </c>
      <c r="L114" s="154">
        <v>13631512.50709703</v>
      </c>
      <c r="M114" s="154">
        <v>23389390.873258937</v>
      </c>
      <c r="N114" s="154">
        <v>23418346.129278943</v>
      </c>
      <c r="O114" s="154">
        <v>23441549.504552245</v>
      </c>
      <c r="P114" s="195">
        <v>21500025.712540649</v>
      </c>
      <c r="Q114" s="195">
        <v>18152168.570725184</v>
      </c>
      <c r="R114" s="195">
        <v>18152168.570725184</v>
      </c>
      <c r="S114" s="195">
        <v>18152168.570725184</v>
      </c>
      <c r="T114" s="195">
        <v>18152168.570725184</v>
      </c>
      <c r="U114" s="195">
        <v>18152168.570725184</v>
      </c>
      <c r="V114" s="195">
        <v>17994323.626631938</v>
      </c>
      <c r="W114" s="195">
        <v>17836478.682538673</v>
      </c>
      <c r="X114" s="195">
        <v>17678633.738445412</v>
      </c>
      <c r="Y114" s="195">
        <v>17520788.794352148</v>
      </c>
      <c r="Z114" s="195">
        <v>17362943.850258887</v>
      </c>
      <c r="AA114" s="195">
        <v>17205098.906165622</v>
      </c>
      <c r="AB114" s="195">
        <v>17047253.962072361</v>
      </c>
      <c r="AC114" s="195">
        <v>16889409.017979097</v>
      </c>
      <c r="AD114" s="195">
        <v>16731564.073885836</v>
      </c>
      <c r="AE114" s="195">
        <v>16573719.129792571</v>
      </c>
      <c r="AF114" s="195">
        <v>16415874.18569931</v>
      </c>
      <c r="AG114" s="195">
        <v>16258029.241606047</v>
      </c>
      <c r="AH114" s="195">
        <v>16100184.297512785</v>
      </c>
      <c r="AI114" s="195">
        <v>15942339.353419522</v>
      </c>
      <c r="AJ114" s="195">
        <v>15784494.409326259</v>
      </c>
      <c r="AK114" s="195">
        <v>15626649.465232996</v>
      </c>
      <c r="AL114" s="195">
        <v>15468804.521139733</v>
      </c>
      <c r="AM114" s="195">
        <v>15310959.577046473</v>
      </c>
      <c r="AN114" s="195">
        <v>15153114.632953208</v>
      </c>
      <c r="AO114" s="195">
        <v>14995269.688859945</v>
      </c>
      <c r="AP114" s="195">
        <v>14837424.744766682</v>
      </c>
      <c r="AQ114" s="195">
        <v>14679579.800673421</v>
      </c>
      <c r="AR114" s="195">
        <v>14521734.856580159</v>
      </c>
      <c r="AS114" s="73"/>
    </row>
    <row r="115" spans="1:45" s="65" customFormat="1" ht="13.5" collapsed="1" thickBot="1">
      <c r="A115" s="340" t="s">
        <v>124</v>
      </c>
      <c r="B115" s="52"/>
      <c r="C115" s="52"/>
      <c r="D115" s="134"/>
      <c r="E115" s="345">
        <v>5999019</v>
      </c>
      <c r="F115" s="346">
        <v>14095666</v>
      </c>
      <c r="G115" s="346">
        <v>24356373</v>
      </c>
      <c r="H115" s="346">
        <v>27234488.468230113</v>
      </c>
      <c r="I115" s="346">
        <f t="shared" ref="I115:O115" si="88">SUM(I109:I114)</f>
        <v>34426400.055076547</v>
      </c>
      <c r="J115" s="346">
        <f t="shared" si="88"/>
        <v>38495629.424508549</v>
      </c>
      <c r="K115" s="346">
        <f t="shared" si="88"/>
        <v>40958926.452791125</v>
      </c>
      <c r="L115" s="346">
        <f t="shared" si="88"/>
        <v>42473224.682816848</v>
      </c>
      <c r="M115" s="346">
        <f t="shared" si="88"/>
        <v>58570386.793977171</v>
      </c>
      <c r="N115" s="346">
        <f t="shared" si="88"/>
        <v>60909452.521140091</v>
      </c>
      <c r="O115" s="346">
        <f t="shared" si="88"/>
        <v>62955214.829535969</v>
      </c>
      <c r="P115" s="346">
        <f>SUM(P109:P114)</f>
        <v>61980126.268008873</v>
      </c>
      <c r="Q115" s="346">
        <f t="shared" ref="Q115" si="89">SUM(Q109:Q114)</f>
        <v>60443233.17143859</v>
      </c>
      <c r="R115" s="346">
        <f t="shared" ref="R115" si="90">SUM(R109:R114)</f>
        <v>62622546.114643574</v>
      </c>
      <c r="S115" s="346">
        <f t="shared" ref="S115" si="91">SUM(S109:S114)</f>
        <v>64913305.905555233</v>
      </c>
      <c r="T115" s="346">
        <f t="shared" ref="T115" si="92">SUM(T109:T114)</f>
        <v>67306198.425925076</v>
      </c>
      <c r="U115" s="346">
        <f t="shared" ref="U115" si="93">SUM(U109:U114)</f>
        <v>69782407.045184851</v>
      </c>
      <c r="V115" s="346">
        <f t="shared" ref="V115" si="94">SUM(V109:V114)</f>
        <v>71706054.774459943</v>
      </c>
      <c r="W115" s="346">
        <f t="shared" ref="W115" si="95">SUM(W109:W114)</f>
        <v>73510596.576368988</v>
      </c>
      <c r="X115" s="346">
        <f t="shared" ref="X115" si="96">SUM(X109:X114)</f>
        <v>75021763.423009202</v>
      </c>
      <c r="Y115" s="346">
        <f t="shared" ref="Y115" si="97">SUM(Y109:Y114)</f>
        <v>76693031.52565439</v>
      </c>
      <c r="Z115" s="346">
        <f t="shared" ref="Z115" si="98">SUM(Z109:Z114)</f>
        <v>77976119.279206783</v>
      </c>
      <c r="AA115" s="346">
        <f t="shared" ref="AA115" si="99">SUM(AA109:AA114)</f>
        <v>79338551.701417938</v>
      </c>
      <c r="AB115" s="346">
        <f t="shared" ref="AB115" si="100">SUM(AB109:AB114)</f>
        <v>80329870.505639672</v>
      </c>
      <c r="AC115" s="346">
        <f t="shared" ref="AC115" si="101">SUM(AC109:AC114)</f>
        <v>81411230.98422268</v>
      </c>
      <c r="AD115" s="346">
        <f t="shared" ref="AD115" si="102">SUM(AD109:AD114)</f>
        <v>82139494.657464832</v>
      </c>
      <c r="AE115" s="346">
        <f t="shared" ref="AE115" si="103">SUM(AE109:AE114)</f>
        <v>82982369.07994324</v>
      </c>
      <c r="AF115" s="346">
        <f t="shared" ref="AF115" si="104">SUM(AF109:AF114)</f>
        <v>83503781.798622862</v>
      </c>
      <c r="AG115" s="346">
        <f t="shared" ref="AG115" si="105">SUM(AG109:AG114)</f>
        <v>84144534.048435912</v>
      </c>
      <c r="AH115" s="346">
        <f t="shared" ref="AH115" si="106">SUM(AH109:AH114)</f>
        <v>84493126.724193707</v>
      </c>
      <c r="AI115" s="346">
        <f t="shared" ref="AI115" si="107">SUM(AI109:AI114)</f>
        <v>84980945.174969748</v>
      </c>
      <c r="AJ115" s="346">
        <f t="shared" ref="AJ115" si="108">SUM(AJ109:AJ114)</f>
        <v>85170469.407125071</v>
      </c>
      <c r="AK115" s="346">
        <f t="shared" ref="AK115" si="109">SUM(AK109:AK114)</f>
        <v>85484774.181087017</v>
      </c>
      <c r="AL115" s="346">
        <f t="shared" ref="AL115" si="110">SUM(AL109:AL114)</f>
        <v>85527498.785496801</v>
      </c>
      <c r="AM115" s="346">
        <f t="shared" ref="AM115" si="111">SUM(AM109:AM114)</f>
        <v>85712507.191316947</v>
      </c>
      <c r="AN115" s="346">
        <f t="shared" ref="AN115" si="112">SUM(AN109:AN114)</f>
        <v>85634783.756660312</v>
      </c>
      <c r="AO115" s="346">
        <f t="shared" ref="AO115" si="113">SUM(AO109:AO114)</f>
        <v>85699550.112197325</v>
      </c>
      <c r="AP115" s="346">
        <f t="shared" ref="AP115" si="114">SUM(AP109:AP114)</f>
        <v>85509887.710746318</v>
      </c>
      <c r="AQ115" s="346">
        <f t="shared" ref="AQ115:AR115" si="115">SUM(AQ109:AQ114)</f>
        <v>85477799.218189597</v>
      </c>
      <c r="AR115" s="346">
        <f t="shared" si="115"/>
        <v>85214019.508823022</v>
      </c>
      <c r="AS115" s="73"/>
    </row>
    <row r="116" spans="1:45" s="343" customFormat="1">
      <c r="A116" s="341"/>
      <c r="B116" s="342"/>
      <c r="C116" s="342"/>
      <c r="D116" s="342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9"/>
      <c r="P116" s="344"/>
      <c r="Q116" s="344"/>
      <c r="R116" s="344"/>
      <c r="S116" s="344"/>
      <c r="T116" s="344"/>
      <c r="U116" s="344"/>
      <c r="V116" s="344"/>
      <c r="W116" s="344"/>
      <c r="X116" s="344"/>
      <c r="Y116" s="344"/>
      <c r="Z116" s="344"/>
      <c r="AA116" s="344"/>
      <c r="AB116" s="344"/>
      <c r="AC116" s="344"/>
      <c r="AD116" s="344"/>
      <c r="AE116" s="344"/>
      <c r="AF116" s="344"/>
      <c r="AG116" s="344"/>
      <c r="AH116" s="344"/>
      <c r="AI116" s="344"/>
      <c r="AJ116" s="344"/>
      <c r="AK116" s="344"/>
      <c r="AL116" s="344"/>
      <c r="AM116" s="344"/>
      <c r="AN116" s="344"/>
      <c r="AO116" s="344"/>
      <c r="AP116" s="344"/>
      <c r="AQ116" s="344"/>
      <c r="AR116" s="344"/>
      <c r="AS116" s="177"/>
    </row>
    <row r="117" spans="1:45" s="65" customFormat="1" ht="19.5" thickBot="1">
      <c r="A117" s="53" t="s">
        <v>102</v>
      </c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7"/>
      <c r="O117" s="7"/>
      <c r="AS117" s="73"/>
    </row>
    <row r="118" spans="1:45" s="65" customFormat="1" ht="13.5" thickBot="1">
      <c r="A118" s="17" t="s">
        <v>207</v>
      </c>
      <c r="B118" s="52"/>
      <c r="C118" s="52"/>
      <c r="D118" s="52"/>
      <c r="E118" s="52"/>
      <c r="F118" s="52"/>
      <c r="G118" s="52"/>
      <c r="H118" s="106"/>
      <c r="I118" s="19"/>
      <c r="J118" s="19"/>
      <c r="K118" s="19"/>
      <c r="L118" s="109">
        <f>DAV!L35</f>
        <v>87789156.407069787</v>
      </c>
      <c r="M118" s="50"/>
      <c r="N118" s="19"/>
      <c r="O118" s="51">
        <f>DAV!O35</f>
        <v>105662652.97555538</v>
      </c>
      <c r="AS118" s="73"/>
    </row>
    <row r="119" spans="1:45" s="65" customFormat="1" ht="13.5" thickBot="1">
      <c r="A119" s="56" t="s">
        <v>40</v>
      </c>
      <c r="B119" s="49"/>
      <c r="C119" s="49"/>
      <c r="D119" s="49"/>
      <c r="E119" s="49"/>
      <c r="F119" s="49"/>
      <c r="G119" s="49"/>
      <c r="H119" s="107"/>
      <c r="I119" s="110"/>
      <c r="J119" s="110"/>
      <c r="K119" s="23"/>
      <c r="L119" s="23">
        <v>31724674.250258528</v>
      </c>
      <c r="M119" s="7"/>
      <c r="N119" s="16"/>
      <c r="O119" s="16">
        <f>(37603.2511769514*1000)/K2*M2</f>
        <v>39663915.53893514</v>
      </c>
      <c r="AS119" s="73"/>
    </row>
    <row r="120" spans="1:45" s="65" customFormat="1" ht="13.5" thickBot="1">
      <c r="A120" s="56" t="s">
        <v>41</v>
      </c>
      <c r="B120" s="49"/>
      <c r="C120" s="49"/>
      <c r="D120" s="49"/>
      <c r="E120" s="49"/>
      <c r="F120" s="49"/>
      <c r="G120" s="49"/>
      <c r="H120" s="26"/>
      <c r="I120" s="23">
        <v>-52055.317639015622</v>
      </c>
      <c r="J120" s="23">
        <v>-238998.33200229373</v>
      </c>
      <c r="K120" s="23">
        <v>-404873.37811521307</v>
      </c>
      <c r="L120" s="23">
        <v>-418911.61578483548</v>
      </c>
      <c r="M120" s="23" t="s">
        <v>93</v>
      </c>
      <c r="N120" s="23" t="s">
        <v>93</v>
      </c>
      <c r="O120" s="23" t="s">
        <v>93</v>
      </c>
      <c r="AS120" s="73"/>
    </row>
    <row r="121" spans="1:45" s="65" customFormat="1" ht="13.5" thickBot="1">
      <c r="A121" s="56" t="s">
        <v>42</v>
      </c>
      <c r="B121" s="49"/>
      <c r="C121" s="49"/>
      <c r="D121" s="49"/>
      <c r="E121" s="49"/>
      <c r="F121" s="49"/>
      <c r="G121" s="10"/>
      <c r="H121" s="23">
        <f>D131+H143</f>
        <v>2922657.9180946201</v>
      </c>
      <c r="I121" s="23">
        <f>I143</f>
        <v>631836.17924617918</v>
      </c>
      <c r="J121" s="23">
        <f>J143</f>
        <v>1560191.3248136702</v>
      </c>
      <c r="K121" s="23">
        <f>K143</f>
        <v>2070553.9375680764</v>
      </c>
      <c r="L121" s="23">
        <f>L143</f>
        <v>1808970.0033849594</v>
      </c>
      <c r="M121" s="23" t="s">
        <v>93</v>
      </c>
      <c r="N121" s="23" t="s">
        <v>93</v>
      </c>
      <c r="O121" s="23" t="s">
        <v>93</v>
      </c>
      <c r="AS121" s="73"/>
    </row>
    <row r="122" spans="1:45" s="65" customFormat="1" ht="13.5" thickBot="1">
      <c r="A122" s="56" t="s">
        <v>94</v>
      </c>
      <c r="B122" s="49"/>
      <c r="C122" s="49"/>
      <c r="D122" s="49"/>
      <c r="E122" s="49"/>
      <c r="F122" s="49"/>
      <c r="G122" s="10"/>
      <c r="H122" s="23" t="s">
        <v>93</v>
      </c>
      <c r="I122" s="23" t="s">
        <v>93</v>
      </c>
      <c r="J122" s="23" t="s">
        <v>93</v>
      </c>
      <c r="K122" s="23" t="s">
        <v>93</v>
      </c>
      <c r="L122" s="23" t="s">
        <v>93</v>
      </c>
      <c r="M122" s="126">
        <f>M143</f>
        <v>-603995.03534388205</v>
      </c>
      <c r="N122" s="126">
        <f t="shared" ref="N122:O122" si="116">N143</f>
        <v>-265007.63093670085</v>
      </c>
      <c r="O122" s="126">
        <f t="shared" si="116"/>
        <v>-296639.33589103405</v>
      </c>
      <c r="AS122" s="73"/>
    </row>
    <row r="123" spans="1:45" s="65" customFormat="1" ht="13.5" thickBot="1">
      <c r="A123" s="17" t="s">
        <v>43</v>
      </c>
      <c r="B123" s="52"/>
      <c r="C123" s="52"/>
      <c r="D123" s="52"/>
      <c r="E123" s="52"/>
      <c r="F123" s="52"/>
      <c r="G123" s="52"/>
      <c r="H123" s="108"/>
      <c r="I123" s="108"/>
      <c r="J123" s="108"/>
      <c r="K123" s="108"/>
      <c r="L123" s="109">
        <f>SUM(H119:L122)</f>
        <v>39604044.969824679</v>
      </c>
      <c r="M123" s="7"/>
      <c r="N123" s="16"/>
      <c r="O123" s="51">
        <f>SUM(M119:O122)</f>
        <v>38498273.536763526</v>
      </c>
      <c r="AS123" s="73"/>
    </row>
    <row r="124" spans="1:45" s="65" customFormat="1" ht="13.5" thickBot="1">
      <c r="A124" s="56" t="s">
        <v>44</v>
      </c>
      <c r="B124" s="52"/>
      <c r="C124" s="52"/>
      <c r="D124" s="52"/>
      <c r="E124" s="52"/>
      <c r="F124" s="52"/>
      <c r="G124" s="10"/>
      <c r="H124" s="23">
        <f>1630500.22677686/K2*M2</f>
        <v>1719851.9079310927</v>
      </c>
      <c r="I124" s="23">
        <f>1947695.89523954/K2*M2</f>
        <v>2054429.9513033468</v>
      </c>
      <c r="J124" s="23">
        <f>2203584.72118004/K2*M2</f>
        <v>2324341.52707907</v>
      </c>
      <c r="K124" s="23">
        <f>2612872.60094617/K2*M2</f>
        <v>2756058.4501121528</v>
      </c>
      <c r="L124" s="23">
        <f>2777246.76356909/K2*M2</f>
        <v>2929440.34393773</v>
      </c>
      <c r="M124" s="16">
        <f>DAV!M29</f>
        <v>3150891.4533627699</v>
      </c>
      <c r="N124" s="16">
        <f>DAV!N29</f>
        <v>3449656.6293379012</v>
      </c>
      <c r="O124" s="16">
        <f>DAV!O29</f>
        <v>3814245.9059210173</v>
      </c>
      <c r="AS124" s="73"/>
    </row>
    <row r="125" spans="1:45" s="65" customFormat="1" ht="13.5" thickBot="1">
      <c r="A125" s="56" t="s">
        <v>45</v>
      </c>
      <c r="B125" s="52"/>
      <c r="C125" s="52"/>
      <c r="D125" s="52"/>
      <c r="E125" s="52"/>
      <c r="F125" s="52"/>
      <c r="G125" s="10"/>
      <c r="H125" s="131">
        <f>-1690376.52079378/K2*M2</f>
        <v>-1783009.4327285031</v>
      </c>
      <c r="I125" s="131">
        <f>-2072120.48949698/K2*M2</f>
        <v>-2185673.0338328262</v>
      </c>
      <c r="J125" s="131">
        <f>-2345564.29024628/K2*M2</f>
        <v>-2474101.5999301514</v>
      </c>
      <c r="K125" s="131">
        <f>-2521468.70325611/K2*M2</f>
        <v>-2659645.6037641708</v>
      </c>
      <c r="L125" s="131">
        <f>-2731587.08372248/K2*M2</f>
        <v>-2881278.5061102388</v>
      </c>
      <c r="M125" s="131">
        <f>-3120839.57568117/K2*M2</f>
        <v>-3291862.0987819512</v>
      </c>
      <c r="N125" s="131">
        <f>-3399887.94022108/K2*M2</f>
        <v>-3586202.3596893139</v>
      </c>
      <c r="O125" s="24">
        <f>-3692450.11767324/K2*M2</f>
        <v>-3894796.9926837641</v>
      </c>
      <c r="AS125" s="73"/>
    </row>
    <row r="126" spans="1:45" s="65" customFormat="1" ht="13.5" thickBot="1">
      <c r="A126" s="17" t="s">
        <v>46</v>
      </c>
      <c r="B126" s="117"/>
      <c r="C126" s="117"/>
      <c r="D126" s="117"/>
      <c r="E126" s="52"/>
      <c r="F126" s="52"/>
      <c r="G126" s="52"/>
      <c r="H126" s="106"/>
      <c r="I126" s="106"/>
      <c r="J126" s="106"/>
      <c r="K126" s="106"/>
      <c r="L126" s="115">
        <f>SUM(H124:L125)</f>
        <v>-199585.99600249715</v>
      </c>
      <c r="N126" s="10"/>
      <c r="O126" s="48">
        <f>SUM(M124:O125)</f>
        <v>-358067.46253333939</v>
      </c>
      <c r="AS126" s="73"/>
    </row>
    <row r="127" spans="1:45" s="65" customFormat="1" ht="13.5" thickBot="1">
      <c r="A127" s="17" t="s">
        <v>108</v>
      </c>
      <c r="B127" s="17" t="s">
        <v>111</v>
      </c>
      <c r="C127" s="52"/>
      <c r="D127" s="176">
        <v>4.2999999999999997E-2</v>
      </c>
      <c r="E127" s="52"/>
      <c r="F127" s="52"/>
      <c r="G127" s="52"/>
      <c r="H127" s="106"/>
      <c r="I127" s="106"/>
      <c r="J127" s="106"/>
      <c r="K127" s="106"/>
      <c r="L127" s="115" t="s">
        <v>93</v>
      </c>
      <c r="N127" s="28"/>
      <c r="O127" s="48">
        <v>0</v>
      </c>
      <c r="AS127" s="73"/>
    </row>
    <row r="128" spans="1:45" s="65" customFormat="1" ht="13.5" thickBot="1">
      <c r="A128" s="12" t="s">
        <v>47</v>
      </c>
      <c r="B128" s="193" t="s">
        <v>131</v>
      </c>
      <c r="C128" s="52"/>
      <c r="D128" s="52"/>
      <c r="E128" s="52"/>
      <c r="F128" s="52"/>
      <c r="G128" s="52"/>
      <c r="H128" s="106"/>
      <c r="I128" s="106"/>
      <c r="J128" s="106"/>
      <c r="K128" s="106"/>
      <c r="L128" s="141">
        <f>SUM(L118,L123,L126,L127)</f>
        <v>127193615.38089198</v>
      </c>
      <c r="N128" s="52"/>
      <c r="O128" s="47">
        <f>SUM(O118,O123,O126,O127)</f>
        <v>143802859.04978558</v>
      </c>
      <c r="AS128" s="73"/>
    </row>
    <row r="129" spans="1:45" s="65" customFormat="1">
      <c r="A129" s="52"/>
      <c r="B129" s="193" t="s">
        <v>132</v>
      </c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O129" s="113"/>
      <c r="AS129" s="73"/>
    </row>
    <row r="130" spans="1:45" s="65" customFormat="1" ht="13.5" thickBot="1">
      <c r="A130" s="7"/>
      <c r="B130" s="194" t="s">
        <v>111</v>
      </c>
      <c r="C130" s="85"/>
      <c r="D130" s="7"/>
      <c r="E130" s="89"/>
      <c r="F130" s="89"/>
      <c r="G130" s="89"/>
      <c r="H130" s="89"/>
      <c r="I130" s="89"/>
      <c r="J130" s="89"/>
      <c r="K130" s="89"/>
      <c r="L130" s="89"/>
      <c r="O130" s="113"/>
      <c r="AS130" s="73"/>
    </row>
    <row r="131" spans="1:45" s="65" customFormat="1" ht="19.5" thickBot="1">
      <c r="A131" s="53" t="s">
        <v>106</v>
      </c>
      <c r="B131" s="17" t="s">
        <v>4</v>
      </c>
      <c r="C131" s="52" t="s">
        <v>48</v>
      </c>
      <c r="D131" s="16">
        <v>3212984.4870914645</v>
      </c>
      <c r="AS131" s="73"/>
    </row>
    <row r="132" spans="1:45" s="65" customFormat="1" ht="13.5" thickBot="1">
      <c r="A132" s="52"/>
      <c r="B132" s="17" t="s">
        <v>49</v>
      </c>
      <c r="C132" s="52" t="s">
        <v>48</v>
      </c>
      <c r="D132" s="16">
        <v>1845762.7935014917</v>
      </c>
      <c r="K132" s="175"/>
      <c r="N132" s="112"/>
      <c r="O132" s="113"/>
      <c r="AS132" s="73"/>
    </row>
    <row r="133" spans="1:45" s="65" customFormat="1" ht="13.5" thickBot="1">
      <c r="A133" s="52"/>
      <c r="B133" s="17" t="s">
        <v>50</v>
      </c>
      <c r="C133" s="52" t="s">
        <v>48</v>
      </c>
      <c r="D133" s="16">
        <v>449375.3050672182</v>
      </c>
      <c r="K133" s="175"/>
      <c r="N133" s="112"/>
      <c r="O133" s="112"/>
      <c r="AS133" s="73"/>
    </row>
    <row r="134" spans="1:45" s="65" customFormat="1" ht="13.5" thickBot="1">
      <c r="A134" s="62"/>
      <c r="B134" s="12" t="s">
        <v>51</v>
      </c>
      <c r="C134" s="60"/>
      <c r="D134" s="47">
        <f>SUM(D131:D133)</f>
        <v>5508122.5856601736</v>
      </c>
      <c r="N134" s="112"/>
      <c r="O134" s="112"/>
      <c r="AS134" s="73"/>
    </row>
    <row r="135" spans="1:45">
      <c r="N135" s="112"/>
    </row>
    <row r="136" spans="1:45" ht="13.5" thickBot="1">
      <c r="A136" s="7"/>
      <c r="B136" s="7"/>
      <c r="E136" s="30"/>
      <c r="F136" s="30"/>
      <c r="G136" s="30"/>
      <c r="H136" s="7"/>
      <c r="I136" s="7"/>
      <c r="J136" s="7"/>
      <c r="K136" s="7"/>
      <c r="L136" s="7"/>
      <c r="M136" s="7"/>
      <c r="N136" s="7"/>
      <c r="O136" s="7"/>
    </row>
    <row r="137" spans="1:45" ht="26.25" customHeight="1" thickBot="1">
      <c r="A137" s="354" t="s">
        <v>103</v>
      </c>
      <c r="B137" s="355"/>
      <c r="C137" s="6"/>
      <c r="D137" s="3"/>
      <c r="E137" s="3"/>
      <c r="F137" s="3"/>
      <c r="G137" s="10"/>
      <c r="H137" s="356" t="s">
        <v>104</v>
      </c>
      <c r="I137" s="356"/>
      <c r="J137" s="356"/>
      <c r="K137" s="356"/>
      <c r="L137" s="357"/>
      <c r="M137" s="358" t="s">
        <v>105</v>
      </c>
      <c r="N137" s="359"/>
      <c r="O137" s="360"/>
    </row>
    <row r="138" spans="1:45" ht="13.5" thickBot="1">
      <c r="A138" s="4"/>
      <c r="B138" s="8"/>
      <c r="C138" s="8"/>
      <c r="D138" s="9"/>
      <c r="E138" s="9"/>
      <c r="F138" s="9"/>
      <c r="G138" s="10"/>
      <c r="H138" s="11">
        <v>2009</v>
      </c>
      <c r="I138" s="5">
        <v>2010</v>
      </c>
      <c r="J138" s="5">
        <v>2011</v>
      </c>
      <c r="K138" s="5">
        <v>2012</v>
      </c>
      <c r="L138" s="5">
        <v>2013</v>
      </c>
      <c r="M138" s="5">
        <v>2014</v>
      </c>
      <c r="N138" s="5">
        <v>2015</v>
      </c>
      <c r="O138" s="5">
        <v>2016</v>
      </c>
    </row>
    <row r="139" spans="1:45" ht="13.5" thickBot="1">
      <c r="A139" s="12" t="s">
        <v>97</v>
      </c>
      <c r="B139" s="13"/>
      <c r="C139" s="13"/>
      <c r="D139" s="14"/>
      <c r="E139" s="14"/>
      <c r="F139" s="14"/>
      <c r="G139" s="10"/>
      <c r="H139" s="11" t="s">
        <v>0</v>
      </c>
      <c r="I139" s="11" t="s">
        <v>0</v>
      </c>
      <c r="J139" s="11" t="s">
        <v>0</v>
      </c>
      <c r="K139" s="11" t="s">
        <v>0</v>
      </c>
      <c r="L139" s="11" t="s">
        <v>5</v>
      </c>
      <c r="M139" s="21" t="s">
        <v>5</v>
      </c>
      <c r="N139" s="21" t="s">
        <v>5</v>
      </c>
      <c r="O139" s="21" t="s">
        <v>5</v>
      </c>
    </row>
    <row r="140" spans="1:45" ht="13.5" thickBot="1">
      <c r="A140" s="15" t="s">
        <v>6</v>
      </c>
      <c r="B140" s="14"/>
      <c r="C140" s="14"/>
      <c r="D140" s="14"/>
      <c r="E140" s="14"/>
      <c r="F140" s="14"/>
      <c r="G140" s="10"/>
      <c r="H140" s="16">
        <f>-2664919.34097565/K2*M2</f>
        <v>-2810957.3600732032</v>
      </c>
      <c r="I140" s="16">
        <f>-3369293.41742625/K2*M2</f>
        <v>-3553931.2520029666</v>
      </c>
      <c r="J140" s="16">
        <f>1435272.85221556/K2*M2</f>
        <v>1513926.0410679167</v>
      </c>
      <c r="K140" s="16">
        <f>4821142.32086481/K2*M2</f>
        <v>5085341.7146328446</v>
      </c>
      <c r="L140" s="16">
        <f>2158215.58502883/K2*M2</f>
        <v>2276486.1547893719</v>
      </c>
      <c r="M140" s="26">
        <v>-5573402.9039872596</v>
      </c>
      <c r="N140" s="26">
        <v>-207530.19739508501</v>
      </c>
      <c r="O140" s="26">
        <v>1977833.0503587432</v>
      </c>
      <c r="P140" s="157" t="s">
        <v>113</v>
      </c>
    </row>
    <row r="141" spans="1:45" ht="13.5" thickBot="1">
      <c r="A141" s="15" t="s">
        <v>7</v>
      </c>
      <c r="B141" s="14"/>
      <c r="C141" s="14"/>
      <c r="D141" s="14"/>
      <c r="E141" s="14"/>
      <c r="F141" s="14"/>
      <c r="G141" s="10"/>
      <c r="H141" s="16">
        <f>152976.527336461/K2*M2</f>
        <v>161359.66624694693</v>
      </c>
      <c r="I141" s="16">
        <f>295260.527926963/K2*M2</f>
        <v>311440.85351999395</v>
      </c>
      <c r="J141" s="16">
        <f>665935.025800321/K2*M2</f>
        <v>702428.37496861222</v>
      </c>
      <c r="K141" s="16">
        <f>893259.912382716/K2*M2</f>
        <v>942210.70280171116</v>
      </c>
      <c r="L141" s="16">
        <f>747802.663865809/K2*M2</f>
        <v>788782.37309290119</v>
      </c>
      <c r="M141" s="26">
        <v>-9914.0230446598543</v>
      </c>
      <c r="N141" s="26">
        <v>144197.550039658</v>
      </c>
      <c r="O141" s="26">
        <v>98232.259945405822</v>
      </c>
      <c r="P141" s="157" t="s">
        <v>113</v>
      </c>
    </row>
    <row r="142" spans="1:45" ht="13.5" thickBot="1">
      <c r="A142" s="15" t="s">
        <v>8</v>
      </c>
      <c r="B142" s="14"/>
      <c r="C142" s="14"/>
      <c r="D142" s="14"/>
      <c r="E142" s="14"/>
      <c r="F142" s="14"/>
      <c r="G142" s="10"/>
      <c r="H142" s="16">
        <f>0/K2*M2</f>
        <v>0</v>
      </c>
      <c r="I142" s="16">
        <f>0/K2*M2</f>
        <v>0</v>
      </c>
      <c r="J142" s="16">
        <f>-752295.29351409/K2*M2</f>
        <v>-793521.19958634966</v>
      </c>
      <c r="K142" s="16">
        <f>0/K2*M2</f>
        <v>0</v>
      </c>
      <c r="L142" s="16">
        <f>0/K2*M2</f>
        <v>0</v>
      </c>
      <c r="M142" s="26">
        <v>-4873.1897492644639</v>
      </c>
      <c r="N142" s="26">
        <v>0</v>
      </c>
      <c r="O142" s="26">
        <v>0</v>
      </c>
      <c r="P142" s="157" t="s">
        <v>113</v>
      </c>
    </row>
    <row r="143" spans="1:45" ht="13.5" thickBot="1">
      <c r="A143" s="15" t="s">
        <v>4</v>
      </c>
      <c r="B143" s="14"/>
      <c r="C143" s="14"/>
      <c r="D143" s="14"/>
      <c r="E143" s="14"/>
      <c r="F143" s="14"/>
      <c r="G143" s="10"/>
      <c r="H143" s="16">
        <f>-275243.19646693/K2*M2</f>
        <v>-290326.56899684417</v>
      </c>
      <c r="I143" s="16">
        <f>599010.31524628/K2*M2</f>
        <v>631836.17924617918</v>
      </c>
      <c r="J143" s="16">
        <f>1479134.50989171/K2*M2</f>
        <v>1560191.3248136702</v>
      </c>
      <c r="K143" s="16">
        <f>1962982.19003036/K2*M2</f>
        <v>2070553.9375680764</v>
      </c>
      <c r="L143" s="16">
        <f>1714988.35867785/K2*M2</f>
        <v>1808970.0033849594</v>
      </c>
      <c r="M143" s="26">
        <v>-603995.03534388205</v>
      </c>
      <c r="N143" s="26">
        <v>-265007.63093670085</v>
      </c>
      <c r="O143" s="26">
        <v>-296639.33589103405</v>
      </c>
      <c r="P143" s="157" t="s">
        <v>113</v>
      </c>
    </row>
    <row r="144" spans="1:45" ht="13.5" thickBot="1">
      <c r="A144" s="17" t="s">
        <v>9</v>
      </c>
      <c r="B144" s="14"/>
      <c r="C144" s="14"/>
      <c r="D144" s="14"/>
      <c r="E144" s="14"/>
      <c r="F144" s="14"/>
      <c r="G144" s="10"/>
      <c r="H144" s="18">
        <f t="shared" ref="H144:K144" si="117">SUM(H140:H143)</f>
        <v>-2939924.2628231007</v>
      </c>
      <c r="I144" s="18">
        <f t="shared" si="117"/>
        <v>-2610654.2192367935</v>
      </c>
      <c r="J144" s="18">
        <f t="shared" si="117"/>
        <v>2983024.5412638495</v>
      </c>
      <c r="K144" s="18">
        <f t="shared" si="117"/>
        <v>8098106.3550026324</v>
      </c>
      <c r="L144" s="18">
        <f>SUM(L140:L143)</f>
        <v>4874238.5312672332</v>
      </c>
      <c r="M144" s="18">
        <f>SUM(M140:M143)</f>
        <v>-6192185.1521250652</v>
      </c>
      <c r="N144" s="18">
        <f t="shared" ref="N144:O144" si="118">SUM(N140:N143)</f>
        <v>-328340.27829212788</v>
      </c>
      <c r="O144" s="18">
        <f t="shared" si="118"/>
        <v>1779425.9744131151</v>
      </c>
      <c r="P144" s="157" t="s">
        <v>113</v>
      </c>
    </row>
    <row r="145" spans="1:15">
      <c r="A145" s="2"/>
      <c r="B145" s="1"/>
      <c r="C145" s="1"/>
      <c r="D145" s="22"/>
      <c r="E145" s="22"/>
      <c r="F145" s="22"/>
      <c r="G145" s="22"/>
      <c r="H145" s="22"/>
      <c r="I145" s="22"/>
      <c r="J145" s="22"/>
      <c r="K145" s="22"/>
      <c r="L145" s="111"/>
      <c r="M145" s="22"/>
      <c r="O145" s="112"/>
    </row>
    <row r="146" spans="1:15">
      <c r="A146" s="73"/>
      <c r="B146" s="73"/>
      <c r="E146" s="30"/>
      <c r="F146" s="30"/>
      <c r="G146" s="30"/>
      <c r="H146" s="30"/>
      <c r="I146" s="30"/>
      <c r="J146" s="30"/>
      <c r="K146" s="30"/>
      <c r="L146" s="113"/>
    </row>
    <row r="147" spans="1:15">
      <c r="A147" s="73"/>
      <c r="B147" s="73"/>
      <c r="E147" s="30"/>
      <c r="F147" s="30"/>
      <c r="G147" s="30"/>
      <c r="H147" s="30"/>
      <c r="I147" s="30"/>
      <c r="J147" s="30"/>
      <c r="K147" s="30"/>
      <c r="L147" s="30"/>
    </row>
    <row r="148" spans="1:15">
      <c r="A148" s="73"/>
      <c r="B148" s="73"/>
      <c r="E148" s="29"/>
      <c r="F148" s="29"/>
      <c r="G148" s="29"/>
      <c r="H148" s="29"/>
      <c r="I148" s="29"/>
      <c r="J148" s="29"/>
      <c r="K148" s="29"/>
      <c r="L148" s="29"/>
    </row>
    <row r="149" spans="1:15">
      <c r="A149" s="73"/>
      <c r="B149" s="73"/>
    </row>
    <row r="150" spans="1:15">
      <c r="A150" s="73"/>
      <c r="B150" s="73"/>
    </row>
    <row r="151" spans="1:15">
      <c r="A151" s="73"/>
      <c r="B151" s="73"/>
    </row>
    <row r="152" spans="1:15">
      <c r="A152" s="73"/>
      <c r="B152" s="73"/>
    </row>
    <row r="153" spans="1:15" s="73" customFormat="1"/>
    <row r="154" spans="1:15" s="73" customFormat="1"/>
    <row r="155" spans="1:15" s="73" customFormat="1"/>
    <row r="156" spans="1:15" s="73" customFormat="1"/>
    <row r="157" spans="1:15" s="73" customFormat="1"/>
    <row r="158" spans="1:15" s="73" customFormat="1"/>
    <row r="159" spans="1:15" s="73" customFormat="1"/>
    <row r="160" spans="1:15" s="73" customFormat="1"/>
    <row r="161" s="73" customFormat="1"/>
  </sheetData>
  <mergeCells count="6">
    <mergeCell ref="A137:B137"/>
    <mergeCell ref="H137:L137"/>
    <mergeCell ref="M137:O137"/>
    <mergeCell ref="A1:A3"/>
    <mergeCell ref="V67:AB67"/>
    <mergeCell ref="P67:U67"/>
  </mergeCells>
  <dataValidations count="1">
    <dataValidation type="list" allowBlank="1" showInputMessage="1" showErrorMessage="1" sqref="B127">
      <formula1>$B$128:$B$130</formula1>
    </dataValidation>
  </dataValidations>
  <pageMargins left="0.39370078740157483" right="0.39370078740157483" top="0.39370078740157483" bottom="0.39370078740157483" header="0.39370078740157483" footer="0.39370078740157483"/>
  <pageSetup paperSize="8" scale="31" fitToHeight="2" pageOrder="overThenDown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AV52"/>
  <sheetViews>
    <sheetView zoomScale="85" zoomScaleNormal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D16" sqref="D16"/>
    </sheetView>
  </sheetViews>
  <sheetFormatPr defaultRowHeight="12.75"/>
  <cols>
    <col min="1" max="1" width="44" style="66" customWidth="1"/>
    <col min="2" max="2" width="8" style="66" customWidth="1"/>
    <col min="3" max="3" width="17" style="66" customWidth="1"/>
    <col min="4" max="4" width="16.85546875" style="87" customWidth="1"/>
    <col min="5" max="6" width="10.140625" style="66" bestFit="1" customWidth="1"/>
    <col min="7" max="7" width="10.28515625" style="66" bestFit="1" customWidth="1"/>
    <col min="8" max="12" width="12" style="66" bestFit="1" customWidth="1"/>
    <col min="13" max="13" width="10.28515625" style="66" bestFit="1" customWidth="1"/>
    <col min="14" max="14" width="11.28515625" style="66" bestFit="1" customWidth="1"/>
    <col min="15" max="33" width="11.140625" style="66" bestFit="1" customWidth="1"/>
    <col min="34" max="44" width="11.28515625" style="66" bestFit="1" customWidth="1"/>
    <col min="45" max="48" width="9.140625" style="73"/>
    <col min="49" max="16384" width="9.140625" style="66"/>
  </cols>
  <sheetData>
    <row r="1" spans="1:48" s="62" customFormat="1" ht="12.75" customHeight="1">
      <c r="A1" s="365" t="s">
        <v>52</v>
      </c>
      <c r="B1" s="366"/>
      <c r="D1" s="46"/>
      <c r="AS1" s="73"/>
      <c r="AT1" s="73"/>
      <c r="AU1" s="73"/>
      <c r="AV1" s="73"/>
    </row>
    <row r="2" spans="1:48" ht="12.75" customHeight="1">
      <c r="A2" s="365"/>
      <c r="B2" s="366"/>
    </row>
    <row r="3" spans="1:48" ht="13.5" customHeight="1" thickBot="1">
      <c r="A3" s="367"/>
      <c r="B3" s="368"/>
      <c r="C3" s="84"/>
      <c r="E3" s="78"/>
    </row>
    <row r="4" spans="1:48">
      <c r="A4" s="84"/>
      <c r="B4" s="84"/>
      <c r="C4" s="84"/>
    </row>
    <row r="5" spans="1:48" ht="13.5" thickBot="1">
      <c r="A5" s="84"/>
      <c r="B5" s="84"/>
      <c r="C5" s="84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117"/>
      <c r="AJ5" s="117"/>
      <c r="AK5" s="117"/>
      <c r="AL5" s="117"/>
      <c r="AM5" s="117"/>
      <c r="AN5" s="117"/>
      <c r="AO5" s="117"/>
      <c r="AP5" s="117"/>
      <c r="AQ5" s="117"/>
      <c r="AR5" s="117"/>
    </row>
    <row r="6" spans="1:48" ht="13.5" thickBot="1">
      <c r="A6" s="84"/>
      <c r="B6" s="84"/>
      <c r="C6" s="10"/>
      <c r="D6" s="104" t="s">
        <v>100</v>
      </c>
      <c r="E6" s="5">
        <v>2006</v>
      </c>
      <c r="F6" s="5">
        <f>E6+1</f>
        <v>2007</v>
      </c>
      <c r="G6" s="5">
        <f t="shared" ref="G6:AR6" si="0">F6+1</f>
        <v>2008</v>
      </c>
      <c r="H6" s="5">
        <f t="shared" si="0"/>
        <v>2009</v>
      </c>
      <c r="I6" s="5">
        <f t="shared" si="0"/>
        <v>2010</v>
      </c>
      <c r="J6" s="5">
        <f t="shared" si="0"/>
        <v>2011</v>
      </c>
      <c r="K6" s="5">
        <f t="shared" si="0"/>
        <v>2012</v>
      </c>
      <c r="L6" s="5">
        <f t="shared" si="0"/>
        <v>2013</v>
      </c>
      <c r="M6" s="5">
        <f t="shared" si="0"/>
        <v>2014</v>
      </c>
      <c r="N6" s="5">
        <f t="shared" si="0"/>
        <v>2015</v>
      </c>
      <c r="O6" s="5">
        <f t="shared" si="0"/>
        <v>2016</v>
      </c>
      <c r="P6" s="5">
        <f t="shared" si="0"/>
        <v>2017</v>
      </c>
      <c r="Q6" s="5">
        <f t="shared" si="0"/>
        <v>2018</v>
      </c>
      <c r="R6" s="5">
        <f t="shared" si="0"/>
        <v>2019</v>
      </c>
      <c r="S6" s="5">
        <f t="shared" si="0"/>
        <v>2020</v>
      </c>
      <c r="T6" s="5">
        <f t="shared" si="0"/>
        <v>2021</v>
      </c>
      <c r="U6" s="5">
        <f t="shared" si="0"/>
        <v>2022</v>
      </c>
      <c r="V6" s="5">
        <f t="shared" si="0"/>
        <v>2023</v>
      </c>
      <c r="W6" s="5">
        <f t="shared" si="0"/>
        <v>2024</v>
      </c>
      <c r="X6" s="5">
        <f t="shared" si="0"/>
        <v>2025</v>
      </c>
      <c r="Y6" s="5">
        <f t="shared" si="0"/>
        <v>2026</v>
      </c>
      <c r="Z6" s="5">
        <f t="shared" si="0"/>
        <v>2027</v>
      </c>
      <c r="AA6" s="5">
        <f t="shared" si="0"/>
        <v>2028</v>
      </c>
      <c r="AB6" s="5">
        <f t="shared" si="0"/>
        <v>2029</v>
      </c>
      <c r="AC6" s="5">
        <f t="shared" si="0"/>
        <v>2030</v>
      </c>
      <c r="AD6" s="5">
        <f t="shared" si="0"/>
        <v>2031</v>
      </c>
      <c r="AE6" s="5">
        <f t="shared" si="0"/>
        <v>2032</v>
      </c>
      <c r="AF6" s="5">
        <f t="shared" si="0"/>
        <v>2033</v>
      </c>
      <c r="AG6" s="5">
        <f t="shared" si="0"/>
        <v>2034</v>
      </c>
      <c r="AH6" s="5">
        <f t="shared" si="0"/>
        <v>2035</v>
      </c>
      <c r="AI6" s="5">
        <f t="shared" si="0"/>
        <v>2036</v>
      </c>
      <c r="AJ6" s="5">
        <f t="shared" si="0"/>
        <v>2037</v>
      </c>
      <c r="AK6" s="5">
        <f t="shared" si="0"/>
        <v>2038</v>
      </c>
      <c r="AL6" s="5">
        <f t="shared" si="0"/>
        <v>2039</v>
      </c>
      <c r="AM6" s="5">
        <f t="shared" si="0"/>
        <v>2040</v>
      </c>
      <c r="AN6" s="5">
        <f t="shared" si="0"/>
        <v>2041</v>
      </c>
      <c r="AO6" s="5">
        <f t="shared" si="0"/>
        <v>2042</v>
      </c>
      <c r="AP6" s="5">
        <f t="shared" si="0"/>
        <v>2043</v>
      </c>
      <c r="AQ6" s="5">
        <f t="shared" si="0"/>
        <v>2044</v>
      </c>
      <c r="AR6" s="5">
        <f t="shared" si="0"/>
        <v>2045</v>
      </c>
    </row>
    <row r="7" spans="1:48" ht="13.5" thickBot="1">
      <c r="A7" s="83"/>
    </row>
    <row r="8" spans="1:48" ht="19.5" thickBot="1">
      <c r="A8" s="53" t="s">
        <v>53</v>
      </c>
      <c r="B8" s="6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117"/>
      <c r="AJ8" s="117"/>
      <c r="AK8" s="117"/>
      <c r="AL8" s="117"/>
      <c r="AM8" s="117"/>
      <c r="AN8" s="117"/>
      <c r="AO8" s="117"/>
      <c r="AP8" s="117"/>
      <c r="AQ8" s="117"/>
      <c r="AR8" s="117"/>
    </row>
    <row r="9" spans="1:48" ht="13.5" thickBot="1">
      <c r="A9" s="15" t="s">
        <v>49</v>
      </c>
      <c r="D9" s="10"/>
      <c r="E9" s="16">
        <f>SUM(Inputs!E83,Inputs!E85,Inputs!E94)</f>
        <v>9163851.6796381921</v>
      </c>
      <c r="F9" s="195">
        <f>SUM(Inputs!F83,Inputs!F85,Inputs!F94)</f>
        <v>11978318.038899688</v>
      </c>
      <c r="G9" s="195">
        <f>SUM(Inputs!G83,Inputs!G85,Inputs!G94)</f>
        <v>9339553.2945472579</v>
      </c>
      <c r="H9" s="156">
        <f>SUM(Inputs!H83,Inputs!H85,Inputs!H94)</f>
        <v>11701933.90685294</v>
      </c>
      <c r="I9" s="195">
        <f>SUM(Inputs!I83,Inputs!I85,Inputs!I94)</f>
        <v>11411316.911880756</v>
      </c>
      <c r="J9" s="195">
        <f>SUM(Inputs!J83,Inputs!J85,Inputs!J94)</f>
        <v>8068448.5974650811</v>
      </c>
      <c r="K9" s="195">
        <f>SUM(Inputs!K83,Inputs!K85,Inputs!K94)</f>
        <v>6362519.7349370094</v>
      </c>
      <c r="L9" s="195">
        <f>SUM(Inputs!L83,Inputs!L85,Inputs!L94)</f>
        <v>5351409.6990729105</v>
      </c>
      <c r="M9" s="195">
        <f>SUM(Inputs!M83,Inputs!M85,Inputs!M94)</f>
        <v>8114852.2532176301</v>
      </c>
      <c r="N9" s="195">
        <f>SUM(Inputs!N83,Inputs!N85,Inputs!N94)</f>
        <v>6433044.3068478424</v>
      </c>
      <c r="O9" s="195">
        <f>SUM(Inputs!O83,Inputs!O85,Inputs!O94)</f>
        <v>5775361.9576727748</v>
      </c>
      <c r="P9" s="320">
        <f>SUM(Inputs!P83,Inputs!P85,Inputs!P94)</f>
        <v>11768984.035018897</v>
      </c>
      <c r="Q9" s="156">
        <f>SUM(Inputs!Q83,Inputs!Q85,Inputs!Q94)</f>
        <v>9058446.7985165175</v>
      </c>
      <c r="R9" s="195">
        <f>SUM(Inputs!R83,Inputs!R85,Inputs!R94)</f>
        <v>8925843.7885425873</v>
      </c>
      <c r="S9" s="195">
        <f>SUM(Inputs!S83,Inputs!S85,Inputs!S94)</f>
        <v>8915125.1064422615</v>
      </c>
      <c r="T9" s="195">
        <f>SUM(Inputs!T83,Inputs!T85,Inputs!T94)</f>
        <v>8998069.8852982726</v>
      </c>
      <c r="U9" s="195">
        <f>SUM(Inputs!U83,Inputs!U85,Inputs!U94)</f>
        <v>9026202.663719859</v>
      </c>
      <c r="V9" s="195">
        <f>SUM(Inputs!V83,Inputs!V85,Inputs!V94)</f>
        <v>7320907.0622120257</v>
      </c>
      <c r="W9" s="195">
        <f>SUM(Inputs!W83,Inputs!W85,Inputs!W94)</f>
        <v>6482253.9923139447</v>
      </c>
      <c r="X9" s="195">
        <f>SUM(Inputs!X83,Inputs!X85,Inputs!X94)</f>
        <v>6762443.3002239261</v>
      </c>
      <c r="Y9" s="195">
        <f>SUM(Inputs!Y83,Inputs!Y85,Inputs!Y94)</f>
        <v>4228461.1003260547</v>
      </c>
      <c r="Z9" s="195">
        <f>SUM(Inputs!Z83,Inputs!Z85,Inputs!Z94)</f>
        <v>2058906.6057640414</v>
      </c>
      <c r="AA9" s="195">
        <f>SUM(Inputs!AA83,Inputs!AA85,Inputs!AA94)</f>
        <v>2049585.2438961628</v>
      </c>
      <c r="AB9" s="195">
        <f>SUM(Inputs!AB83,Inputs!AB85,Inputs!AB94)</f>
        <v>2038803.6858026143</v>
      </c>
      <c r="AC9" s="195">
        <f>SUM(Inputs!AC83,Inputs!AC85,Inputs!AC94)</f>
        <v>2029665.8311927118</v>
      </c>
      <c r="AD9" s="195">
        <f>SUM(Inputs!AD83,Inputs!AD85,Inputs!AD94)</f>
        <v>2019542.8197864466</v>
      </c>
      <c r="AE9" s="195">
        <f>SUM(Inputs!AE83,Inputs!AE85,Inputs!AE94)</f>
        <v>2019106.9517996518</v>
      </c>
      <c r="AF9" s="195">
        <f>SUM(Inputs!AF83,Inputs!AF85,Inputs!AF94)</f>
        <v>2008873.0216322506</v>
      </c>
      <c r="AG9" s="195">
        <f>SUM(Inputs!AG83,Inputs!AG85,Inputs!AG94)</f>
        <v>2008743.5875681159</v>
      </c>
      <c r="AH9" s="195">
        <f>SUM(Inputs!AH83,Inputs!AH85,Inputs!AH94)</f>
        <v>2008303.7542764484</v>
      </c>
      <c r="AI9" s="195">
        <f>SUM(Inputs!AI83,Inputs!AI85,Inputs!AI94)</f>
        <v>2008005.5965221364</v>
      </c>
      <c r="AJ9" s="195">
        <f>SUM(Inputs!AJ83,Inputs!AJ85,Inputs!AJ94)</f>
        <v>1999065.9552651774</v>
      </c>
      <c r="AK9" s="195">
        <f>SUM(Inputs!AK83,Inputs!AK85,Inputs!AK94)</f>
        <v>1998103.3613521929</v>
      </c>
      <c r="AL9" s="195">
        <f>SUM(Inputs!AL83,Inputs!AL85,Inputs!AL94)</f>
        <v>1997858.973022565</v>
      </c>
      <c r="AM9" s="195">
        <f>SUM(Inputs!AM83,Inputs!AM85,Inputs!AM94)</f>
        <v>1997563.8022885374</v>
      </c>
      <c r="AN9" s="195">
        <f>SUM(Inputs!AN83,Inputs!AN85,Inputs!AN94)</f>
        <v>1995846.5125606998</v>
      </c>
      <c r="AO9" s="195">
        <f>SUM(Inputs!AO83,Inputs!AO85,Inputs!AO94)</f>
        <v>1995260.370237682</v>
      </c>
      <c r="AP9" s="195">
        <f>SUM(Inputs!AP83,Inputs!AP85,Inputs!AP94)</f>
        <v>1993404.3352644269</v>
      </c>
      <c r="AQ9" s="195">
        <f>SUM(Inputs!AQ83,Inputs!AQ85,Inputs!AQ94)</f>
        <v>2000429.0220842301</v>
      </c>
      <c r="AR9" s="195">
        <f>SUM(Inputs!AR83,Inputs!AR85,Inputs!AR94)</f>
        <v>1999035.009832965</v>
      </c>
    </row>
    <row r="10" spans="1:48" ht="13.5" thickBot="1">
      <c r="A10" s="15" t="s">
        <v>26</v>
      </c>
      <c r="D10" s="155"/>
      <c r="E10" s="156">
        <f>SUM(Inputs!E86,Inputs!E88,Inputs!E90)</f>
        <v>387648.09692074714</v>
      </c>
      <c r="F10" s="195">
        <f>SUM(Inputs!F86,Inputs!F88,Inputs!F90)</f>
        <v>694810.81432720169</v>
      </c>
      <c r="G10" s="195">
        <f>SUM(Inputs!G86,Inputs!G88,Inputs!G90)</f>
        <v>1678078.4636649806</v>
      </c>
      <c r="H10" s="156">
        <f>SUM(Inputs!H86,Inputs!H88,Inputs!H90)+Inputs!H140</f>
        <v>-630403.40122518362</v>
      </c>
      <c r="I10" s="195">
        <f>SUM(Inputs!I86,Inputs!I88,Inputs!I90)+Inputs!I140</f>
        <v>-1312640.5968377264</v>
      </c>
      <c r="J10" s="195">
        <f>SUM(Inputs!J86,Inputs!J88,Inputs!J90)+Inputs!J140</f>
        <v>3656705.096449065</v>
      </c>
      <c r="K10" s="195">
        <f>SUM(Inputs!K86,Inputs!K88,Inputs!K90)+Inputs!K140</f>
        <v>7053872.0739982976</v>
      </c>
      <c r="L10" s="195">
        <f>SUM(Inputs!L86,Inputs!L88,Inputs!L90)+Inputs!L140</f>
        <v>4120019.0686176717</v>
      </c>
      <c r="M10" s="195">
        <f>SUM(Inputs!M86,Inputs!M88,Inputs!M90)+Inputs!M140</f>
        <v>-2712649.8425945938</v>
      </c>
      <c r="N10" s="195">
        <f>SUM(Inputs!N86,Inputs!N88,Inputs!N90)+Inputs!N140</f>
        <v>2589751.318880152</v>
      </c>
      <c r="O10" s="195">
        <f>SUM(Inputs!O86,Inputs!O88,Inputs!O90)+Inputs!O140</f>
        <v>4565975.1187559413</v>
      </c>
      <c r="P10" s="156">
        <f>SUM(Inputs!P86,Inputs!P88,Inputs!P90)</f>
        <v>3509119.6935038837</v>
      </c>
      <c r="Q10" s="156">
        <f>SUM(Inputs!Q86,Inputs!Q88,Inputs!Q90)</f>
        <v>3780654.4819553969</v>
      </c>
      <c r="R10" s="195">
        <f>SUM(Inputs!R86,Inputs!R88,Inputs!R90)</f>
        <v>4047912.8114302121</v>
      </c>
      <c r="S10" s="195">
        <f>SUM(Inputs!S86,Inputs!S88,Inputs!S90)</f>
        <v>4276083.8794347057</v>
      </c>
      <c r="T10" s="195">
        <f>SUM(Inputs!T86,Inputs!T88,Inputs!T90)</f>
        <v>4501099.5353172775</v>
      </c>
      <c r="U10" s="195">
        <f>SUM(Inputs!U86,Inputs!U88,Inputs!U90)</f>
        <v>4639221.4517819965</v>
      </c>
      <c r="V10" s="195">
        <f>SUM(Inputs!V86,Inputs!V88,Inputs!V90)</f>
        <v>4531498.1778514814</v>
      </c>
      <c r="W10" s="195">
        <f>SUM(Inputs!W86,Inputs!W88,Inputs!W90)</f>
        <v>4550193.1098341392</v>
      </c>
      <c r="X10" s="195">
        <f>SUM(Inputs!X86,Inputs!X88,Inputs!X90)</f>
        <v>4469317.3534799116</v>
      </c>
      <c r="Y10" s="195">
        <f>SUM(Inputs!Y86,Inputs!Y88,Inputs!Y90)</f>
        <v>4297306.4268785361</v>
      </c>
      <c r="Z10" s="195">
        <f>SUM(Inputs!Z86,Inputs!Z88,Inputs!Z90)</f>
        <v>4095201.2195245889</v>
      </c>
      <c r="AA10" s="195">
        <f>SUM(Inputs!AA86,Inputs!AA88,Inputs!AA90)</f>
        <v>3857217.8735014936</v>
      </c>
      <c r="AB10" s="195">
        <f>SUM(Inputs!AB86,Inputs!AB88,Inputs!AB90)</f>
        <v>3656252.6010245373</v>
      </c>
      <c r="AC10" s="195">
        <f>SUM(Inputs!AC86,Inputs!AC88,Inputs!AC90)</f>
        <v>3465432.7489528041</v>
      </c>
      <c r="AD10" s="195">
        <f>SUM(Inputs!AD86,Inputs!AD88,Inputs!AD90)</f>
        <v>3269296.9506875621</v>
      </c>
      <c r="AE10" s="195">
        <f>SUM(Inputs!AE86,Inputs!AE88,Inputs!AE90)</f>
        <v>3167104.4121335973</v>
      </c>
      <c r="AF10" s="195">
        <f>SUM(Inputs!AF86,Inputs!AF88,Inputs!AF90)</f>
        <v>2972864.7554308902</v>
      </c>
      <c r="AG10" s="195">
        <f>SUM(Inputs!AG86,Inputs!AG88,Inputs!AG90)</f>
        <v>2875345.9498725897</v>
      </c>
      <c r="AH10" s="195">
        <f>SUM(Inputs!AH86,Inputs!AH88,Inputs!AH90)</f>
        <v>2774293.3461956158</v>
      </c>
      <c r="AI10" s="195">
        <f>SUM(Inputs!AI86,Inputs!AI88,Inputs!AI90)</f>
        <v>2680194.3452682896</v>
      </c>
      <c r="AJ10" s="195">
        <f>SUM(Inputs!AJ86,Inputs!AJ88,Inputs!AJ90)</f>
        <v>2494846.1806061147</v>
      </c>
      <c r="AK10" s="195">
        <f>SUM(Inputs!AK86,Inputs!AK88,Inputs!AK90)</f>
        <v>2397897.3424863098</v>
      </c>
      <c r="AL10" s="195">
        <f>SUM(Inputs!AL86,Inputs!AL88,Inputs!AL90)</f>
        <v>2305166.2634113729</v>
      </c>
      <c r="AM10" s="195">
        <f>SUM(Inputs!AM86,Inputs!AM88,Inputs!AM90)</f>
        <v>2211067.2624840466</v>
      </c>
      <c r="AN10" s="195">
        <f>SUM(Inputs!AN86,Inputs!AN88,Inputs!AN90)</f>
        <v>2109600.4325846266</v>
      </c>
      <c r="AO10" s="195">
        <f>SUM(Inputs!AO86,Inputs!AO88,Inputs!AO90)</f>
        <v>2016641.3665342918</v>
      </c>
      <c r="AP10" s="195">
        <f>SUM(Inputs!AP86,Inputs!AP88,Inputs!AP90)</f>
        <v>1926874.1181395324</v>
      </c>
      <c r="AQ10" s="195">
        <f>SUM(Inputs!AQ86,Inputs!AQ88,Inputs!AQ90)</f>
        <v>1922770.3525823636</v>
      </c>
      <c r="AR10" s="195">
        <f>SUM(Inputs!AR86,Inputs!AR88,Inputs!AR90)</f>
        <v>1831635.1823352145</v>
      </c>
    </row>
    <row r="11" spans="1:48" ht="13.5" thickBot="1">
      <c r="A11" s="133" t="s">
        <v>60</v>
      </c>
      <c r="D11" s="155"/>
      <c r="E11" s="156">
        <f>SUM(Inputs!E84,Inputs!E87,Inputs!E89,Inputs!E91,Inputs!E92)</f>
        <v>485054.13197872031</v>
      </c>
      <c r="F11" s="195">
        <f>SUM(Inputs!F84,Inputs!F87,Inputs!F89,Inputs!F91,Inputs!F92)</f>
        <v>907299.53115880338</v>
      </c>
      <c r="G11" s="195">
        <f>SUM(Inputs!G84,Inputs!G87,Inputs!G89,Inputs!G91,Inputs!G92)</f>
        <v>1923187.4220036054</v>
      </c>
      <c r="H11" s="156">
        <f>SUM(Inputs!H84,Inputs!H87,Inputs!H89,Inputs!H91,Inputs!H92)+Inputs!H141</f>
        <v>984043.88064654276</v>
      </c>
      <c r="I11" s="195">
        <f>SUM(Inputs!I84,Inputs!I87,Inputs!I89,Inputs!I91,Inputs!I92)+Inputs!I141</f>
        <v>1056773.1340342006</v>
      </c>
      <c r="J11" s="195">
        <f>SUM(Inputs!J84,Inputs!J87,Inputs!J89,Inputs!J91,Inputs!J92)+Inputs!J141</f>
        <v>1371365.7238618857</v>
      </c>
      <c r="K11" s="195">
        <f>SUM(Inputs!K84,Inputs!K87,Inputs!K89,Inputs!K91,Inputs!K92)+Inputs!K141</f>
        <v>1490095.8271706537</v>
      </c>
      <c r="L11" s="195">
        <f>SUM(Inputs!L84,Inputs!L87,Inputs!L89,Inputs!L91,Inputs!L92)+Inputs!L141</f>
        <v>1261869.9252227889</v>
      </c>
      <c r="M11" s="195">
        <f>SUM(Inputs!M84,Inputs!M87,Inputs!M89,Inputs!M91,Inputs!M92)+Inputs!M141</f>
        <v>1101163.9497612733</v>
      </c>
      <c r="N11" s="195">
        <f>SUM(Inputs!N84,Inputs!N87,Inputs!N89,Inputs!N91,Inputs!N92)+Inputs!N141</f>
        <v>1203206.3675097858</v>
      </c>
      <c r="O11" s="195">
        <f>SUM(Inputs!O84,Inputs!O87,Inputs!O89,Inputs!O91,Inputs!O92)+Inputs!O141</f>
        <v>1048416.2896116604</v>
      </c>
      <c r="P11" s="156">
        <f>SUM(Inputs!P84,Inputs!P87,Inputs!P89,Inputs!P91,Inputs!P92)</f>
        <v>1164532.5260240894</v>
      </c>
      <c r="Q11" s="156">
        <f>SUM(Inputs!Q84,Inputs!Q87,Inputs!Q89,Inputs!Q91,Inputs!Q92)</f>
        <v>1250444.1103770402</v>
      </c>
      <c r="R11" s="195">
        <f>SUM(Inputs!R84,Inputs!R87,Inputs!R89,Inputs!R91,Inputs!R92)</f>
        <v>1313314.0520593633</v>
      </c>
      <c r="S11" s="195">
        <f>SUM(Inputs!S84,Inputs!S87,Inputs!S89,Inputs!S91,Inputs!S92)</f>
        <v>1376555.0631457407</v>
      </c>
      <c r="T11" s="195">
        <f>SUM(Inputs!T84,Inputs!T87,Inputs!T89,Inputs!T91,Inputs!T92)</f>
        <v>1427781.0522273181</v>
      </c>
      <c r="U11" s="195">
        <f>SUM(Inputs!U84,Inputs!U87,Inputs!U89,Inputs!U91,Inputs!U92)</f>
        <v>1485218.4269300259</v>
      </c>
      <c r="V11" s="195">
        <f>SUM(Inputs!V84,Inputs!V87,Inputs!V89,Inputs!V91,Inputs!V92)</f>
        <v>1474071.5148297832</v>
      </c>
      <c r="W11" s="195">
        <f>SUM(Inputs!W84,Inputs!W87,Inputs!W89,Inputs!W91,Inputs!W92)</f>
        <v>1509756.6678344496</v>
      </c>
      <c r="X11" s="195">
        <f>SUM(Inputs!X84,Inputs!X87,Inputs!X89,Inputs!X91,Inputs!X92)</f>
        <v>1519949.0245515392</v>
      </c>
      <c r="Y11" s="195">
        <f>SUM(Inputs!Y84,Inputs!Y87,Inputs!Y89,Inputs!Y91,Inputs!Y92)</f>
        <v>1655449.8744528834</v>
      </c>
      <c r="Z11" s="195">
        <f>SUM(Inputs!Z84,Inputs!Z87,Inputs!Z89,Inputs!Z91,Inputs!Z92)</f>
        <v>1774887.9899246478</v>
      </c>
      <c r="AA11" s="195">
        <f>SUM(Inputs!AA84,Inputs!AA87,Inputs!AA89,Inputs!AA91,Inputs!AA92)</f>
        <v>2022070.2474988643</v>
      </c>
      <c r="AB11" s="195">
        <f>SUM(Inputs!AB84,Inputs!AB87,Inputs!AB89,Inputs!AB91,Inputs!AB92)</f>
        <v>2322683.1344627086</v>
      </c>
      <c r="AC11" s="195">
        <f>SUM(Inputs!AC84,Inputs!AC87,Inputs!AC89,Inputs!AC91,Inputs!AC92)</f>
        <v>2192557.29240209</v>
      </c>
      <c r="AD11" s="195">
        <f>SUM(Inputs!AD84,Inputs!AD87,Inputs!AD89,Inputs!AD91,Inputs!AD92)</f>
        <v>2349928.6763949664</v>
      </c>
      <c r="AE11" s="195">
        <f>SUM(Inputs!AE84,Inputs!AE87,Inputs!AE89,Inputs!AE91,Inputs!AE92)</f>
        <v>2527812.3476213631</v>
      </c>
      <c r="AF11" s="195">
        <f>SUM(Inputs!AF84,Inputs!AF87,Inputs!AF89,Inputs!AF91,Inputs!AF92)</f>
        <v>2273020.5350050968</v>
      </c>
      <c r="AG11" s="195">
        <f>SUM(Inputs!AG84,Inputs!AG87,Inputs!AG89,Inputs!AG91,Inputs!AG92)</f>
        <v>2326350.6484764768</v>
      </c>
      <c r="AH11" s="195">
        <f>SUM(Inputs!AH84,Inputs!AH87,Inputs!AH89,Inputs!AH91,Inputs!AH92)</f>
        <v>2175601.4697617982</v>
      </c>
      <c r="AI11" s="195">
        <f>SUM(Inputs!AI84,Inputs!AI87,Inputs!AI89,Inputs!AI91,Inputs!AI92)</f>
        <v>2011871.9497628536</v>
      </c>
      <c r="AJ11" s="195">
        <f>SUM(Inputs!AJ84,Inputs!AJ87,Inputs!AJ89,Inputs!AJ91,Inputs!AJ92)</f>
        <v>2212739.9235556819</v>
      </c>
      <c r="AK11" s="195">
        <f>SUM(Inputs!AK84,Inputs!AK87,Inputs!AK89,Inputs!AK91,Inputs!AK92)</f>
        <v>2272174.5253578587</v>
      </c>
      <c r="AL11" s="195">
        <f>SUM(Inputs!AL84,Inputs!AL87,Inputs!AL89,Inputs!AL91,Inputs!AL92)</f>
        <v>2310075.5810670918</v>
      </c>
      <c r="AM11" s="195">
        <f>SUM(Inputs!AM84,Inputs!AM87,Inputs!AM89,Inputs!AM91,Inputs!AM92)</f>
        <v>2354445.3668935737</v>
      </c>
      <c r="AN11" s="195">
        <f>SUM(Inputs!AN84,Inputs!AN87,Inputs!AN89,Inputs!AN91,Inputs!AN92)</f>
        <v>2388957.4414725201</v>
      </c>
      <c r="AO11" s="195">
        <f>SUM(Inputs!AO84,Inputs!AO87,Inputs!AO89,Inputs!AO91,Inputs!AO92)</f>
        <v>2413723.3451277753</v>
      </c>
      <c r="AP11" s="195">
        <f>SUM(Inputs!AP84,Inputs!AP87,Inputs!AP89,Inputs!AP91,Inputs!AP92)</f>
        <v>2305669.0758567546</v>
      </c>
      <c r="AQ11" s="195">
        <f>SUM(Inputs!AQ84,Inputs!AQ87,Inputs!AQ89,Inputs!AQ91,Inputs!AQ92)</f>
        <v>2329814.2026689597</v>
      </c>
      <c r="AR11" s="195">
        <f>SUM(Inputs!AR84,Inputs!AR87,Inputs!AR89,Inputs!AR91,Inputs!AR92)</f>
        <v>2307741.0574697419</v>
      </c>
    </row>
    <row r="12" spans="1:48" ht="13.5" thickBot="1">
      <c r="A12" s="15" t="s">
        <v>50</v>
      </c>
      <c r="D12" s="155"/>
      <c r="E12" s="156">
        <f>Inputs!E93</f>
        <v>414551.89245087898</v>
      </c>
      <c r="F12" s="195">
        <f>Inputs!F93</f>
        <v>72300.806618407441</v>
      </c>
      <c r="G12" s="195">
        <f>Inputs!G93</f>
        <v>794208.89348500513</v>
      </c>
      <c r="H12" s="156">
        <f>Inputs!H93+Inputs!H142</f>
        <v>58886.83448095675</v>
      </c>
      <c r="I12" s="195">
        <f>Inputs!I93+Inputs!I142</f>
        <v>58297.966136147181</v>
      </c>
      <c r="J12" s="195">
        <f>Inputs!J93+Inputs!J142</f>
        <v>-158656.34836370684</v>
      </c>
      <c r="K12" s="195">
        <f>Inputs!K93+Inputs!K142</f>
        <v>57137.836610037855</v>
      </c>
      <c r="L12" s="195">
        <f>Inputs!L93+Inputs!L142</f>
        <v>56566.458243937479</v>
      </c>
      <c r="M12" s="195">
        <f>Inputs!M93+Inputs!M142</f>
        <v>123812.43035786369</v>
      </c>
      <c r="N12" s="195">
        <f>Inputs!N93+Inputs!N142</f>
        <v>23205.603625875567</v>
      </c>
      <c r="O12" s="195">
        <f>Inputs!O93+Inputs!O142</f>
        <v>22150.803461063038</v>
      </c>
      <c r="P12" s="156">
        <f>Inputs!P93</f>
        <v>578567.43176510651</v>
      </c>
      <c r="Q12" s="156">
        <f>Inputs!Q93</f>
        <v>126785.73621678636</v>
      </c>
      <c r="R12" s="195">
        <f>Inputs!R93</f>
        <v>124557.90765920668</v>
      </c>
      <c r="S12" s="195">
        <f>Inputs!S93</f>
        <v>123743.83730304753</v>
      </c>
      <c r="T12" s="195">
        <f>Inputs!T93</f>
        <v>113636.78954164691</v>
      </c>
      <c r="U12" s="195">
        <f>Inputs!U93</f>
        <v>112894.09609509307</v>
      </c>
      <c r="V12" s="195">
        <f>Inputs!V93</f>
        <v>167612.86812603404</v>
      </c>
      <c r="W12" s="195">
        <f>Inputs!W93</f>
        <v>117904.13026195636</v>
      </c>
      <c r="X12" s="195">
        <f>Inputs!X93</f>
        <v>117904.13026195636</v>
      </c>
      <c r="Y12" s="195">
        <f>Inputs!Y93</f>
        <v>117904.13026195636</v>
      </c>
      <c r="Z12" s="195">
        <f>Inputs!Z93</f>
        <v>117904.13026195636</v>
      </c>
      <c r="AA12" s="195">
        <f>Inputs!AA93</f>
        <v>117904.13026195636</v>
      </c>
      <c r="AB12" s="195">
        <f>Inputs!AB93</f>
        <v>167612.86812603404</v>
      </c>
      <c r="AC12" s="195">
        <f>Inputs!AC93</f>
        <v>117904.13026195636</v>
      </c>
      <c r="AD12" s="195">
        <f>Inputs!AD93</f>
        <v>117904.13026195636</v>
      </c>
      <c r="AE12" s="195">
        <f>Inputs!AE93</f>
        <v>117904.13026195636</v>
      </c>
      <c r="AF12" s="195">
        <f>Inputs!AF93</f>
        <v>117904.13026195636</v>
      </c>
      <c r="AG12" s="195">
        <f>Inputs!AG93</f>
        <v>117904.13026195636</v>
      </c>
      <c r="AH12" s="195">
        <f>Inputs!AH93</f>
        <v>167612.86812603404</v>
      </c>
      <c r="AI12" s="195">
        <f>Inputs!AI93</f>
        <v>117904.13026195636</v>
      </c>
      <c r="AJ12" s="195">
        <f>Inputs!AJ93</f>
        <v>117904.13026195636</v>
      </c>
      <c r="AK12" s="195">
        <f>Inputs!AK93</f>
        <v>117904.13026195636</v>
      </c>
      <c r="AL12" s="195">
        <f>Inputs!AL93</f>
        <v>117904.13026195636</v>
      </c>
      <c r="AM12" s="195">
        <f>Inputs!AM93</f>
        <v>117904.13026195636</v>
      </c>
      <c r="AN12" s="195">
        <f>Inputs!AN93</f>
        <v>167612.86812603404</v>
      </c>
      <c r="AO12" s="195">
        <f>Inputs!AO93</f>
        <v>117904.13026195636</v>
      </c>
      <c r="AP12" s="195">
        <f>Inputs!AP93</f>
        <v>117904.13026195636</v>
      </c>
      <c r="AQ12" s="195">
        <f>Inputs!AQ93</f>
        <v>117904.13026195636</v>
      </c>
      <c r="AR12" s="195">
        <f>Inputs!AR93</f>
        <v>117904.13026195636</v>
      </c>
    </row>
    <row r="13" spans="1:48" ht="13.5" thickBot="1">
      <c r="A13" s="133" t="s">
        <v>108</v>
      </c>
      <c r="D13" s="134"/>
      <c r="E13" s="136"/>
      <c r="F13" s="195"/>
      <c r="G13" s="195"/>
      <c r="H13" s="136"/>
      <c r="I13" s="136"/>
      <c r="J13" s="136"/>
      <c r="K13" s="136"/>
      <c r="L13" s="136"/>
      <c r="M13" s="136"/>
      <c r="N13" s="136"/>
      <c r="O13" s="136"/>
      <c r="P13" s="23">
        <f>IF(Inputs!B127=Inputs!B128,Inputs!O127,IF(Inputs!B127=Inputs!B129,Inputs!O127,0))</f>
        <v>0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</row>
    <row r="14" spans="1:48" s="62" customFormat="1" ht="13.5" thickBot="1">
      <c r="A14" s="17" t="s">
        <v>54</v>
      </c>
      <c r="D14" s="10"/>
      <c r="E14" s="18">
        <f>SUM(E9:E13)</f>
        <v>10451105.800988538</v>
      </c>
      <c r="F14" s="137">
        <f t="shared" ref="F14:G14" si="1">SUM(F9:F13)</f>
        <v>13652729.191004099</v>
      </c>
      <c r="G14" s="137">
        <f t="shared" si="1"/>
        <v>13735028.073700849</v>
      </c>
      <c r="H14" s="137">
        <f t="shared" ref="H14:O14" si="2">SUM(H9:H13)</f>
        <v>12114461.220755257</v>
      </c>
      <c r="I14" s="137">
        <f t="shared" si="2"/>
        <v>11213747.415213376</v>
      </c>
      <c r="J14" s="137">
        <f t="shared" si="2"/>
        <v>12937863.069412325</v>
      </c>
      <c r="K14" s="137">
        <f t="shared" si="2"/>
        <v>14963625.472715998</v>
      </c>
      <c r="L14" s="137">
        <f t="shared" si="2"/>
        <v>10789865.15115731</v>
      </c>
      <c r="M14" s="137">
        <f t="shared" si="2"/>
        <v>6627178.7907421738</v>
      </c>
      <c r="N14" s="137">
        <f t="shared" si="2"/>
        <v>10249207.596863655</v>
      </c>
      <c r="O14" s="137">
        <f t="shared" si="2"/>
        <v>11411904.169501439</v>
      </c>
      <c r="P14" s="137">
        <f>SUM(P9:P13)</f>
        <v>17021203.686311979</v>
      </c>
      <c r="Q14" s="137">
        <f>SUM(Q9:Q13)</f>
        <v>14216331.127065741</v>
      </c>
      <c r="R14" s="137">
        <f t="shared" ref="R14:AR14" si="3">SUM(R9:R13)</f>
        <v>14411628.55969137</v>
      </c>
      <c r="S14" s="137">
        <f t="shared" si="3"/>
        <v>14691507.886325754</v>
      </c>
      <c r="T14" s="137">
        <f t="shared" si="3"/>
        <v>15040587.262384515</v>
      </c>
      <c r="U14" s="137">
        <f t="shared" si="3"/>
        <v>15263536.638526972</v>
      </c>
      <c r="V14" s="137">
        <f t="shared" si="3"/>
        <v>13494089.623019325</v>
      </c>
      <c r="W14" s="137">
        <f t="shared" si="3"/>
        <v>12660107.900244489</v>
      </c>
      <c r="X14" s="137">
        <f t="shared" si="3"/>
        <v>12869613.808517333</v>
      </c>
      <c r="Y14" s="137">
        <f t="shared" si="3"/>
        <v>10299121.531919431</v>
      </c>
      <c r="Z14" s="137">
        <f t="shared" si="3"/>
        <v>8046899.9454752347</v>
      </c>
      <c r="AA14" s="137">
        <f t="shared" si="3"/>
        <v>8046777.4951584777</v>
      </c>
      <c r="AB14" s="137">
        <f t="shared" si="3"/>
        <v>8185352.2894158941</v>
      </c>
      <c r="AC14" s="137">
        <f t="shared" si="3"/>
        <v>7805560.0028095627</v>
      </c>
      <c r="AD14" s="137">
        <f t="shared" si="3"/>
        <v>7756672.5771309324</v>
      </c>
      <c r="AE14" s="137">
        <f t="shared" si="3"/>
        <v>7831927.8418165697</v>
      </c>
      <c r="AF14" s="137">
        <f t="shared" si="3"/>
        <v>7372662.4423301937</v>
      </c>
      <c r="AG14" s="137">
        <f t="shared" si="3"/>
        <v>7328344.3161791395</v>
      </c>
      <c r="AH14" s="137">
        <f t="shared" si="3"/>
        <v>7125811.4383598967</v>
      </c>
      <c r="AI14" s="137">
        <f t="shared" si="3"/>
        <v>6817976.0218152367</v>
      </c>
      <c r="AJ14" s="137">
        <f t="shared" si="3"/>
        <v>6824556.1896889312</v>
      </c>
      <c r="AK14" s="137">
        <f t="shared" si="3"/>
        <v>6786079.3594583189</v>
      </c>
      <c r="AL14" s="137">
        <f t="shared" si="3"/>
        <v>6731004.9477629866</v>
      </c>
      <c r="AM14" s="137">
        <f t="shared" si="3"/>
        <v>6680980.5619281139</v>
      </c>
      <c r="AN14" s="137">
        <f t="shared" si="3"/>
        <v>6662017.2547438806</v>
      </c>
      <c r="AO14" s="137">
        <f t="shared" si="3"/>
        <v>6543529.2121617058</v>
      </c>
      <c r="AP14" s="137">
        <f t="shared" si="3"/>
        <v>6343851.6595226703</v>
      </c>
      <c r="AQ14" s="137">
        <f t="shared" si="3"/>
        <v>6370917.70759751</v>
      </c>
      <c r="AR14" s="137">
        <f t="shared" si="3"/>
        <v>6256315.3798998781</v>
      </c>
      <c r="AS14" s="73"/>
      <c r="AT14" s="73"/>
      <c r="AU14" s="73"/>
      <c r="AV14" s="73"/>
    </row>
    <row r="15" spans="1:48">
      <c r="A15" s="66" t="s">
        <v>55</v>
      </c>
      <c r="E15" s="66" t="b">
        <f>ROUND(DAV!E14,0)=ROUND(SUM(Inputs!E83:E94),0)</f>
        <v>1</v>
      </c>
      <c r="F15" s="66" t="b">
        <f>ROUND(DAV!F14,0)=ROUND(SUM(Inputs!F83:F94),0)</f>
        <v>1</v>
      </c>
      <c r="G15" s="66" t="b">
        <f>ROUND(DAV!G14,0)=ROUND(SUM(Inputs!G83:G94),0)</f>
        <v>1</v>
      </c>
      <c r="H15" s="66" t="b">
        <f>ROUND(DAV!H14,0)=ROUND(SUM(Inputs!H83:H94)+SUM(Inputs!H140:H142),0)</f>
        <v>1</v>
      </c>
      <c r="I15" s="66" t="b">
        <f>ROUND(DAV!I14,0)=ROUND(SUM(Inputs!I83:I94)+SUM(Inputs!I140:I142),0)</f>
        <v>1</v>
      </c>
      <c r="J15" s="66" t="b">
        <f>ROUND(DAV!J14,0)=ROUND(SUM(Inputs!J83:J94)+SUM(Inputs!J140:J142),0)</f>
        <v>1</v>
      </c>
      <c r="K15" s="66" t="b">
        <f>ROUND(DAV!K14,0)=ROUND(SUM(Inputs!K83:K94)+SUM(Inputs!K140:K142),0)</f>
        <v>1</v>
      </c>
      <c r="L15" s="66" t="b">
        <f>ROUND(DAV!L14,0)=ROUND(SUM(Inputs!L83:L94)+SUM(Inputs!L140:L142),0)</f>
        <v>1</v>
      </c>
      <c r="M15" s="66" t="b">
        <f>ROUND(DAV!M14,0)=ROUND(SUM(Inputs!M83:M94)+SUM(Inputs!M140:M142),0)</f>
        <v>1</v>
      </c>
      <c r="N15" s="66" t="b">
        <f>ROUND(DAV!N14,0)=ROUND(SUM(Inputs!N83:N94)+SUM(Inputs!N140:N142),0)</f>
        <v>1</v>
      </c>
      <c r="O15" s="66" t="b">
        <f>ROUND(DAV!O14,0)=ROUND(SUM(Inputs!O83:O94)+SUM(Inputs!O140:O142),0)</f>
        <v>1</v>
      </c>
      <c r="P15" s="66" t="b">
        <f>ROUND(DAV!P14,0)=ROUND(SUM(Inputs!P83:P94)+Inputs!O127,0)</f>
        <v>1</v>
      </c>
      <c r="Q15" s="66" t="b">
        <f>ROUND(DAV!Q14,0)=ROUND(SUM(Inputs!Q83:Q94),0)</f>
        <v>1</v>
      </c>
      <c r="R15" s="66" t="b">
        <f>ROUND(DAV!R14,0)=ROUND(SUM(Inputs!R83:R94),0)</f>
        <v>1</v>
      </c>
      <c r="S15" s="66" t="b">
        <f>ROUND(DAV!S14,0)=ROUND(SUM(Inputs!S83:S94),0)</f>
        <v>1</v>
      </c>
      <c r="T15" s="66" t="b">
        <f>ROUND(DAV!T14,0)=ROUND(SUM(Inputs!T83:T94),0)</f>
        <v>1</v>
      </c>
      <c r="U15" s="66" t="b">
        <f>ROUND(DAV!U14,0)=ROUND(SUM(Inputs!U83:U94),0)</f>
        <v>1</v>
      </c>
      <c r="V15" s="66" t="b">
        <f>ROUND(DAV!V14,0)=ROUND(SUM(Inputs!V83:V94),0)</f>
        <v>1</v>
      </c>
      <c r="W15" s="66" t="b">
        <f>ROUND(DAV!W14,0)=ROUND(SUM(Inputs!W83:W94),0)</f>
        <v>1</v>
      </c>
      <c r="X15" s="66" t="b">
        <f>ROUND(DAV!X14,0)=ROUND(SUM(Inputs!X83:X94),0)</f>
        <v>1</v>
      </c>
      <c r="Y15" s="66" t="b">
        <f>ROUND(DAV!Y14,0)=ROUND(SUM(Inputs!Y83:Y94),0)</f>
        <v>1</v>
      </c>
      <c r="Z15" s="66" t="b">
        <f>ROUND(DAV!Z14,0)=ROUND(SUM(Inputs!Z83:Z94),0)</f>
        <v>1</v>
      </c>
      <c r="AA15" s="66" t="b">
        <f>ROUND(DAV!AA14,0)=ROUND(SUM(Inputs!AA83:AA94),0)</f>
        <v>1</v>
      </c>
      <c r="AB15" s="66" t="b">
        <f>ROUND(DAV!AB14,0)=ROUND(SUM(Inputs!AB83:AB94),0)</f>
        <v>1</v>
      </c>
      <c r="AC15" s="66" t="b">
        <f>ROUND(DAV!AC14,0)=ROUND(SUM(Inputs!AC83:AC94),0)</f>
        <v>1</v>
      </c>
      <c r="AD15" s="66" t="b">
        <f>ROUND(DAV!AD14,0)=ROUND(SUM(Inputs!AD83:AD94),0)</f>
        <v>1</v>
      </c>
      <c r="AE15" s="66" t="b">
        <f>ROUND(DAV!AE14,0)=ROUND(SUM(Inputs!AE83:AE94),0)</f>
        <v>1</v>
      </c>
      <c r="AF15" s="66" t="b">
        <f>ROUND(DAV!AF14,0)=ROUND(SUM(Inputs!AF83:AF94),0)</f>
        <v>1</v>
      </c>
      <c r="AG15" s="66" t="b">
        <f>ROUND(DAV!AG14,0)=ROUND(SUM(Inputs!AG83:AG94),0)</f>
        <v>1</v>
      </c>
      <c r="AH15" s="66" t="b">
        <f>ROUND(DAV!AH14,0)=ROUND(SUM(Inputs!AH83:AH94),0)</f>
        <v>1</v>
      </c>
      <c r="AI15" s="66" t="b">
        <f>ROUND(DAV!AI14,0)=ROUND(SUM(Inputs!AI83:AI94),0)</f>
        <v>1</v>
      </c>
      <c r="AJ15" s="66" t="b">
        <f>ROUND(DAV!AJ14,0)=ROUND(SUM(Inputs!AJ83:AJ94),0)</f>
        <v>1</v>
      </c>
      <c r="AK15" s="66" t="b">
        <f>ROUND(DAV!AK14,0)=ROUND(SUM(Inputs!AK83:AK94),0)</f>
        <v>1</v>
      </c>
      <c r="AL15" s="66" t="b">
        <f>ROUND(DAV!AL14,0)=ROUND(SUM(Inputs!AL83:AL94),0)</f>
        <v>1</v>
      </c>
      <c r="AM15" s="66" t="b">
        <f>ROUND(DAV!AM14,0)=ROUND(SUM(Inputs!AM83:AM94),0)</f>
        <v>1</v>
      </c>
      <c r="AN15" s="66" t="b">
        <f>ROUND(DAV!AN14,0)=ROUND(SUM(Inputs!AN83:AN94),0)</f>
        <v>1</v>
      </c>
      <c r="AO15" s="66" t="b">
        <f>ROUND(DAV!AO14,0)=ROUND(SUM(Inputs!AO83:AO94),0)</f>
        <v>1</v>
      </c>
      <c r="AP15" s="66" t="b">
        <f>ROUND(DAV!AP14,0)=ROUND(SUM(Inputs!AP83:AP94),0)</f>
        <v>1</v>
      </c>
      <c r="AQ15" s="66" t="b">
        <f>ROUND(DAV!AQ14,0)=ROUND(SUM(Inputs!AQ83:AQ94),0)</f>
        <v>1</v>
      </c>
      <c r="AR15" s="66" t="b">
        <f>ROUND(DAV!AR14,0)=ROUND(SUM(Inputs!AR83:AR94),0)</f>
        <v>1</v>
      </c>
      <c r="AS15" s="319"/>
      <c r="AT15" s="319"/>
      <c r="AU15" s="319"/>
      <c r="AV15" s="319"/>
    </row>
    <row r="17" spans="1:48" ht="13.5" thickBot="1">
      <c r="A17" s="83"/>
      <c r="B17" s="85"/>
      <c r="C17" s="7"/>
      <c r="D17" s="7"/>
      <c r="E17" s="87"/>
      <c r="F17" s="87"/>
      <c r="G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</row>
    <row r="18" spans="1:48" ht="19.5" thickBot="1">
      <c r="A18" s="53" t="s">
        <v>56</v>
      </c>
      <c r="C18" s="5" t="str">
        <f>[8]Inputs!B50</f>
        <v>Mains</v>
      </c>
      <c r="D18" s="86">
        <f>Inputs!D132</f>
        <v>1845762.7935014917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</row>
    <row r="19" spans="1:48" ht="13.5" thickBot="1">
      <c r="C19" s="5" t="str">
        <f>[8]Inputs!B51</f>
        <v>Other Capex</v>
      </c>
      <c r="D19" s="86">
        <f>Inputs!D133</f>
        <v>449375.3050672182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</row>
    <row r="20" spans="1:48" ht="13.5" thickBot="1">
      <c r="C20" s="10"/>
      <c r="D20" s="45">
        <f>SUM(D17:D19)</f>
        <v>2295138.09856871</v>
      </c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</row>
    <row r="21" spans="1:48" ht="13.5" thickBot="1">
      <c r="A21" s="83"/>
      <c r="B21" s="85"/>
      <c r="C21" s="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</row>
    <row r="22" spans="1:48" ht="19.5" thickBot="1">
      <c r="A22" s="53" t="s">
        <v>57</v>
      </c>
      <c r="C22" s="5" t="s">
        <v>58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</row>
    <row r="23" spans="1:48" ht="13.5" thickBot="1">
      <c r="A23" s="15" t="s">
        <v>59</v>
      </c>
      <c r="C23" s="88">
        <v>40</v>
      </c>
      <c r="D23" s="10"/>
      <c r="E23" s="16">
        <f>(($D$18+$D$19)/$C$23)</f>
        <v>57378.452464217749</v>
      </c>
      <c r="F23" s="16">
        <f>(($D$18+$D$19)/$C$23)</f>
        <v>57378.452464217749</v>
      </c>
      <c r="G23" s="16">
        <f t="shared" ref="G23:AR23" si="4">(($D$18+$D$19)/$C$23)</f>
        <v>57378.452464217749</v>
      </c>
      <c r="H23" s="16">
        <f t="shared" si="4"/>
        <v>57378.452464217749</v>
      </c>
      <c r="I23" s="16">
        <f t="shared" si="4"/>
        <v>57378.452464217749</v>
      </c>
      <c r="J23" s="16">
        <f t="shared" si="4"/>
        <v>57378.452464217749</v>
      </c>
      <c r="K23" s="16">
        <f t="shared" si="4"/>
        <v>57378.452464217749</v>
      </c>
      <c r="L23" s="16">
        <f t="shared" si="4"/>
        <v>57378.452464217749</v>
      </c>
      <c r="M23" s="16">
        <f t="shared" si="4"/>
        <v>57378.452464217749</v>
      </c>
      <c r="N23" s="16">
        <f t="shared" si="4"/>
        <v>57378.452464217749</v>
      </c>
      <c r="O23" s="16">
        <f t="shared" si="4"/>
        <v>57378.452464217749</v>
      </c>
      <c r="P23" s="16">
        <f t="shared" si="4"/>
        <v>57378.452464217749</v>
      </c>
      <c r="Q23" s="16">
        <f t="shared" si="4"/>
        <v>57378.452464217749</v>
      </c>
      <c r="R23" s="16">
        <f t="shared" si="4"/>
        <v>57378.452464217749</v>
      </c>
      <c r="S23" s="16">
        <f t="shared" si="4"/>
        <v>57378.452464217749</v>
      </c>
      <c r="T23" s="16">
        <f t="shared" si="4"/>
        <v>57378.452464217749</v>
      </c>
      <c r="U23" s="16">
        <f t="shared" si="4"/>
        <v>57378.452464217749</v>
      </c>
      <c r="V23" s="16">
        <f t="shared" si="4"/>
        <v>57378.452464217749</v>
      </c>
      <c r="W23" s="16">
        <f t="shared" si="4"/>
        <v>57378.452464217749</v>
      </c>
      <c r="X23" s="16">
        <f t="shared" si="4"/>
        <v>57378.452464217749</v>
      </c>
      <c r="Y23" s="16">
        <f t="shared" si="4"/>
        <v>57378.452464217749</v>
      </c>
      <c r="Z23" s="16">
        <f t="shared" si="4"/>
        <v>57378.452464217749</v>
      </c>
      <c r="AA23" s="16">
        <f t="shared" si="4"/>
        <v>57378.452464217749</v>
      </c>
      <c r="AB23" s="16">
        <f t="shared" si="4"/>
        <v>57378.452464217749</v>
      </c>
      <c r="AC23" s="16">
        <f t="shared" si="4"/>
        <v>57378.452464217749</v>
      </c>
      <c r="AD23" s="16">
        <f t="shared" si="4"/>
        <v>57378.452464217749</v>
      </c>
      <c r="AE23" s="16">
        <f t="shared" si="4"/>
        <v>57378.452464217749</v>
      </c>
      <c r="AF23" s="16">
        <f t="shared" si="4"/>
        <v>57378.452464217749</v>
      </c>
      <c r="AG23" s="16">
        <f t="shared" si="4"/>
        <v>57378.452464217749</v>
      </c>
      <c r="AH23" s="16">
        <f t="shared" si="4"/>
        <v>57378.452464217749</v>
      </c>
      <c r="AI23" s="136">
        <f t="shared" si="4"/>
        <v>57378.452464217749</v>
      </c>
      <c r="AJ23" s="136">
        <f t="shared" si="4"/>
        <v>57378.452464217749</v>
      </c>
      <c r="AK23" s="136">
        <f t="shared" si="4"/>
        <v>57378.452464217749</v>
      </c>
      <c r="AL23" s="136">
        <f t="shared" si="4"/>
        <v>57378.452464217749</v>
      </c>
      <c r="AM23" s="136">
        <f t="shared" si="4"/>
        <v>57378.452464217749</v>
      </c>
      <c r="AN23" s="136">
        <f t="shared" si="4"/>
        <v>57378.452464217749</v>
      </c>
      <c r="AO23" s="136">
        <f t="shared" si="4"/>
        <v>57378.452464217749</v>
      </c>
      <c r="AP23" s="136">
        <f t="shared" si="4"/>
        <v>57378.452464217749</v>
      </c>
      <c r="AQ23" s="136">
        <f t="shared" si="4"/>
        <v>57378.452464217749</v>
      </c>
      <c r="AR23" s="136">
        <f t="shared" si="4"/>
        <v>57378.452464217749</v>
      </c>
    </row>
    <row r="24" spans="1:48" ht="13.5" thickBot="1">
      <c r="A24" s="15" t="s">
        <v>49</v>
      </c>
      <c r="C24" s="88">
        <v>40</v>
      </c>
      <c r="D24" s="10"/>
      <c r="E24" s="16">
        <f>(SUM($D$9:E9)/$C$24)</f>
        <v>229096.29199095481</v>
      </c>
      <c r="F24" s="16">
        <f>(SUM($D$9:F9)/$C$24)</f>
        <v>528554.242963447</v>
      </c>
      <c r="G24" s="16">
        <f>(SUM($D$9:G9)/$C$24)</f>
        <v>762043.07532712852</v>
      </c>
      <c r="H24" s="16">
        <f>(SUM($D$9:H9)/$C$24)</f>
        <v>1054591.4229984521</v>
      </c>
      <c r="I24" s="16">
        <f>(SUM($D$9:I9)/$C$24)</f>
        <v>1339874.3457954708</v>
      </c>
      <c r="J24" s="16">
        <f>(SUM($D$9:J9)/$C$24)</f>
        <v>1541585.5607320978</v>
      </c>
      <c r="K24" s="16">
        <f>(SUM($D$9:K9)/$C$24)</f>
        <v>1700648.5541055233</v>
      </c>
      <c r="L24" s="16">
        <f>(SUM($D$9:L9)/$C$24)</f>
        <v>1834433.7965823461</v>
      </c>
      <c r="M24" s="16">
        <f>(SUM($D$9:M9)/$C$24)</f>
        <v>2037305.1029127866</v>
      </c>
      <c r="N24" s="16">
        <f>(SUM($D$9:N9)/$C$24)</f>
        <v>2198131.2105839825</v>
      </c>
      <c r="O24" s="16">
        <f>(SUM($D$9:O9)/$C$24)</f>
        <v>2342515.259525802</v>
      </c>
      <c r="P24" s="16">
        <f>(SUM($D$9:P9)/$C$24)</f>
        <v>2636739.8604012742</v>
      </c>
      <c r="Q24" s="16">
        <f>(SUM($D$9:Q9)/$C$24)</f>
        <v>2863201.030364187</v>
      </c>
      <c r="R24" s="16">
        <f>(SUM($D$9:R9)/$C$24)</f>
        <v>3086347.1250777515</v>
      </c>
      <c r="S24" s="16">
        <f>(SUM($D$9:S9)/$C$24)</f>
        <v>3309225.2527388083</v>
      </c>
      <c r="T24" s="16">
        <f>(SUM($D$9:T9)/$C$24)</f>
        <v>3534176.9998712651</v>
      </c>
      <c r="U24" s="16">
        <f>(SUM($D$9:U9)/$C$24)</f>
        <v>3759832.0664642616</v>
      </c>
      <c r="V24" s="16">
        <f>(SUM($D$9:V9)/$C$24)</f>
        <v>3942854.7430195622</v>
      </c>
      <c r="W24" s="16">
        <f>(SUM($D$9:W9)/$C$24)</f>
        <v>4104911.0928274109</v>
      </c>
      <c r="X24" s="16">
        <f>(SUM($D$9:X9)/$C$24)</f>
        <v>4273972.1753330091</v>
      </c>
      <c r="Y24" s="16">
        <f>(SUM($D$9:Y9)/$C$24)</f>
        <v>4379683.7028411608</v>
      </c>
      <c r="Z24" s="16">
        <f>(SUM($D$9:Z9)/$C$24)</f>
        <v>4431156.3679852616</v>
      </c>
      <c r="AA24" s="16">
        <f>(SUM($D$9:AA9)/$C$24)</f>
        <v>4482395.999082665</v>
      </c>
      <c r="AB24" s="16">
        <f>(SUM($D$9:AB9)/$C$24)</f>
        <v>4533366.0912277307</v>
      </c>
      <c r="AC24" s="16">
        <f>(SUM($D$9:AC9)/$C$24)</f>
        <v>4584107.7370075481</v>
      </c>
      <c r="AD24" s="16">
        <f>(SUM($D$9:AD9)/$C$24)</f>
        <v>4634596.3075022092</v>
      </c>
      <c r="AE24" s="16">
        <f>(SUM($D$9:AE9)/$C$24)</f>
        <v>4685073.9812972005</v>
      </c>
      <c r="AF24" s="16">
        <f>(SUM($D$9:AF9)/$C$24)</f>
        <v>4735295.8068380076</v>
      </c>
      <c r="AG24" s="16">
        <f>(SUM($D$9:AG9)/$C$24)</f>
        <v>4785514.3965272103</v>
      </c>
      <c r="AH24" s="16">
        <f>(SUM($D$9:AH9)/$C$24)</f>
        <v>4835721.9903841214</v>
      </c>
      <c r="AI24" s="136">
        <f>(SUM($D$9:AI9)/$C$24)</f>
        <v>4885922.1302971747</v>
      </c>
      <c r="AJ24" s="136">
        <f>(SUM($D$9:AJ9)/$C$24)</f>
        <v>4935898.7791788038</v>
      </c>
      <c r="AK24" s="136">
        <f>(SUM($D$9:AK9)/$C$24)</f>
        <v>4985851.3632126087</v>
      </c>
      <c r="AL24" s="136">
        <f>(SUM($D$9:AL9)/$C$24)</f>
        <v>5035797.8375381725</v>
      </c>
      <c r="AM24" s="136">
        <f>(SUM($D$9:AM9)/$C$24)</f>
        <v>5085736.9325953852</v>
      </c>
      <c r="AN24" s="136">
        <f>(SUM($D$9:AN9)/$C$24)</f>
        <v>5135633.0954094026</v>
      </c>
      <c r="AO24" s="136">
        <f>(SUM($D$9:AO9)/$C$24)</f>
        <v>5185514.6046653446</v>
      </c>
      <c r="AP24" s="136">
        <f>(SUM($D$9:AP9)/$C$24)</f>
        <v>5235349.7130469549</v>
      </c>
      <c r="AQ24" s="136">
        <f>(SUM($D$9:AQ9)/$C$24)</f>
        <v>5285360.4385990612</v>
      </c>
      <c r="AR24" s="136">
        <f>(SUM($D$9:AR9)/$C$24)</f>
        <v>5335336.3138448857</v>
      </c>
    </row>
    <row r="25" spans="1:48" ht="13.5" thickBot="1">
      <c r="A25" s="15" t="s">
        <v>26</v>
      </c>
      <c r="C25" s="88">
        <v>40</v>
      </c>
      <c r="D25" s="10"/>
      <c r="E25" s="16">
        <f>SUM($D$10:E10)/$C$25</f>
        <v>9691.202423018678</v>
      </c>
      <c r="F25" s="16">
        <f>SUM($D$10:F10)/$C$25</f>
        <v>27061.472781198721</v>
      </c>
      <c r="G25" s="16">
        <f>SUM($D$10:G10)/$C$25</f>
        <v>69013.434372823249</v>
      </c>
      <c r="H25" s="16">
        <f>SUM($D$10:H10)/$C$25</f>
        <v>53253.349342193651</v>
      </c>
      <c r="I25" s="16">
        <f>SUM($D$10:I10)/$C$25</f>
        <v>20437.334421250493</v>
      </c>
      <c r="J25" s="16">
        <f>SUM($D$10:J10)/$C$25</f>
        <v>111854.9618324771</v>
      </c>
      <c r="K25" s="16">
        <f>SUM($D$10:K10)/$C$25</f>
        <v>288201.76368243451</v>
      </c>
      <c r="L25" s="16">
        <f>SUM($D$10:L10)/$C$25</f>
        <v>391202.2403978763</v>
      </c>
      <c r="M25" s="16">
        <f>SUM($D$10:M10)/$C$25</f>
        <v>323385.99433301145</v>
      </c>
      <c r="N25" s="16">
        <f>SUM($D$10:N10)/$C$25</f>
        <v>388129.77730501525</v>
      </c>
      <c r="O25" s="16">
        <f>SUM($D$10:O10)/$C$25</f>
        <v>502279.15527391376</v>
      </c>
      <c r="P25" s="16">
        <f>SUM($D$10:P10)/$C$25</f>
        <v>590007.14761151082</v>
      </c>
      <c r="Q25" s="16">
        <f>SUM($D$10:Q10)/$C$25</f>
        <v>684523.50966039579</v>
      </c>
      <c r="R25" s="16">
        <f>SUM($D$10:R10)/$C$25</f>
        <v>785721.32994615112</v>
      </c>
      <c r="S25" s="16">
        <f>SUM($D$10:S10)/$C$25</f>
        <v>892623.42693201883</v>
      </c>
      <c r="T25" s="16">
        <f>SUM($D$10:T10)/$C$25</f>
        <v>1005150.9153149507</v>
      </c>
      <c r="U25" s="16">
        <f>SUM($D$10:U10)/$C$25</f>
        <v>1121131.4516095007</v>
      </c>
      <c r="V25" s="16">
        <f>SUM($D$10:V10)/$C$25</f>
        <v>1234418.9060557878</v>
      </c>
      <c r="W25" s="16">
        <f>SUM($D$10:W10)/$C$25</f>
        <v>1348173.7338016413</v>
      </c>
      <c r="X25" s="16">
        <f>SUM($D$10:X10)/$C$25</f>
        <v>1459906.6676386392</v>
      </c>
      <c r="Y25" s="16">
        <f>SUM($D$10:Y10)/$C$25</f>
        <v>1567339.3283106026</v>
      </c>
      <c r="Z25" s="16">
        <f>SUM($D$10:Z10)/$C$25</f>
        <v>1669719.3587987174</v>
      </c>
      <c r="AA25" s="16">
        <f>SUM($D$10:AA10)/$C$25</f>
        <v>1766149.8056362546</v>
      </c>
      <c r="AB25" s="16">
        <f>SUM($D$10:AB10)/$C$25</f>
        <v>1857556.1206618682</v>
      </c>
      <c r="AC25" s="16">
        <f>SUM($D$10:AC10)/$C$25</f>
        <v>1944191.9393856884</v>
      </c>
      <c r="AD25" s="16">
        <f>SUM($D$10:AD10)/$C$25</f>
        <v>2025924.3631528772</v>
      </c>
      <c r="AE25" s="16">
        <f>SUM($D$10:AE10)/$C$25</f>
        <v>2105101.9734562174</v>
      </c>
      <c r="AF25" s="16">
        <f>SUM($D$10:AF10)/$C$25</f>
        <v>2179423.5923419897</v>
      </c>
      <c r="AG25" s="16">
        <f>SUM($D$10:AG10)/$C$25</f>
        <v>2251307.2410888043</v>
      </c>
      <c r="AH25" s="16">
        <f>SUM($D$10:AH10)/$C$25</f>
        <v>2320664.5747436946</v>
      </c>
      <c r="AI25" s="136">
        <f>SUM($D$10:AI10)/$C$25</f>
        <v>2387669.4333754024</v>
      </c>
      <c r="AJ25" s="136">
        <f>SUM($D$10:AJ10)/$C$25</f>
        <v>2450040.5878905552</v>
      </c>
      <c r="AK25" s="136">
        <f>SUM($D$10:AK10)/$C$25</f>
        <v>2509988.0214527128</v>
      </c>
      <c r="AL25" s="136">
        <f>SUM($D$10:AL10)/$C$25</f>
        <v>2567617.1780379969</v>
      </c>
      <c r="AM25" s="136">
        <f>SUM($D$10:AM10)/$C$25</f>
        <v>2622893.8596000979</v>
      </c>
      <c r="AN25" s="136">
        <f>SUM($D$10:AN10)/$C$25</f>
        <v>2675633.8704147139</v>
      </c>
      <c r="AO25" s="136">
        <f>SUM($D$10:AO10)/$C$25</f>
        <v>2726049.9045780711</v>
      </c>
      <c r="AP25" s="136">
        <f>SUM($D$10:AP10)/$C$25</f>
        <v>2774221.7575315596</v>
      </c>
      <c r="AQ25" s="136">
        <f>SUM($D$10:AQ10)/$C$25</f>
        <v>2822291.0163461184</v>
      </c>
      <c r="AR25" s="136">
        <f>SUM($D$10:AR10)/$C$25</f>
        <v>2868081.8959044991</v>
      </c>
    </row>
    <row r="26" spans="1:48" ht="13.5" thickBot="1">
      <c r="A26" s="15" t="s">
        <v>60</v>
      </c>
      <c r="C26" s="88">
        <v>15</v>
      </c>
      <c r="D26" s="10"/>
      <c r="E26" s="16">
        <f>SUM($E$11:E11)/$C$26</f>
        <v>32336.942131914686</v>
      </c>
      <c r="F26" s="16">
        <f>SUM($E$11:F11)/$C$26</f>
        <v>92823.577542501574</v>
      </c>
      <c r="G26" s="16">
        <f>SUM($E$11:G11)/$C$26</f>
        <v>221036.07234274191</v>
      </c>
      <c r="H26" s="16">
        <f>SUM($E$11:H11)/$C$26</f>
        <v>286638.99771917809</v>
      </c>
      <c r="I26" s="16">
        <f>SUM($E$11:I11)/$C$26</f>
        <v>357090.5399881248</v>
      </c>
      <c r="J26" s="16">
        <f>SUM($E$11:J11)/$C$26</f>
        <v>448514.92157891713</v>
      </c>
      <c r="K26" s="16">
        <f>SUM($E$11:K11)/$C$26</f>
        <v>547854.64339029405</v>
      </c>
      <c r="L26" s="16">
        <f>SUM($E$11:L11)/$C$26</f>
        <v>631979.3050718134</v>
      </c>
      <c r="M26" s="16">
        <f>SUM($E$11:M11)/$C$26</f>
        <v>705390.2350558982</v>
      </c>
      <c r="N26" s="16">
        <f>SUM($E$11:N11)/$C$26</f>
        <v>785603.99288988404</v>
      </c>
      <c r="O26" s="16">
        <f>SUM($E$11:O11)/$C$26</f>
        <v>855498.41219732794</v>
      </c>
      <c r="P26" s="16">
        <f>SUM($E$11:P11)/$C$26</f>
        <v>933133.91393226734</v>
      </c>
      <c r="Q26" s="16">
        <f>SUM($E$11:Q11)/$C$26</f>
        <v>1016496.85462407</v>
      </c>
      <c r="R26" s="16">
        <f>SUM($E$11:R11)/$C$26</f>
        <v>1104051.1247613609</v>
      </c>
      <c r="S26" s="16">
        <f t="shared" ref="S26:AH26" si="5">SUM(E11:S11)/$C$26</f>
        <v>1195821.4623044103</v>
      </c>
      <c r="T26" s="16">
        <f t="shared" si="5"/>
        <v>1258669.9236543169</v>
      </c>
      <c r="U26" s="16">
        <f t="shared" si="5"/>
        <v>1297197.8500390649</v>
      </c>
      <c r="V26" s="16">
        <f t="shared" si="5"/>
        <v>1267256.7895608102</v>
      </c>
      <c r="W26" s="16">
        <f t="shared" si="5"/>
        <v>1302304.3087066705</v>
      </c>
      <c r="X26" s="16">
        <f t="shared" si="5"/>
        <v>1333182.7014078267</v>
      </c>
      <c r="Y26" s="16">
        <f t="shared" si="5"/>
        <v>1352121.6447805599</v>
      </c>
      <c r="Z26" s="16">
        <f t="shared" si="5"/>
        <v>1371107.7889641593</v>
      </c>
      <c r="AA26" s="16">
        <f t="shared" si="5"/>
        <v>1421787.8104492307</v>
      </c>
      <c r="AB26" s="16">
        <f t="shared" si="5"/>
        <v>1503222.4227626596</v>
      </c>
      <c r="AC26" s="16">
        <f t="shared" si="5"/>
        <v>1569179.1510888136</v>
      </c>
      <c r="AD26" s="16">
        <f t="shared" si="5"/>
        <v>1655946.6435410338</v>
      </c>
      <c r="AE26" s="16">
        <f t="shared" si="5"/>
        <v>1746831.9649808521</v>
      </c>
      <c r="AF26" s="16">
        <f t="shared" si="5"/>
        <v>1815003.7266227226</v>
      </c>
      <c r="AG26" s="16">
        <f t="shared" si="5"/>
        <v>1882539.4997171969</v>
      </c>
      <c r="AH26" s="16">
        <f t="shared" si="5"/>
        <v>1935809.2601582671</v>
      </c>
      <c r="AI26" s="136">
        <f t="shared" ref="AI26" si="6">SUM(U11:AI11)/$C$26</f>
        <v>1974748.6533273035</v>
      </c>
      <c r="AJ26" s="136">
        <f t="shared" ref="AJ26" si="7">SUM(V11:AJ11)/$C$26</f>
        <v>2023250.0864356805</v>
      </c>
      <c r="AK26" s="136">
        <f t="shared" ref="AK26" si="8">SUM(W11:AK11)/$C$26</f>
        <v>2076456.9538042187</v>
      </c>
      <c r="AL26" s="136">
        <f t="shared" ref="AL26" si="9">SUM(X11:AL11)/$C$26</f>
        <v>2129811.5480197282</v>
      </c>
      <c r="AM26" s="136">
        <f t="shared" ref="AM26" si="10">SUM(Y11:AM11)/$C$26</f>
        <v>2185444.637509197</v>
      </c>
      <c r="AN26" s="136">
        <f t="shared" ref="AN26" si="11">SUM(Z11:AN11)/$C$26</f>
        <v>2234345.1419771728</v>
      </c>
      <c r="AO26" s="136">
        <f t="shared" ref="AO26" si="12">SUM(AA11:AO11)/$C$26</f>
        <v>2276934.1656573811</v>
      </c>
      <c r="AP26" s="136">
        <f t="shared" ref="AP26" si="13">SUM(AB11:AP11)/$C$26</f>
        <v>2295840.7542145741</v>
      </c>
      <c r="AQ26" s="136">
        <f t="shared" ref="AQ26" si="14">SUM(AC11:AQ11)/$C$26</f>
        <v>2296316.1587616573</v>
      </c>
      <c r="AR26" s="136">
        <f t="shared" ref="AR26" si="15">SUM(AD11:AR11)/$C$26</f>
        <v>2303995.0764328344</v>
      </c>
    </row>
    <row r="27" spans="1:48" ht="13.5" thickBot="1">
      <c r="A27" s="15" t="s">
        <v>50</v>
      </c>
      <c r="C27" s="88">
        <v>5</v>
      </c>
      <c r="D27" s="117"/>
      <c r="E27" s="16">
        <f>SUM($E$12:E12)/$C$27</f>
        <v>82910.37849017579</v>
      </c>
      <c r="F27" s="16">
        <f>SUM($E$12:F12)/$C$27</f>
        <v>97370.539813857278</v>
      </c>
      <c r="G27" s="16">
        <f>SUM($E$12:G12)/$C$27</f>
        <v>256212.31851085828</v>
      </c>
      <c r="H27" s="16">
        <f>SUM($E$12:H12)/$C$27</f>
        <v>267989.6854070496</v>
      </c>
      <c r="I27" s="16">
        <f t="shared" ref="I27:AH27" si="16">SUM(E12:I12)/$C$27</f>
        <v>279649.27863427909</v>
      </c>
      <c r="J27" s="16">
        <f t="shared" si="16"/>
        <v>165007.63047136195</v>
      </c>
      <c r="K27" s="16">
        <f t="shared" si="16"/>
        <v>161975.036469688</v>
      </c>
      <c r="L27" s="16">
        <f t="shared" si="16"/>
        <v>14446.549421474483</v>
      </c>
      <c r="M27" s="16">
        <f t="shared" si="16"/>
        <v>27431.66859685587</v>
      </c>
      <c r="N27" s="16">
        <f t="shared" si="16"/>
        <v>20413.196094801551</v>
      </c>
      <c r="O27" s="16">
        <f t="shared" si="16"/>
        <v>56574.626459755527</v>
      </c>
      <c r="P27" s="16">
        <f t="shared" si="16"/>
        <v>160860.54549076926</v>
      </c>
      <c r="Q27" s="16">
        <f t="shared" si="16"/>
        <v>174904.40108533902</v>
      </c>
      <c r="R27" s="16">
        <f t="shared" si="16"/>
        <v>175053.49654560763</v>
      </c>
      <c r="S27" s="16">
        <f t="shared" si="16"/>
        <v>195161.14328104202</v>
      </c>
      <c r="T27" s="16">
        <f t="shared" si="16"/>
        <v>213458.34049715879</v>
      </c>
      <c r="U27" s="16">
        <f t="shared" si="16"/>
        <v>120323.67336315611</v>
      </c>
      <c r="V27" s="16">
        <f t="shared" si="16"/>
        <v>128489.09974500565</v>
      </c>
      <c r="W27" s="16">
        <f t="shared" si="16"/>
        <v>127158.34426555558</v>
      </c>
      <c r="X27" s="16">
        <f t="shared" si="16"/>
        <v>125990.40285733735</v>
      </c>
      <c r="Y27" s="16">
        <f t="shared" si="16"/>
        <v>126843.87100139924</v>
      </c>
      <c r="Z27" s="16">
        <f t="shared" si="16"/>
        <v>127845.87783477191</v>
      </c>
      <c r="AA27" s="16">
        <f t="shared" si="16"/>
        <v>117904.13026195636</v>
      </c>
      <c r="AB27" s="16">
        <f t="shared" si="16"/>
        <v>127845.87783477191</v>
      </c>
      <c r="AC27" s="16">
        <f t="shared" si="16"/>
        <v>127845.87783477191</v>
      </c>
      <c r="AD27" s="16">
        <f t="shared" si="16"/>
        <v>127845.87783477191</v>
      </c>
      <c r="AE27" s="16">
        <f t="shared" si="16"/>
        <v>127845.87783477191</v>
      </c>
      <c r="AF27" s="16">
        <f t="shared" si="16"/>
        <v>127845.87783477191</v>
      </c>
      <c r="AG27" s="16">
        <f t="shared" si="16"/>
        <v>117904.13026195636</v>
      </c>
      <c r="AH27" s="16">
        <f t="shared" si="16"/>
        <v>127845.87783477191</v>
      </c>
      <c r="AI27" s="136">
        <f t="shared" ref="AI27" si="17">SUM(AE12:AI12)/$C$27</f>
        <v>127845.87783477191</v>
      </c>
      <c r="AJ27" s="136">
        <f t="shared" ref="AJ27" si="18">SUM(AF12:AJ12)/$C$27</f>
        <v>127845.87783477191</v>
      </c>
      <c r="AK27" s="136">
        <f t="shared" ref="AK27" si="19">SUM(AG12:AK12)/$C$27</f>
        <v>127845.87783477191</v>
      </c>
      <c r="AL27" s="136">
        <f t="shared" ref="AL27" si="20">SUM(AH12:AL12)/$C$27</f>
        <v>127845.87783477191</v>
      </c>
      <c r="AM27" s="136">
        <f t="shared" ref="AM27" si="21">SUM(AI12:AM12)/$C$27</f>
        <v>117904.13026195636</v>
      </c>
      <c r="AN27" s="136">
        <f t="shared" ref="AN27" si="22">SUM(AJ12:AN12)/$C$27</f>
        <v>127845.87783477191</v>
      </c>
      <c r="AO27" s="136">
        <f t="shared" ref="AO27" si="23">SUM(AK12:AO12)/$C$27</f>
        <v>127845.87783477191</v>
      </c>
      <c r="AP27" s="136">
        <f t="shared" ref="AP27" si="24">SUM(AL12:AP12)/$C$27</f>
        <v>127845.87783477191</v>
      </c>
      <c r="AQ27" s="136">
        <f t="shared" ref="AQ27" si="25">SUM(AM12:AQ12)/$C$27</f>
        <v>127845.87783477191</v>
      </c>
      <c r="AR27" s="136">
        <f t="shared" ref="AR27" si="26">SUM(AN12:AR12)/$C$27</f>
        <v>127845.87783477191</v>
      </c>
    </row>
    <row r="28" spans="1:48" ht="13.5" thickBot="1">
      <c r="A28" s="133" t="s">
        <v>108</v>
      </c>
      <c r="C28" s="135">
        <f>IF(D28=D29,19,29)</f>
        <v>19</v>
      </c>
      <c r="D28" s="135" t="s">
        <v>109</v>
      </c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>
        <f>P13/C28</f>
        <v>0</v>
      </c>
      <c r="Q28" s="136">
        <f>P28</f>
        <v>0</v>
      </c>
      <c r="R28" s="136">
        <f t="shared" ref="R28:AH28" si="27">Q28</f>
        <v>0</v>
      </c>
      <c r="S28" s="136">
        <f t="shared" si="27"/>
        <v>0</v>
      </c>
      <c r="T28" s="136">
        <f t="shared" si="27"/>
        <v>0</v>
      </c>
      <c r="U28" s="136">
        <f t="shared" si="27"/>
        <v>0</v>
      </c>
      <c r="V28" s="136">
        <f t="shared" si="27"/>
        <v>0</v>
      </c>
      <c r="W28" s="136">
        <f t="shared" si="27"/>
        <v>0</v>
      </c>
      <c r="X28" s="136">
        <f t="shared" si="27"/>
        <v>0</v>
      </c>
      <c r="Y28" s="136">
        <f t="shared" si="27"/>
        <v>0</v>
      </c>
      <c r="Z28" s="136">
        <f t="shared" si="27"/>
        <v>0</v>
      </c>
      <c r="AA28" s="136">
        <f t="shared" si="27"/>
        <v>0</v>
      </c>
      <c r="AB28" s="136">
        <f t="shared" si="27"/>
        <v>0</v>
      </c>
      <c r="AC28" s="136">
        <f t="shared" si="27"/>
        <v>0</v>
      </c>
      <c r="AD28" s="136">
        <f t="shared" si="27"/>
        <v>0</v>
      </c>
      <c r="AE28" s="136">
        <f t="shared" si="27"/>
        <v>0</v>
      </c>
      <c r="AF28" s="136">
        <f t="shared" si="27"/>
        <v>0</v>
      </c>
      <c r="AG28" s="136">
        <f t="shared" si="27"/>
        <v>0</v>
      </c>
      <c r="AH28" s="136">
        <f t="shared" si="27"/>
        <v>0</v>
      </c>
      <c r="AI28" s="136">
        <f>IF(D28=D29,0,AH28)</f>
        <v>0</v>
      </c>
      <c r="AJ28" s="139">
        <f>IF(E28=E29,0,AI28)</f>
        <v>0</v>
      </c>
      <c r="AK28" s="139">
        <f t="shared" ref="AK28:AR28" si="28">IF(F28=F29,0,AJ28)</f>
        <v>0</v>
      </c>
      <c r="AL28" s="139">
        <f t="shared" si="28"/>
        <v>0</v>
      </c>
      <c r="AM28" s="139">
        <f t="shared" si="28"/>
        <v>0</v>
      </c>
      <c r="AN28" s="139">
        <f t="shared" si="28"/>
        <v>0</v>
      </c>
      <c r="AO28" s="139">
        <f t="shared" si="28"/>
        <v>0</v>
      </c>
      <c r="AP28" s="139">
        <f t="shared" si="28"/>
        <v>0</v>
      </c>
      <c r="AQ28" s="139">
        <f t="shared" si="28"/>
        <v>0</v>
      </c>
      <c r="AR28" s="139">
        <f t="shared" si="28"/>
        <v>0</v>
      </c>
    </row>
    <row r="29" spans="1:48" s="62" customFormat="1" ht="13.5" thickBot="1">
      <c r="A29" s="17" t="s">
        <v>61</v>
      </c>
      <c r="D29" s="142" t="s">
        <v>109</v>
      </c>
      <c r="E29" s="18">
        <f>SUM(E23:E28)</f>
        <v>411413.26750028168</v>
      </c>
      <c r="F29" s="137">
        <f t="shared" ref="F29:AH29" si="29">SUM(F23:F28)</f>
        <v>803188.28556522238</v>
      </c>
      <c r="G29" s="137">
        <f t="shared" si="29"/>
        <v>1365683.3530177698</v>
      </c>
      <c r="H29" s="137">
        <f t="shared" si="29"/>
        <v>1719851.9079310913</v>
      </c>
      <c r="I29" s="137">
        <f t="shared" si="29"/>
        <v>2054429.9513033428</v>
      </c>
      <c r="J29" s="137">
        <f t="shared" si="29"/>
        <v>2324341.5270790714</v>
      </c>
      <c r="K29" s="137">
        <f t="shared" si="29"/>
        <v>2756058.450112158</v>
      </c>
      <c r="L29" s="137">
        <f t="shared" si="29"/>
        <v>2929440.3439377281</v>
      </c>
      <c r="M29" s="137">
        <f t="shared" si="29"/>
        <v>3150891.4533627699</v>
      </c>
      <c r="N29" s="137">
        <f t="shared" si="29"/>
        <v>3449656.6293379012</v>
      </c>
      <c r="O29" s="137">
        <f t="shared" si="29"/>
        <v>3814245.9059210173</v>
      </c>
      <c r="P29" s="137">
        <f>SUM(P23:P28)</f>
        <v>4378119.9199000401</v>
      </c>
      <c r="Q29" s="137">
        <f t="shared" si="29"/>
        <v>4796504.2481982093</v>
      </c>
      <c r="R29" s="137">
        <f t="shared" si="29"/>
        <v>5208551.5287950886</v>
      </c>
      <c r="S29" s="137">
        <f t="shared" si="29"/>
        <v>5650209.737720497</v>
      </c>
      <c r="T29" s="137">
        <f t="shared" si="29"/>
        <v>6068834.6318019088</v>
      </c>
      <c r="U29" s="137">
        <f t="shared" si="29"/>
        <v>6355863.4939402007</v>
      </c>
      <c r="V29" s="137">
        <f t="shared" si="29"/>
        <v>6630397.9908453841</v>
      </c>
      <c r="W29" s="137">
        <f t="shared" si="29"/>
        <v>6939925.9320654962</v>
      </c>
      <c r="X29" s="137">
        <f t="shared" si="29"/>
        <v>7250430.3997010291</v>
      </c>
      <c r="Y29" s="137">
        <f t="shared" si="29"/>
        <v>7483366.99939794</v>
      </c>
      <c r="Z29" s="137">
        <f t="shared" si="29"/>
        <v>7657207.8460471267</v>
      </c>
      <c r="AA29" s="137">
        <f t="shared" si="29"/>
        <v>7845616.1978943236</v>
      </c>
      <c r="AB29" s="137">
        <f t="shared" si="29"/>
        <v>8079368.964951247</v>
      </c>
      <c r="AC29" s="137">
        <f t="shared" si="29"/>
        <v>8282703.1577810394</v>
      </c>
      <c r="AD29" s="137">
        <f t="shared" si="29"/>
        <v>8501691.644495111</v>
      </c>
      <c r="AE29" s="137">
        <f t="shared" si="29"/>
        <v>8722232.2500332594</v>
      </c>
      <c r="AF29" s="137">
        <f t="shared" si="29"/>
        <v>8914947.45610171</v>
      </c>
      <c r="AG29" s="137">
        <f t="shared" si="29"/>
        <v>9094643.7200593837</v>
      </c>
      <c r="AH29" s="137">
        <f t="shared" si="29"/>
        <v>9277420.1555850729</v>
      </c>
      <c r="AI29" s="137">
        <f t="shared" ref="AI29" si="30">SUM(AI23:AI28)</f>
        <v>9433564.547298871</v>
      </c>
      <c r="AJ29" s="137">
        <f t="shared" ref="AJ29" si="31">SUM(AJ23:AJ28)</f>
        <v>9594413.7838040292</v>
      </c>
      <c r="AK29" s="137">
        <f t="shared" ref="AK29" si="32">SUM(AK23:AK28)</f>
        <v>9757520.6687685307</v>
      </c>
      <c r="AL29" s="137">
        <f t="shared" ref="AL29" si="33">SUM(AL23:AL28)</f>
        <v>9918450.8938948866</v>
      </c>
      <c r="AM29" s="137">
        <f t="shared" ref="AM29" si="34">SUM(AM23:AM28)</f>
        <v>10069358.012430852</v>
      </c>
      <c r="AN29" s="137">
        <f t="shared" ref="AN29" si="35">SUM(AN23:AN28)</f>
        <v>10230836.438100278</v>
      </c>
      <c r="AO29" s="137">
        <f t="shared" ref="AO29" si="36">SUM(AO23:AO28)</f>
        <v>10373723.005199786</v>
      </c>
      <c r="AP29" s="137">
        <f t="shared" ref="AP29" si="37">SUM(AP23:AP28)</f>
        <v>10490636.555092078</v>
      </c>
      <c r="AQ29" s="137">
        <f t="shared" ref="AQ29" si="38">SUM(AQ23:AQ28)</f>
        <v>10589191.944005826</v>
      </c>
      <c r="AR29" s="137">
        <f t="shared" ref="AR29" si="39">SUM(AR23:AR28)</f>
        <v>10692637.616481209</v>
      </c>
      <c r="AS29" s="73"/>
      <c r="AT29" s="73"/>
      <c r="AU29" s="73"/>
      <c r="AV29" s="73"/>
    </row>
    <row r="30" spans="1:48" ht="13.5" thickBot="1">
      <c r="A30" s="83"/>
      <c r="D30" s="142" t="s">
        <v>110</v>
      </c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</row>
    <row r="31" spans="1:48" ht="19.5" thickBot="1">
      <c r="A31" s="53" t="s">
        <v>62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</row>
    <row r="32" spans="1:48" s="62" customFormat="1" ht="13.5" thickBot="1">
      <c r="A32" s="17" t="s">
        <v>63</v>
      </c>
      <c r="D32" s="10"/>
      <c r="E32" s="18">
        <f>D35</f>
        <v>2295138.09856871</v>
      </c>
      <c r="F32" s="18">
        <f t="shared" ref="F32:AH32" si="40">E35</f>
        <v>12334830.632056966</v>
      </c>
      <c r="G32" s="18">
        <f t="shared" si="40"/>
        <v>25184371.53749584</v>
      </c>
      <c r="H32" s="18">
        <f t="shared" si="40"/>
        <v>37553716.25817892</v>
      </c>
      <c r="I32" s="18">
        <f t="shared" si="40"/>
        <v>47948325.571003087</v>
      </c>
      <c r="J32" s="18">
        <f t="shared" si="40"/>
        <v>57107643.034913123</v>
      </c>
      <c r="K32" s="18">
        <f t="shared" si="40"/>
        <v>67721164.577246368</v>
      </c>
      <c r="L32" s="18">
        <f t="shared" si="40"/>
        <v>79928731.599850208</v>
      </c>
      <c r="M32" s="18">
        <f t="shared" si="40"/>
        <v>87789156.407069787</v>
      </c>
      <c r="N32" s="18">
        <f t="shared" si="40"/>
        <v>91265443.744449198</v>
      </c>
      <c r="O32" s="18">
        <f t="shared" si="40"/>
        <v>98064994.711974949</v>
      </c>
      <c r="P32" s="18">
        <f>O35</f>
        <v>105662652.97555538</v>
      </c>
      <c r="Q32" s="18">
        <f t="shared" si="40"/>
        <v>118305736.74196731</v>
      </c>
      <c r="R32" s="18">
        <f t="shared" si="40"/>
        <v>127725563.62083483</v>
      </c>
      <c r="S32" s="18">
        <f t="shared" si="40"/>
        <v>136928640.6517311</v>
      </c>
      <c r="T32" s="18">
        <f t="shared" si="40"/>
        <v>145969938.80033636</v>
      </c>
      <c r="U32" s="18">
        <f t="shared" si="40"/>
        <v>154941691.43091896</v>
      </c>
      <c r="V32" s="18">
        <f t="shared" si="40"/>
        <v>163849364.57550573</v>
      </c>
      <c r="W32" s="18">
        <f t="shared" si="40"/>
        <v>170713056.20767969</v>
      </c>
      <c r="X32" s="18">
        <f t="shared" si="40"/>
        <v>176433238.17585868</v>
      </c>
      <c r="Y32" s="18">
        <f t="shared" si="40"/>
        <v>182052421.58467498</v>
      </c>
      <c r="Z32" s="18">
        <f t="shared" si="40"/>
        <v>184868176.11719647</v>
      </c>
      <c r="AA32" s="18">
        <f t="shared" si="40"/>
        <v>185257868.21662456</v>
      </c>
      <c r="AB32" s="18">
        <f t="shared" si="40"/>
        <v>185459029.51388869</v>
      </c>
      <c r="AC32" s="18">
        <f t="shared" si="40"/>
        <v>185565012.83835334</v>
      </c>
      <c r="AD32" s="18">
        <f t="shared" si="40"/>
        <v>185087869.68338186</v>
      </c>
      <c r="AE32" s="18">
        <f t="shared" si="40"/>
        <v>184342850.6160177</v>
      </c>
      <c r="AF32" s="18">
        <f t="shared" si="40"/>
        <v>183452546.20780101</v>
      </c>
      <c r="AG32" s="18">
        <f t="shared" si="40"/>
        <v>181910261.19402948</v>
      </c>
      <c r="AH32" s="18">
        <f t="shared" si="40"/>
        <v>180143961.79014921</v>
      </c>
      <c r="AI32" s="137">
        <f t="shared" ref="AI32" si="41">AH35</f>
        <v>177992353.07292402</v>
      </c>
      <c r="AJ32" s="137">
        <f t="shared" ref="AJ32" si="42">AI35</f>
        <v>175376764.54744038</v>
      </c>
      <c r="AK32" s="137">
        <f t="shared" ref="AK32" si="43">AJ35</f>
        <v>172606906.95332527</v>
      </c>
      <c r="AL32" s="137">
        <f t="shared" ref="AL32" si="44">AK35</f>
        <v>169635465.64401507</v>
      </c>
      <c r="AM32" s="137">
        <f t="shared" ref="AM32" si="45">AL35</f>
        <v>166448019.69788319</v>
      </c>
      <c r="AN32" s="137">
        <f t="shared" ref="AN32" si="46">AM35</f>
        <v>163059642.24738047</v>
      </c>
      <c r="AO32" s="137">
        <f t="shared" ref="AO32" si="47">AN35</f>
        <v>159490823.06402406</v>
      </c>
      <c r="AP32" s="137">
        <f t="shared" ref="AP32" si="48">AO35</f>
        <v>155660629.27098599</v>
      </c>
      <c r="AQ32" s="137">
        <f t="shared" ref="AQ32" si="49">AP35</f>
        <v>151513844.37541661</v>
      </c>
      <c r="AR32" s="137">
        <f>AQ35</f>
        <v>147295570.13900831</v>
      </c>
      <c r="AS32" s="73"/>
      <c r="AT32" s="73"/>
      <c r="AU32" s="73"/>
      <c r="AV32" s="73"/>
    </row>
    <row r="33" spans="1:48" ht="13.5" thickBot="1">
      <c r="A33" s="15" t="s">
        <v>34</v>
      </c>
      <c r="D33" s="10"/>
      <c r="E33" s="16">
        <f>E14</f>
        <v>10451105.800988538</v>
      </c>
      <c r="F33" s="16">
        <f>F14</f>
        <v>13652729.191004099</v>
      </c>
      <c r="G33" s="16">
        <f t="shared" ref="G33:AH33" si="50">G14</f>
        <v>13735028.073700849</v>
      </c>
      <c r="H33" s="16">
        <f t="shared" si="50"/>
        <v>12114461.220755257</v>
      </c>
      <c r="I33" s="16">
        <f t="shared" si="50"/>
        <v>11213747.415213376</v>
      </c>
      <c r="J33" s="16">
        <f t="shared" si="50"/>
        <v>12937863.069412325</v>
      </c>
      <c r="K33" s="16">
        <f t="shared" si="50"/>
        <v>14963625.472715998</v>
      </c>
      <c r="L33" s="16">
        <f>L14</f>
        <v>10789865.15115731</v>
      </c>
      <c r="M33" s="16">
        <f t="shared" si="50"/>
        <v>6627178.7907421738</v>
      </c>
      <c r="N33" s="16">
        <f t="shared" si="50"/>
        <v>10249207.596863655</v>
      </c>
      <c r="O33" s="16">
        <f t="shared" si="50"/>
        <v>11411904.169501439</v>
      </c>
      <c r="P33" s="16">
        <f>P14</f>
        <v>17021203.686311979</v>
      </c>
      <c r="Q33" s="16">
        <f t="shared" si="50"/>
        <v>14216331.127065741</v>
      </c>
      <c r="R33" s="16">
        <f t="shared" si="50"/>
        <v>14411628.55969137</v>
      </c>
      <c r="S33" s="16">
        <f t="shared" si="50"/>
        <v>14691507.886325754</v>
      </c>
      <c r="T33" s="16">
        <f t="shared" si="50"/>
        <v>15040587.262384515</v>
      </c>
      <c r="U33" s="16">
        <f t="shared" si="50"/>
        <v>15263536.638526972</v>
      </c>
      <c r="V33" s="16">
        <f t="shared" si="50"/>
        <v>13494089.623019325</v>
      </c>
      <c r="W33" s="16">
        <f t="shared" si="50"/>
        <v>12660107.900244489</v>
      </c>
      <c r="X33" s="16">
        <f t="shared" si="50"/>
        <v>12869613.808517333</v>
      </c>
      <c r="Y33" s="16">
        <f t="shared" si="50"/>
        <v>10299121.531919431</v>
      </c>
      <c r="Z33" s="16">
        <f t="shared" si="50"/>
        <v>8046899.9454752347</v>
      </c>
      <c r="AA33" s="16">
        <f t="shared" si="50"/>
        <v>8046777.4951584777</v>
      </c>
      <c r="AB33" s="16">
        <f t="shared" si="50"/>
        <v>8185352.2894158941</v>
      </c>
      <c r="AC33" s="16">
        <f t="shared" si="50"/>
        <v>7805560.0028095627</v>
      </c>
      <c r="AD33" s="16">
        <f t="shared" si="50"/>
        <v>7756672.5771309324</v>
      </c>
      <c r="AE33" s="16">
        <f t="shared" si="50"/>
        <v>7831927.8418165697</v>
      </c>
      <c r="AF33" s="16">
        <f t="shared" si="50"/>
        <v>7372662.4423301937</v>
      </c>
      <c r="AG33" s="16">
        <f t="shared" si="50"/>
        <v>7328344.3161791395</v>
      </c>
      <c r="AH33" s="16">
        <f t="shared" si="50"/>
        <v>7125811.4383598967</v>
      </c>
      <c r="AI33" s="136">
        <f t="shared" ref="AI33:AQ33" si="51">AI14</f>
        <v>6817976.0218152367</v>
      </c>
      <c r="AJ33" s="136">
        <f t="shared" si="51"/>
        <v>6824556.1896889312</v>
      </c>
      <c r="AK33" s="136">
        <f t="shared" si="51"/>
        <v>6786079.3594583189</v>
      </c>
      <c r="AL33" s="136">
        <f t="shared" si="51"/>
        <v>6731004.9477629866</v>
      </c>
      <c r="AM33" s="136">
        <f t="shared" si="51"/>
        <v>6680980.5619281139</v>
      </c>
      <c r="AN33" s="136">
        <f t="shared" si="51"/>
        <v>6662017.2547438806</v>
      </c>
      <c r="AO33" s="136">
        <f t="shared" si="51"/>
        <v>6543529.2121617058</v>
      </c>
      <c r="AP33" s="136">
        <f t="shared" si="51"/>
        <v>6343851.6595226703</v>
      </c>
      <c r="AQ33" s="136">
        <f t="shared" si="51"/>
        <v>6370917.70759751</v>
      </c>
      <c r="AR33" s="136">
        <f>AR14</f>
        <v>6256315.3798998781</v>
      </c>
    </row>
    <row r="34" spans="1:48" ht="13.5" thickBot="1">
      <c r="A34" s="15" t="s">
        <v>57</v>
      </c>
      <c r="D34" s="16"/>
      <c r="E34" s="16">
        <f>-E29</f>
        <v>-411413.26750028168</v>
      </c>
      <c r="F34" s="16">
        <f>-F29</f>
        <v>-803188.28556522238</v>
      </c>
      <c r="G34" s="16">
        <f t="shared" ref="G34:K34" si="52">-G29</f>
        <v>-1365683.3530177698</v>
      </c>
      <c r="H34" s="16">
        <f t="shared" si="52"/>
        <v>-1719851.9079310913</v>
      </c>
      <c r="I34" s="16">
        <f t="shared" si="52"/>
        <v>-2054429.9513033428</v>
      </c>
      <c r="J34" s="16">
        <f t="shared" si="52"/>
        <v>-2324341.5270790714</v>
      </c>
      <c r="K34" s="16">
        <f t="shared" si="52"/>
        <v>-2756058.450112158</v>
      </c>
      <c r="L34" s="16">
        <f>-L29</f>
        <v>-2929440.3439377281</v>
      </c>
      <c r="M34" s="16">
        <f t="shared" ref="M34:AH34" si="53">-M29</f>
        <v>-3150891.4533627699</v>
      </c>
      <c r="N34" s="16">
        <f t="shared" si="53"/>
        <v>-3449656.6293379012</v>
      </c>
      <c r="O34" s="16">
        <f t="shared" si="53"/>
        <v>-3814245.9059210173</v>
      </c>
      <c r="P34" s="16">
        <f>-P29</f>
        <v>-4378119.9199000401</v>
      </c>
      <c r="Q34" s="16">
        <f t="shared" si="53"/>
        <v>-4796504.2481982093</v>
      </c>
      <c r="R34" s="16">
        <f t="shared" si="53"/>
        <v>-5208551.5287950886</v>
      </c>
      <c r="S34" s="16">
        <f t="shared" si="53"/>
        <v>-5650209.737720497</v>
      </c>
      <c r="T34" s="16">
        <f t="shared" si="53"/>
        <v>-6068834.6318019088</v>
      </c>
      <c r="U34" s="16">
        <f t="shared" si="53"/>
        <v>-6355863.4939402007</v>
      </c>
      <c r="V34" s="16">
        <f t="shared" si="53"/>
        <v>-6630397.9908453841</v>
      </c>
      <c r="W34" s="16">
        <f t="shared" si="53"/>
        <v>-6939925.9320654962</v>
      </c>
      <c r="X34" s="16">
        <f t="shared" si="53"/>
        <v>-7250430.3997010291</v>
      </c>
      <c r="Y34" s="16">
        <f t="shared" si="53"/>
        <v>-7483366.99939794</v>
      </c>
      <c r="Z34" s="16">
        <f t="shared" si="53"/>
        <v>-7657207.8460471267</v>
      </c>
      <c r="AA34" s="16">
        <f t="shared" si="53"/>
        <v>-7845616.1978943236</v>
      </c>
      <c r="AB34" s="16">
        <f t="shared" si="53"/>
        <v>-8079368.964951247</v>
      </c>
      <c r="AC34" s="16">
        <f t="shared" si="53"/>
        <v>-8282703.1577810394</v>
      </c>
      <c r="AD34" s="16">
        <f t="shared" si="53"/>
        <v>-8501691.644495111</v>
      </c>
      <c r="AE34" s="16">
        <f t="shared" si="53"/>
        <v>-8722232.2500332594</v>
      </c>
      <c r="AF34" s="16">
        <f t="shared" si="53"/>
        <v>-8914947.45610171</v>
      </c>
      <c r="AG34" s="16">
        <f t="shared" si="53"/>
        <v>-9094643.7200593837</v>
      </c>
      <c r="AH34" s="16">
        <f t="shared" si="53"/>
        <v>-9277420.1555850729</v>
      </c>
      <c r="AI34" s="136">
        <f t="shared" ref="AI34:AQ34" si="54">-AI29</f>
        <v>-9433564.547298871</v>
      </c>
      <c r="AJ34" s="136">
        <f t="shared" si="54"/>
        <v>-9594413.7838040292</v>
      </c>
      <c r="AK34" s="136">
        <f t="shared" si="54"/>
        <v>-9757520.6687685307</v>
      </c>
      <c r="AL34" s="136">
        <f t="shared" si="54"/>
        <v>-9918450.8938948866</v>
      </c>
      <c r="AM34" s="136">
        <f t="shared" si="54"/>
        <v>-10069358.012430852</v>
      </c>
      <c r="AN34" s="136">
        <f t="shared" si="54"/>
        <v>-10230836.438100278</v>
      </c>
      <c r="AO34" s="136">
        <f t="shared" si="54"/>
        <v>-10373723.005199786</v>
      </c>
      <c r="AP34" s="136">
        <f t="shared" si="54"/>
        <v>-10490636.555092078</v>
      </c>
      <c r="AQ34" s="136">
        <f t="shared" si="54"/>
        <v>-10589191.944005826</v>
      </c>
      <c r="AR34" s="136">
        <f>-AR29</f>
        <v>-10692637.616481209</v>
      </c>
    </row>
    <row r="35" spans="1:48" s="62" customFormat="1" ht="13.5" thickBot="1">
      <c r="A35" s="17" t="s">
        <v>64</v>
      </c>
      <c r="C35" s="10"/>
      <c r="D35" s="16">
        <f>D20</f>
        <v>2295138.09856871</v>
      </c>
      <c r="E35" s="18">
        <f>SUM(E32:E34)</f>
        <v>12334830.632056966</v>
      </c>
      <c r="F35" s="18">
        <f t="shared" ref="F35:AH35" si="55">SUM(F32:F34)</f>
        <v>25184371.53749584</v>
      </c>
      <c r="G35" s="18">
        <f t="shared" si="55"/>
        <v>37553716.25817892</v>
      </c>
      <c r="H35" s="18">
        <f t="shared" si="55"/>
        <v>47948325.571003087</v>
      </c>
      <c r="I35" s="18">
        <f t="shared" si="55"/>
        <v>57107643.034913123</v>
      </c>
      <c r="J35" s="18">
        <f t="shared" si="55"/>
        <v>67721164.577246368</v>
      </c>
      <c r="K35" s="18">
        <f t="shared" si="55"/>
        <v>79928731.599850208</v>
      </c>
      <c r="L35" s="18">
        <f t="shared" si="55"/>
        <v>87789156.407069787</v>
      </c>
      <c r="M35" s="18">
        <f t="shared" si="55"/>
        <v>91265443.744449198</v>
      </c>
      <c r="N35" s="18">
        <f t="shared" si="55"/>
        <v>98064994.711974949</v>
      </c>
      <c r="O35" s="18">
        <f t="shared" si="55"/>
        <v>105662652.97555538</v>
      </c>
      <c r="P35" s="18">
        <f>SUM(P32:P34)</f>
        <v>118305736.74196731</v>
      </c>
      <c r="Q35" s="18">
        <f t="shared" si="55"/>
        <v>127725563.62083483</v>
      </c>
      <c r="R35" s="18">
        <f t="shared" si="55"/>
        <v>136928640.6517311</v>
      </c>
      <c r="S35" s="18">
        <f t="shared" si="55"/>
        <v>145969938.80033636</v>
      </c>
      <c r="T35" s="18">
        <f t="shared" si="55"/>
        <v>154941691.43091896</v>
      </c>
      <c r="U35" s="18">
        <f t="shared" si="55"/>
        <v>163849364.57550573</v>
      </c>
      <c r="V35" s="18">
        <f t="shared" si="55"/>
        <v>170713056.20767969</v>
      </c>
      <c r="W35" s="18">
        <f t="shared" si="55"/>
        <v>176433238.17585868</v>
      </c>
      <c r="X35" s="18">
        <f t="shared" si="55"/>
        <v>182052421.58467498</v>
      </c>
      <c r="Y35" s="18">
        <f t="shared" si="55"/>
        <v>184868176.11719647</v>
      </c>
      <c r="Z35" s="18">
        <f t="shared" si="55"/>
        <v>185257868.21662456</v>
      </c>
      <c r="AA35" s="18">
        <f t="shared" si="55"/>
        <v>185459029.51388869</v>
      </c>
      <c r="AB35" s="18">
        <f t="shared" si="55"/>
        <v>185565012.83835334</v>
      </c>
      <c r="AC35" s="18">
        <f t="shared" si="55"/>
        <v>185087869.68338186</v>
      </c>
      <c r="AD35" s="18">
        <f t="shared" si="55"/>
        <v>184342850.6160177</v>
      </c>
      <c r="AE35" s="18">
        <f t="shared" si="55"/>
        <v>183452546.20780101</v>
      </c>
      <c r="AF35" s="18">
        <f t="shared" si="55"/>
        <v>181910261.19402948</v>
      </c>
      <c r="AG35" s="18">
        <f t="shared" si="55"/>
        <v>180143961.79014921</v>
      </c>
      <c r="AH35" s="18">
        <f t="shared" si="55"/>
        <v>177992353.07292402</v>
      </c>
      <c r="AI35" s="137">
        <f t="shared" ref="AI35:AQ35" si="56">SUM(AI32:AI34)</f>
        <v>175376764.54744038</v>
      </c>
      <c r="AJ35" s="137">
        <f t="shared" si="56"/>
        <v>172606906.95332527</v>
      </c>
      <c r="AK35" s="137">
        <f t="shared" si="56"/>
        <v>169635465.64401507</v>
      </c>
      <c r="AL35" s="137">
        <f t="shared" si="56"/>
        <v>166448019.69788319</v>
      </c>
      <c r="AM35" s="137">
        <f t="shared" si="56"/>
        <v>163059642.24738047</v>
      </c>
      <c r="AN35" s="137">
        <f t="shared" si="56"/>
        <v>159490823.06402406</v>
      </c>
      <c r="AO35" s="137">
        <f t="shared" si="56"/>
        <v>155660629.27098599</v>
      </c>
      <c r="AP35" s="137">
        <f t="shared" si="56"/>
        <v>151513844.37541661</v>
      </c>
      <c r="AQ35" s="137">
        <f t="shared" si="56"/>
        <v>147295570.13900831</v>
      </c>
      <c r="AR35" s="137">
        <f>SUM(AR32:AR34)</f>
        <v>142859247.90242699</v>
      </c>
      <c r="AS35" s="73"/>
      <c r="AT35" s="73"/>
      <c r="AU35" s="73"/>
      <c r="AV35" s="73"/>
    </row>
    <row r="36" spans="1:48"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</row>
    <row r="37" spans="1:48">
      <c r="E37" s="87"/>
      <c r="F37" s="87"/>
      <c r="G37" s="87"/>
      <c r="H37" s="87"/>
      <c r="I37" s="87"/>
      <c r="J37" s="87"/>
      <c r="K37" s="87"/>
      <c r="L37" s="44"/>
      <c r="M37" s="44"/>
      <c r="N37" s="87"/>
    </row>
    <row r="38" spans="1:48">
      <c r="L38" s="43"/>
      <c r="M38" s="78"/>
    </row>
    <row r="39" spans="1:48">
      <c r="L39" s="87"/>
    </row>
    <row r="40" spans="1:48">
      <c r="L40" s="87"/>
    </row>
    <row r="47" spans="1:48">
      <c r="H47" s="98"/>
      <c r="I47" s="98"/>
      <c r="J47" s="98"/>
      <c r="K47" s="98"/>
      <c r="L47" s="98"/>
    </row>
    <row r="48" spans="1:48">
      <c r="H48" s="98"/>
      <c r="I48" s="98"/>
      <c r="J48" s="98"/>
      <c r="K48" s="98"/>
      <c r="L48" s="98"/>
    </row>
    <row r="49" spans="8:12">
      <c r="H49" s="98"/>
      <c r="I49" s="98"/>
      <c r="J49" s="98"/>
      <c r="K49" s="98"/>
      <c r="L49" s="98"/>
    </row>
    <row r="50" spans="8:12">
      <c r="H50" s="98"/>
      <c r="I50" s="98"/>
      <c r="J50" s="98"/>
      <c r="K50" s="98"/>
      <c r="L50" s="98"/>
    </row>
    <row r="51" spans="8:12">
      <c r="H51" s="98"/>
      <c r="I51" s="98"/>
      <c r="J51" s="98"/>
      <c r="K51" s="98"/>
      <c r="L51" s="98"/>
    </row>
    <row r="52" spans="8:12">
      <c r="H52" s="98"/>
      <c r="I52" s="98"/>
      <c r="J52" s="98"/>
      <c r="K52" s="98"/>
      <c r="L52" s="98"/>
    </row>
  </sheetData>
  <mergeCells count="1">
    <mergeCell ref="A1:B3"/>
  </mergeCells>
  <dataValidations count="1">
    <dataValidation type="list" allowBlank="1" showInputMessage="1" showErrorMessage="1" sqref="D28">
      <formula1>$D$29:$D$30</formula1>
    </dataValidation>
  </dataValidations>
  <pageMargins left="0.46" right="0.49" top="1" bottom="1" header="0.51" footer="0.5"/>
  <pageSetup paperSize="8" fitToWidth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>
    <tabColor rgb="FF9BFFC8"/>
    <outlinePr summaryBelow="0"/>
    <pageSetUpPr fitToPage="1"/>
  </sheetPr>
  <dimension ref="A1:AF83"/>
  <sheetViews>
    <sheetView topLeftCell="A2" zoomScale="70" zoomScaleNormal="70" workbookViewId="0">
      <pane xSplit="3" ySplit="11" topLeftCell="D13" activePane="bottomRight" state="frozen"/>
      <selection activeCell="A2" sqref="A2"/>
      <selection pane="topRight" activeCell="D2" sqref="D2"/>
      <selection pane="bottomLeft" activeCell="A13" sqref="A13"/>
      <selection pane="bottomRight" activeCell="C51" sqref="C51"/>
    </sheetView>
  </sheetViews>
  <sheetFormatPr defaultRowHeight="12.75" outlineLevelRow="1"/>
  <cols>
    <col min="1" max="1" width="54.140625" style="95" customWidth="1"/>
    <col min="2" max="2" width="37.85546875" style="95" customWidth="1"/>
    <col min="3" max="3" width="11.5703125" style="95" bestFit="1" customWidth="1"/>
    <col min="4" max="5" width="12" style="95" bestFit="1" customWidth="1"/>
    <col min="6" max="6" width="12.5703125" style="95" bestFit="1" customWidth="1"/>
    <col min="7" max="10" width="11.85546875" style="95" bestFit="1" customWidth="1"/>
    <col min="11" max="11" width="12.5703125" style="95" bestFit="1" customWidth="1"/>
    <col min="12" max="15" width="11.85546875" style="95" bestFit="1" customWidth="1"/>
    <col min="16" max="16" width="12.5703125" style="95" bestFit="1" customWidth="1"/>
    <col min="17" max="20" width="11.85546875" style="95" bestFit="1" customWidth="1"/>
    <col min="21" max="21" width="12.5703125" style="95" bestFit="1" customWidth="1"/>
    <col min="22" max="22" width="11.85546875" style="95" bestFit="1" customWidth="1"/>
    <col min="23" max="16384" width="9.140625" style="95"/>
  </cols>
  <sheetData>
    <row r="1" spans="1:22" ht="14.25" hidden="1" thickTop="1" thickBot="1">
      <c r="A1" s="97">
        <f>242.7/193.4</f>
        <v>1.2549120992761116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</row>
    <row r="2" spans="1:22" ht="13.5" thickBot="1">
      <c r="A2" s="373" t="s">
        <v>65</v>
      </c>
      <c r="B2" s="374"/>
      <c r="C2" s="375"/>
      <c r="D2" s="376" t="s">
        <v>66</v>
      </c>
      <c r="E2" s="375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2" ht="24" thickBot="1">
      <c r="A3" s="81"/>
      <c r="B3" s="7"/>
      <c r="C3" s="80"/>
      <c r="D3" s="79" t="s">
        <v>98</v>
      </c>
      <c r="E3" s="170">
        <f>4.3%</f>
        <v>4.2999999999999997E-2</v>
      </c>
      <c r="F3" s="85"/>
      <c r="G3" s="85"/>
      <c r="H3" s="85"/>
      <c r="I3" s="143" t="str">
        <f>IF(DAV!D28=DAV!D30,"ADJUST DAV RECOVERY PERIOD FOR U/Rs IN DAV TAB CELL D28","")</f>
        <v/>
      </c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</row>
    <row r="4" spans="1:22" ht="28.5" customHeight="1" thickBot="1">
      <c r="A4" s="94"/>
      <c r="B4" s="72" t="s">
        <v>100</v>
      </c>
      <c r="C4" s="80"/>
      <c r="D4" s="79" t="s">
        <v>99</v>
      </c>
      <c r="E4" s="170">
        <f>E3</f>
        <v>4.2999999999999997E-2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</row>
    <row r="5" spans="1:22" ht="13.5" thickBot="1">
      <c r="A5" s="94"/>
      <c r="B5" s="11" t="s">
        <v>67</v>
      </c>
      <c r="C5" s="8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22" ht="13.5" thickBot="1">
      <c r="A6" s="12" t="s">
        <v>68</v>
      </c>
      <c r="B6" s="7"/>
      <c r="C6" s="93"/>
      <c r="D6" s="93">
        <f>E3</f>
        <v>4.2999999999999997E-2</v>
      </c>
      <c r="E6" s="93">
        <f>D6</f>
        <v>4.2999999999999997E-2</v>
      </c>
      <c r="F6" s="93">
        <f>E6</f>
        <v>4.2999999999999997E-2</v>
      </c>
      <c r="G6" s="93">
        <f>F6</f>
        <v>4.2999999999999997E-2</v>
      </c>
      <c r="H6" s="93">
        <f>G6</f>
        <v>4.2999999999999997E-2</v>
      </c>
      <c r="I6" s="93">
        <f>H6</f>
        <v>4.2999999999999997E-2</v>
      </c>
      <c r="J6" s="93">
        <f>E4</f>
        <v>4.2999999999999997E-2</v>
      </c>
      <c r="K6" s="93">
        <f>J6</f>
        <v>4.2999999999999997E-2</v>
      </c>
      <c r="L6" s="93">
        <f t="shared" ref="L6:V6" si="0">K6</f>
        <v>4.2999999999999997E-2</v>
      </c>
      <c r="M6" s="93">
        <f t="shared" si="0"/>
        <v>4.2999999999999997E-2</v>
      </c>
      <c r="N6" s="93">
        <f t="shared" si="0"/>
        <v>4.2999999999999997E-2</v>
      </c>
      <c r="O6" s="93">
        <f t="shared" si="0"/>
        <v>4.2999999999999997E-2</v>
      </c>
      <c r="P6" s="93">
        <f t="shared" si="0"/>
        <v>4.2999999999999997E-2</v>
      </c>
      <c r="Q6" s="93">
        <f t="shared" si="0"/>
        <v>4.2999999999999997E-2</v>
      </c>
      <c r="R6" s="93">
        <f t="shared" si="0"/>
        <v>4.2999999999999997E-2</v>
      </c>
      <c r="S6" s="93">
        <f t="shared" si="0"/>
        <v>4.2999999999999997E-2</v>
      </c>
      <c r="T6" s="93">
        <f t="shared" si="0"/>
        <v>4.2999999999999997E-2</v>
      </c>
      <c r="U6" s="93">
        <f t="shared" si="0"/>
        <v>4.2999999999999997E-2</v>
      </c>
      <c r="V6" s="93">
        <f t="shared" si="0"/>
        <v>4.2999999999999997E-2</v>
      </c>
    </row>
    <row r="7" spans="1:22" ht="13.5" thickBot="1">
      <c r="A7" s="12" t="s">
        <v>69</v>
      </c>
      <c r="B7" s="11">
        <v>0.5</v>
      </c>
      <c r="C7" s="42">
        <v>1</v>
      </c>
      <c r="D7" s="42">
        <f>D8*(1+D6*$B$7)</f>
        <v>0.97938638542665402</v>
      </c>
      <c r="E7" s="42">
        <f t="shared" ref="E7:V7" si="1">E8*(1+E6*$B$7)</f>
        <v>0.93900899849151875</v>
      </c>
      <c r="F7" s="42">
        <f t="shared" si="1"/>
        <v>0.90029625933990298</v>
      </c>
      <c r="G7" s="42">
        <f t="shared" si="1"/>
        <v>0.86317953915618695</v>
      </c>
      <c r="H7" s="42">
        <f t="shared" si="1"/>
        <v>0.82759303850065868</v>
      </c>
      <c r="I7" s="42">
        <f t="shared" si="1"/>
        <v>0.79347367066218488</v>
      </c>
      <c r="J7" s="42">
        <f t="shared" si="1"/>
        <v>0.76076094981992792</v>
      </c>
      <c r="K7" s="42">
        <f t="shared" si="1"/>
        <v>0.72939688381584666</v>
      </c>
      <c r="L7" s="42">
        <f t="shared" si="1"/>
        <v>0.69932587134788748</v>
      </c>
      <c r="M7" s="42">
        <f t="shared" si="1"/>
        <v>0.67049460340161793</v>
      </c>
      <c r="N7" s="42">
        <f t="shared" si="1"/>
        <v>0.64285196874555894</v>
      </c>
      <c r="O7" s="42">
        <f t="shared" si="1"/>
        <v>0.61634896332268363</v>
      </c>
      <c r="P7" s="42">
        <f t="shared" si="1"/>
        <v>0.59093860337745319</v>
      </c>
      <c r="Q7" s="42">
        <f t="shared" si="1"/>
        <v>0.56657584216438472</v>
      </c>
      <c r="R7" s="42">
        <f t="shared" si="1"/>
        <v>0.54321749009049347</v>
      </c>
      <c r="S7" s="42">
        <f t="shared" si="1"/>
        <v>0.52082213815004164</v>
      </c>
      <c r="T7" s="42">
        <f t="shared" si="1"/>
        <v>0.49935008451585972</v>
      </c>
      <c r="U7" s="42">
        <f t="shared" si="1"/>
        <v>0.4787632641571043</v>
      </c>
      <c r="V7" s="42">
        <f t="shared" si="1"/>
        <v>0.45902518135868109</v>
      </c>
    </row>
    <row r="8" spans="1:22" ht="13.5" thickBot="1">
      <c r="A8" s="12" t="s">
        <v>70</v>
      </c>
      <c r="B8" s="80"/>
      <c r="C8" s="42">
        <v>1</v>
      </c>
      <c r="D8" s="42">
        <f t="shared" ref="D8:J8" si="2">C8/(1+D6)</f>
        <v>0.95877277085330781</v>
      </c>
      <c r="E8" s="42">
        <f t="shared" si="2"/>
        <v>0.91924522612972948</v>
      </c>
      <c r="F8" s="42">
        <f t="shared" si="2"/>
        <v>0.88134729255007627</v>
      </c>
      <c r="G8" s="42">
        <f t="shared" si="2"/>
        <v>0.84501178576229752</v>
      </c>
      <c r="H8" s="42">
        <f t="shared" si="2"/>
        <v>0.81017429123901974</v>
      </c>
      <c r="I8" s="42">
        <f t="shared" si="2"/>
        <v>0.7767730500853498</v>
      </c>
      <c r="J8" s="42">
        <f t="shared" si="2"/>
        <v>0.74474884955450604</v>
      </c>
      <c r="K8" s="42">
        <f t="shared" ref="K8:V8" si="3">J8/(1+K6)</f>
        <v>0.71404491807718706</v>
      </c>
      <c r="L8" s="42">
        <f t="shared" si="3"/>
        <v>0.68460682461858779</v>
      </c>
      <c r="M8" s="42">
        <f t="shared" si="3"/>
        <v>0.65638238218464795</v>
      </c>
      <c r="N8" s="42">
        <f t="shared" si="3"/>
        <v>0.62932155530646983</v>
      </c>
      <c r="O8" s="42">
        <f t="shared" si="3"/>
        <v>0.60337637133889732</v>
      </c>
      <c r="P8" s="42">
        <f t="shared" si="3"/>
        <v>0.57850083541600894</v>
      </c>
      <c r="Q8" s="42">
        <f t="shared" si="3"/>
        <v>0.55465084891276029</v>
      </c>
      <c r="R8" s="42">
        <f t="shared" si="3"/>
        <v>0.53178413126822655</v>
      </c>
      <c r="S8" s="42">
        <f t="shared" si="3"/>
        <v>0.50986014503185673</v>
      </c>
      <c r="T8" s="42">
        <f t="shared" si="3"/>
        <v>0.48884002399986265</v>
      </c>
      <c r="U8" s="42">
        <f t="shared" si="3"/>
        <v>0.46868650431434583</v>
      </c>
      <c r="V8" s="42">
        <f t="shared" si="3"/>
        <v>0.44936385840301618</v>
      </c>
    </row>
    <row r="9" spans="1:22">
      <c r="A9" s="81"/>
      <c r="B9" s="85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</row>
    <row r="10" spans="1:22">
      <c r="A10" s="91"/>
      <c r="B10" s="90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</row>
    <row r="11" spans="1:22" ht="13.5" thickBot="1">
      <c r="A11" s="81"/>
      <c r="B11" s="85"/>
      <c r="C11" s="92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ht="13.5" thickBot="1">
      <c r="A12" s="81"/>
      <c r="B12" s="85"/>
      <c r="C12" s="10">
        <v>2016</v>
      </c>
      <c r="D12" s="11">
        <v>2017</v>
      </c>
      <c r="E12" s="11">
        <f t="shared" ref="E12:V12" si="4">D12+1</f>
        <v>2018</v>
      </c>
      <c r="F12" s="11">
        <f t="shared" si="4"/>
        <v>2019</v>
      </c>
      <c r="G12" s="11">
        <f t="shared" si="4"/>
        <v>2020</v>
      </c>
      <c r="H12" s="11">
        <f t="shared" si="4"/>
        <v>2021</v>
      </c>
      <c r="I12" s="11">
        <f t="shared" si="4"/>
        <v>2022</v>
      </c>
      <c r="J12" s="11">
        <f t="shared" si="4"/>
        <v>2023</v>
      </c>
      <c r="K12" s="11">
        <f t="shared" si="4"/>
        <v>2024</v>
      </c>
      <c r="L12" s="11">
        <f t="shared" si="4"/>
        <v>2025</v>
      </c>
      <c r="M12" s="11">
        <f t="shared" si="4"/>
        <v>2026</v>
      </c>
      <c r="N12" s="11">
        <f t="shared" si="4"/>
        <v>2027</v>
      </c>
      <c r="O12" s="11">
        <f t="shared" si="4"/>
        <v>2028</v>
      </c>
      <c r="P12" s="11">
        <f t="shared" si="4"/>
        <v>2029</v>
      </c>
      <c r="Q12" s="11">
        <f t="shared" si="4"/>
        <v>2030</v>
      </c>
      <c r="R12" s="11">
        <f t="shared" si="4"/>
        <v>2031</v>
      </c>
      <c r="S12" s="11">
        <f t="shared" si="4"/>
        <v>2032</v>
      </c>
      <c r="T12" s="11">
        <f t="shared" si="4"/>
        <v>2033</v>
      </c>
      <c r="U12" s="11">
        <f t="shared" si="4"/>
        <v>2034</v>
      </c>
      <c r="V12" s="11">
        <f t="shared" si="4"/>
        <v>2035</v>
      </c>
    </row>
    <row r="13" spans="1:22" ht="13.5" thickBot="1">
      <c r="A13" s="83"/>
      <c r="B13" s="85"/>
      <c r="C13" s="85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13.5" thickBot="1">
      <c r="A14" s="12" t="s">
        <v>34</v>
      </c>
      <c r="B14" s="85"/>
      <c r="C14" s="10"/>
      <c r="D14" s="86">
        <f>Inputs!P102/1000</f>
        <v>17021.203686311976</v>
      </c>
      <c r="E14" s="118">
        <f>Inputs!Q102/1000</f>
        <v>14216.331127065743</v>
      </c>
      <c r="F14" s="118">
        <f>Inputs!R102/1000</f>
        <v>14411.628559691369</v>
      </c>
      <c r="G14" s="118">
        <f>Inputs!S102/1000</f>
        <v>14691.507886325759</v>
      </c>
      <c r="H14" s="118">
        <f>Inputs!T102/1000</f>
        <v>15040.587262384515</v>
      </c>
      <c r="I14" s="118">
        <f>Inputs!U102/1000</f>
        <v>15263.536638526972</v>
      </c>
      <c r="J14" s="118">
        <f>Inputs!V102/1000</f>
        <v>13494.089623019325</v>
      </c>
      <c r="K14" s="118">
        <f>Inputs!W102/1000</f>
        <v>12660.107900244488</v>
      </c>
      <c r="L14" s="118">
        <f>Inputs!X102/1000</f>
        <v>12869.613808517333</v>
      </c>
      <c r="M14" s="118">
        <f>Inputs!Y102/1000</f>
        <v>10299.121531919429</v>
      </c>
      <c r="N14" s="118">
        <f>Inputs!Z102/1000</f>
        <v>8046.8999454752347</v>
      </c>
      <c r="O14" s="118">
        <f>Inputs!AA102/1000</f>
        <v>8046.777495158477</v>
      </c>
      <c r="P14" s="118">
        <f>Inputs!AB102/1000</f>
        <v>8185.3522894158932</v>
      </c>
      <c r="Q14" s="118">
        <f>Inputs!AC102/1000</f>
        <v>7805.5600028095614</v>
      </c>
      <c r="R14" s="118">
        <f>Inputs!AD102/1000</f>
        <v>7756.6725771309311</v>
      </c>
      <c r="S14" s="118">
        <f>Inputs!AE102/1000</f>
        <v>7831.9278418165695</v>
      </c>
      <c r="T14" s="118">
        <f>Inputs!AF102/1000</f>
        <v>7372.6624423301955</v>
      </c>
      <c r="U14" s="118">
        <f>Inputs!AG102/1000</f>
        <v>7328.3443161791402</v>
      </c>
      <c r="V14" s="118">
        <f>Inputs!AH102/1000</f>
        <v>7125.8114383598959</v>
      </c>
    </row>
    <row r="15" spans="1:22" ht="13.5" thickBot="1">
      <c r="A15" s="12" t="s">
        <v>4</v>
      </c>
      <c r="B15" s="146" t="s">
        <v>105</v>
      </c>
      <c r="C15" s="70"/>
      <c r="D15" s="118">
        <f>Inputs!P105/1000</f>
        <v>6474.5563258338261</v>
      </c>
      <c r="E15" s="118">
        <f>Inputs!Q105/1000</f>
        <v>6432.2156152958196</v>
      </c>
      <c r="F15" s="118">
        <f>Inputs!R105/1000</f>
        <v>6583.5838375261228</v>
      </c>
      <c r="G15" s="118">
        <f>Inputs!S105/1000</f>
        <v>6793.114375203093</v>
      </c>
      <c r="H15" s="118">
        <f>Inputs!T105/1000</f>
        <v>7065.4534423640634</v>
      </c>
      <c r="I15" s="118">
        <f>Inputs!U105/1000</f>
        <v>7340.4547020537175</v>
      </c>
      <c r="J15" s="118">
        <f>Inputs!V105/1000</f>
        <v>7531.5483208538471</v>
      </c>
      <c r="K15" s="118">
        <f>Inputs!W105/1000</f>
        <v>7632.0809659359975</v>
      </c>
      <c r="L15" s="118">
        <f>Inputs!X105/1000</f>
        <v>7717.9525661377738</v>
      </c>
      <c r="M15" s="118">
        <f>Inputs!Y105/1000</f>
        <v>7807.2332494330585</v>
      </c>
      <c r="N15" s="118">
        <f>Inputs!Z105/1000</f>
        <v>7967.3260497623423</v>
      </c>
      <c r="O15" s="118">
        <f>Inputs!AA105/1000</f>
        <v>8170.3516015278692</v>
      </c>
      <c r="P15" s="118">
        <f>Inputs!AB105/1000</f>
        <v>8282.1439725933269</v>
      </c>
      <c r="Q15" s="118">
        <f>Inputs!AC105/1000</f>
        <v>8379.7735850651661</v>
      </c>
      <c r="R15" s="118">
        <f>Inputs!AD105/1000</f>
        <v>8442.176181506451</v>
      </c>
      <c r="S15" s="118">
        <f>Inputs!AE105/1000</f>
        <v>8378.8763851662825</v>
      </c>
      <c r="T15" s="118">
        <f>Inputs!AF105/1000</f>
        <v>8284.6931925762274</v>
      </c>
      <c r="U15" s="118">
        <f>Inputs!AG105/1000</f>
        <v>8269.7295495364415</v>
      </c>
      <c r="V15" s="118">
        <f>Inputs!AH105/1000</f>
        <v>8388.4670378974806</v>
      </c>
    </row>
    <row r="16" spans="1:22" ht="13.5" thickBot="1">
      <c r="A16" s="12" t="s">
        <v>71</v>
      </c>
      <c r="B16" s="147">
        <v>0.44844183597538856</v>
      </c>
      <c r="C16" s="149">
        <v>2012</v>
      </c>
      <c r="D16" s="86">
        <f>SUM(D17:D22)</f>
        <v>61980.126268008869</v>
      </c>
      <c r="E16" s="118">
        <f t="shared" ref="E16:V16" si="5">SUM(E17:E22)</f>
        <v>60443.23317143858</v>
      </c>
      <c r="F16" s="118">
        <f t="shared" si="5"/>
        <v>62622.546114643585</v>
      </c>
      <c r="G16" s="118">
        <f t="shared" si="5"/>
        <v>64913.305905555229</v>
      </c>
      <c r="H16" s="118">
        <f t="shared" si="5"/>
        <v>67306.198425925075</v>
      </c>
      <c r="I16" s="118">
        <f t="shared" si="5"/>
        <v>69782.407045184853</v>
      </c>
      <c r="J16" s="118">
        <f t="shared" si="5"/>
        <v>71706.054774459946</v>
      </c>
      <c r="K16" s="118">
        <f t="shared" si="5"/>
        <v>73510.596576368989</v>
      </c>
      <c r="L16" s="118">
        <f t="shared" si="5"/>
        <v>75021.763423009194</v>
      </c>
      <c r="M16" s="118">
        <f t="shared" si="5"/>
        <v>76693.031525654398</v>
      </c>
      <c r="N16" s="118">
        <f t="shared" si="5"/>
        <v>77976.119279206789</v>
      </c>
      <c r="O16" s="118">
        <f t="shared" si="5"/>
        <v>79338.55170141795</v>
      </c>
      <c r="P16" s="118">
        <f t="shared" si="5"/>
        <v>80329.870505639672</v>
      </c>
      <c r="Q16" s="118">
        <f t="shared" si="5"/>
        <v>81411.230984222682</v>
      </c>
      <c r="R16" s="118">
        <f t="shared" si="5"/>
        <v>82139.49465746482</v>
      </c>
      <c r="S16" s="118">
        <f t="shared" si="5"/>
        <v>82982.369079943252</v>
      </c>
      <c r="T16" s="118">
        <f t="shared" si="5"/>
        <v>83503.781798622847</v>
      </c>
      <c r="U16" s="118">
        <f t="shared" si="5"/>
        <v>84144.534048435919</v>
      </c>
      <c r="V16" s="118">
        <f t="shared" si="5"/>
        <v>84493.126724193688</v>
      </c>
    </row>
    <row r="17" spans="1:22" ht="12.75" customHeight="1" outlineLevel="1" thickBot="1">
      <c r="A17" s="138" t="s">
        <v>200</v>
      </c>
      <c r="B17" s="147">
        <f>B16/Inputs!K2*Inputs!M2</f>
        <v>0.4730165224956715</v>
      </c>
      <c r="C17" s="148">
        <v>2014</v>
      </c>
      <c r="D17" s="119">
        <f>Inputs!P109/1000</f>
        <v>11228.403378270079</v>
      </c>
      <c r="E17" s="119">
        <f>Inputs!Q109/1000</f>
        <v>12779.500989018296</v>
      </c>
      <c r="F17" s="119">
        <f>Inputs!R109/1000</f>
        <v>14462.359280580207</v>
      </c>
      <c r="G17" s="119">
        <f>Inputs!S109/1000</f>
        <v>16267.497011711972</v>
      </c>
      <c r="H17" s="119">
        <f>Inputs!T109/1000</f>
        <v>18185.43305779306</v>
      </c>
      <c r="I17" s="119">
        <f>Inputs!U109/1000</f>
        <v>20197.186038751333</v>
      </c>
      <c r="J17" s="119">
        <f>Inputs!V109/1000</f>
        <v>22038.984862112331</v>
      </c>
      <c r="K17" s="119">
        <f>Inputs!W109/1000</f>
        <v>23793.384195931972</v>
      </c>
      <c r="L17" s="119">
        <f>Inputs!X109/1000</f>
        <v>25471.14831865142</v>
      </c>
      <c r="M17" s="119">
        <f>Inputs!Y109/1000</f>
        <v>27086.07018090173</v>
      </c>
      <c r="N17" s="119">
        <f>Inputs!Z109/1000</f>
        <v>28567.207212223013</v>
      </c>
      <c r="O17" s="119">
        <f>Inputs!AA109/1000</f>
        <v>29962.673191744194</v>
      </c>
      <c r="P17" s="119">
        <f>Inputs!AB109/1000</f>
        <v>31228.311769484411</v>
      </c>
      <c r="Q17" s="119">
        <f>Inputs!AC109/1000</f>
        <v>32414.365345344577</v>
      </c>
      <c r="R17" s="119">
        <f>Inputs!AD109/1000</f>
        <v>33477.386578730002</v>
      </c>
      <c r="S17" s="119">
        <f>Inputs!AE109/1000</f>
        <v>34482.46817079567</v>
      </c>
      <c r="T17" s="119">
        <f>Inputs!AF109/1000</f>
        <v>35386.438888851844</v>
      </c>
      <c r="U17" s="119">
        <f>Inputs!AG109/1000</f>
        <v>36235.622984059708</v>
      </c>
      <c r="V17" s="119">
        <f>Inputs!AH109/1000</f>
        <v>37004.489436109841</v>
      </c>
    </row>
    <row r="18" spans="1:22" ht="12.75" customHeight="1" outlineLevel="1" thickBot="1">
      <c r="A18" s="138" t="s">
        <v>201</v>
      </c>
      <c r="B18" s="147"/>
      <c r="C18" s="148"/>
      <c r="D18" s="119">
        <f>Inputs!P110/1000</f>
        <v>8335.6773474708953</v>
      </c>
      <c r="E18" s="119">
        <f>Inputs!Q110/1000</f>
        <v>8849.5105040420258</v>
      </c>
      <c r="F18" s="119">
        <f>Inputs!R110/1000</f>
        <v>9352.2780105153415</v>
      </c>
      <c r="G18" s="119">
        <f>Inputs!S110/1000</f>
        <v>9844.1497965771505</v>
      </c>
      <c r="H18" s="119">
        <f>Inputs!T110/1000</f>
        <v>10325.293499885023</v>
      </c>
      <c r="I18" s="119">
        <f>Inputs!U110/1000</f>
        <v>10795.874494915435</v>
      </c>
      <c r="J18" s="119">
        <f>Inputs!V110/1000</f>
        <v>11215.022066147061</v>
      </c>
      <c r="K18" s="119">
        <f>Inputs!W110/1000</f>
        <v>11602.463199554017</v>
      </c>
      <c r="L18" s="119">
        <f>Inputs!X110/1000</f>
        <v>11773.164588792324</v>
      </c>
      <c r="M18" s="119">
        <f>Inputs!Y110/1000</f>
        <v>12166.809494504767</v>
      </c>
      <c r="N18" s="119">
        <f>Inputs!Z110/1000</f>
        <v>12306.058882053425</v>
      </c>
      <c r="O18" s="119">
        <f>Inputs!AA110/1000</f>
        <v>12610.323990060942</v>
      </c>
      <c r="P18" s="119">
        <f>Inputs!AB110/1000</f>
        <v>12673.302881860003</v>
      </c>
      <c r="Q18" s="119">
        <f>Inputs!AC110/1000</f>
        <v>12905.908449900408</v>
      </c>
      <c r="R18" s="119">
        <f>Inputs!AD110/1000</f>
        <v>12908.449555074667</v>
      </c>
      <c r="S18" s="119">
        <f>Inputs!AE110/1000</f>
        <v>13083.541050804961</v>
      </c>
      <c r="T18" s="119">
        <f>Inputs!AF110/1000</f>
        <v>13038.281716745947</v>
      </c>
      <c r="U18" s="119">
        <f>Inputs!AG110/1000</f>
        <v>13167.148536668703</v>
      </c>
      <c r="V18" s="119">
        <f>Inputs!AH110/1000</f>
        <v>13084.173425693898</v>
      </c>
    </row>
    <row r="19" spans="1:22" ht="12.75" customHeight="1" outlineLevel="1" thickBot="1">
      <c r="A19" s="138" t="s">
        <v>202</v>
      </c>
      <c r="B19" s="147"/>
      <c r="C19" s="148"/>
      <c r="D19" s="119">
        <f>Inputs!P111/1000</f>
        <v>6380.4527119048607</v>
      </c>
      <c r="E19" s="119">
        <f>Inputs!Q111/1000</f>
        <v>6374.0760908642251</v>
      </c>
      <c r="F19" s="119">
        <f>Inputs!R111/1000</f>
        <v>6367.7632360339958</v>
      </c>
      <c r="G19" s="119">
        <f>Inputs!S111/1000</f>
        <v>6361.5135097520697</v>
      </c>
      <c r="H19" s="119">
        <f>Inputs!T111/1000</f>
        <v>6355.326280732962</v>
      </c>
      <c r="I19" s="119">
        <f>Inputs!U111/1000</f>
        <v>6349.200924004047</v>
      </c>
      <c r="J19" s="119">
        <f>Inputs!V111/1000</f>
        <v>6293.990481186619</v>
      </c>
      <c r="K19" s="119">
        <f>Inputs!W111/1000</f>
        <v>6238.7800383691929</v>
      </c>
      <c r="L19" s="119">
        <f>Inputs!X111/1000</f>
        <v>6183.5695955517667</v>
      </c>
      <c r="M19" s="119">
        <f>Inputs!Y111/1000</f>
        <v>6128.3591527343397</v>
      </c>
      <c r="N19" s="119">
        <f>Inputs!Z111/1000</f>
        <v>6073.1487099169126</v>
      </c>
      <c r="O19" s="119">
        <f>Inputs!AA111/1000</f>
        <v>6017.9382670994864</v>
      </c>
      <c r="P19" s="119">
        <f>Inputs!AB111/1000</f>
        <v>5962.7278242820603</v>
      </c>
      <c r="Q19" s="119">
        <f>Inputs!AC111/1000</f>
        <v>5907.5173814646332</v>
      </c>
      <c r="R19" s="119">
        <f>Inputs!AD111/1000</f>
        <v>5852.3069386472071</v>
      </c>
      <c r="S19" s="119">
        <f>Inputs!AE111/1000</f>
        <v>5797.0964958297809</v>
      </c>
      <c r="T19" s="119">
        <f>Inputs!AF111/1000</f>
        <v>5741.8860530123548</v>
      </c>
      <c r="U19" s="119">
        <f>Inputs!AG111/1000</f>
        <v>5686.6756101949268</v>
      </c>
      <c r="V19" s="119">
        <f>Inputs!AH111/1000</f>
        <v>5631.4651673775006</v>
      </c>
    </row>
    <row r="20" spans="1:22" ht="12.75" customHeight="1" outlineLevel="1" thickBot="1">
      <c r="A20" s="138" t="s">
        <v>203</v>
      </c>
      <c r="B20" s="147"/>
      <c r="C20" s="148"/>
      <c r="D20" s="119">
        <f>Inputs!P112/1000</f>
        <v>1160.9611091276254</v>
      </c>
      <c r="E20" s="119">
        <f>Inputs!Q112/1000</f>
        <v>927.14136578898047</v>
      </c>
      <c r="F20" s="119">
        <f>Inputs!R112/1000</f>
        <v>927.14136578898047</v>
      </c>
      <c r="G20" s="119">
        <f>Inputs!S112/1000</f>
        <v>927.14136578898047</v>
      </c>
      <c r="H20" s="119">
        <f>Inputs!T112/1000</f>
        <v>927.14136578898047</v>
      </c>
      <c r="I20" s="119">
        <f>Inputs!U112/1000</f>
        <v>927.14136578898047</v>
      </c>
      <c r="J20" s="119">
        <f>Inputs!V112/1000</f>
        <v>919.07926695603282</v>
      </c>
      <c r="K20" s="119">
        <f>Inputs!W112/1000</f>
        <v>911.01716812308518</v>
      </c>
      <c r="L20" s="119">
        <f>Inputs!X112/1000</f>
        <v>902.95506929013766</v>
      </c>
      <c r="M20" s="119">
        <f>Inputs!Y112/1000</f>
        <v>894.89297045718979</v>
      </c>
      <c r="N20" s="119">
        <f>Inputs!Z112/1000</f>
        <v>886.83087162424226</v>
      </c>
      <c r="O20" s="119">
        <f>Inputs!AA112/1000</f>
        <v>878.76877279129451</v>
      </c>
      <c r="P20" s="119">
        <f>Inputs!AB112/1000</f>
        <v>870.70667395834698</v>
      </c>
      <c r="Q20" s="119">
        <f>Inputs!AC112/1000</f>
        <v>862.64457512539911</v>
      </c>
      <c r="R20" s="119">
        <f>Inputs!AD112/1000</f>
        <v>854.58247629245159</v>
      </c>
      <c r="S20" s="119">
        <f>Inputs!AE112/1000</f>
        <v>846.52037745950395</v>
      </c>
      <c r="T20" s="119">
        <f>Inputs!AF112/1000</f>
        <v>838.45827862655631</v>
      </c>
      <c r="U20" s="119">
        <f>Inputs!AG112/1000</f>
        <v>830.39617979360855</v>
      </c>
      <c r="V20" s="119">
        <f>Inputs!AH112/1000</f>
        <v>822.33408096066091</v>
      </c>
    </row>
    <row r="21" spans="1:22" ht="12.75" customHeight="1" outlineLevel="1" thickBot="1">
      <c r="A21" s="138" t="s">
        <v>204</v>
      </c>
      <c r="B21" s="147"/>
      <c r="C21" s="148"/>
      <c r="D21" s="119">
        <f>Inputs!P113/1000</f>
        <v>13374.606008694762</v>
      </c>
      <c r="E21" s="119">
        <f>Inputs!Q113/1000</f>
        <v>13360.83565099987</v>
      </c>
      <c r="F21" s="119">
        <f>Inputs!R113/1000</f>
        <v>13360.83565099987</v>
      </c>
      <c r="G21" s="119">
        <f>Inputs!S113/1000</f>
        <v>13360.83565099987</v>
      </c>
      <c r="H21" s="119">
        <f>Inputs!T113/1000</f>
        <v>13360.83565099987</v>
      </c>
      <c r="I21" s="119">
        <f>Inputs!U113/1000</f>
        <v>13360.83565099987</v>
      </c>
      <c r="J21" s="119">
        <f>Inputs!V113/1000</f>
        <v>13244.65447142596</v>
      </c>
      <c r="K21" s="119">
        <f>Inputs!W113/1000</f>
        <v>13128.473291852048</v>
      </c>
      <c r="L21" s="119">
        <f>Inputs!X113/1000</f>
        <v>13012.292112278137</v>
      </c>
      <c r="M21" s="119">
        <f>Inputs!Y113/1000</f>
        <v>12896.110932704223</v>
      </c>
      <c r="N21" s="119">
        <f>Inputs!Z113/1000</f>
        <v>12779.929753130313</v>
      </c>
      <c r="O21" s="119">
        <f>Inputs!AA113/1000</f>
        <v>12663.748573556401</v>
      </c>
      <c r="P21" s="119">
        <f>Inputs!AB113/1000</f>
        <v>12547.567393982488</v>
      </c>
      <c r="Q21" s="119">
        <f>Inputs!AC113/1000</f>
        <v>12431.386214408576</v>
      </c>
      <c r="R21" s="119">
        <f>Inputs!AD113/1000</f>
        <v>12315.205034834664</v>
      </c>
      <c r="S21" s="119">
        <f>Inputs!AE113/1000</f>
        <v>12199.023855260752</v>
      </c>
      <c r="T21" s="119">
        <f>Inputs!AF113/1000</f>
        <v>12082.842675686839</v>
      </c>
      <c r="U21" s="119">
        <f>Inputs!AG113/1000</f>
        <v>11966.661496112927</v>
      </c>
      <c r="V21" s="119">
        <f>Inputs!AH113/1000</f>
        <v>11850.480316539017</v>
      </c>
    </row>
    <row r="22" spans="1:22" ht="12.75" customHeight="1" outlineLevel="1" thickBot="1">
      <c r="A22" s="138" t="s">
        <v>205</v>
      </c>
      <c r="B22" s="147"/>
      <c r="C22" s="148"/>
      <c r="D22" s="119">
        <f>Inputs!P114/1000</f>
        <v>21500.02571254065</v>
      </c>
      <c r="E22" s="119">
        <f>Inputs!Q114/1000</f>
        <v>18152.168570725185</v>
      </c>
      <c r="F22" s="119">
        <f>Inputs!R114/1000</f>
        <v>18152.168570725185</v>
      </c>
      <c r="G22" s="119">
        <f>Inputs!S114/1000</f>
        <v>18152.168570725185</v>
      </c>
      <c r="H22" s="119">
        <f>Inputs!T114/1000</f>
        <v>18152.168570725185</v>
      </c>
      <c r="I22" s="119">
        <f>Inputs!U114/1000</f>
        <v>18152.168570725185</v>
      </c>
      <c r="J22" s="119">
        <f>Inputs!V114/1000</f>
        <v>17994.323626631936</v>
      </c>
      <c r="K22" s="119">
        <f>Inputs!W114/1000</f>
        <v>17836.478682538673</v>
      </c>
      <c r="L22" s="119">
        <f>Inputs!X114/1000</f>
        <v>17678.633738445413</v>
      </c>
      <c r="M22" s="119">
        <f>Inputs!Y114/1000</f>
        <v>17520.788794352149</v>
      </c>
      <c r="N22" s="119">
        <f>Inputs!Z114/1000</f>
        <v>17362.943850258886</v>
      </c>
      <c r="O22" s="119">
        <f>Inputs!AA114/1000</f>
        <v>17205.098906165622</v>
      </c>
      <c r="P22" s="119">
        <f>Inputs!AB114/1000</f>
        <v>17047.253962072362</v>
      </c>
      <c r="Q22" s="119">
        <f>Inputs!AC114/1000</f>
        <v>16889.409017979098</v>
      </c>
      <c r="R22" s="119">
        <f>Inputs!AD114/1000</f>
        <v>16731.564073885835</v>
      </c>
      <c r="S22" s="119">
        <f>Inputs!AE114/1000</f>
        <v>16573.719129792571</v>
      </c>
      <c r="T22" s="119">
        <f>Inputs!AF114/1000</f>
        <v>16415.874185699311</v>
      </c>
      <c r="U22" s="119">
        <f>Inputs!AG114/1000</f>
        <v>16258.029241606047</v>
      </c>
      <c r="V22" s="119">
        <f>Inputs!AH114/1000</f>
        <v>16100.184297512784</v>
      </c>
    </row>
    <row r="23" spans="1:22" ht="13.5" thickBot="1">
      <c r="A23" s="12" t="s">
        <v>72</v>
      </c>
      <c r="B23" s="147">
        <f>B16*Inputs!B2</f>
        <v>0.4730165224956715</v>
      </c>
      <c r="C23" s="148">
        <v>2014</v>
      </c>
      <c r="D23" s="140">
        <f>D24/Inputs!M2*Inputs!M1</f>
        <v>0.44258252356428246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 ht="13.5" thickBot="1">
      <c r="A24" s="138" t="s">
        <v>195</v>
      </c>
      <c r="B24" s="85"/>
      <c r="C24" s="86"/>
      <c r="D24" s="41">
        <v>0.4400043729415779</v>
      </c>
      <c r="E24" s="74">
        <f>D24</f>
        <v>0.4400043729415779</v>
      </c>
      <c r="F24" s="74">
        <f t="shared" ref="F24:U24" si="6">E24</f>
        <v>0.4400043729415779</v>
      </c>
      <c r="G24" s="74">
        <f t="shared" si="6"/>
        <v>0.4400043729415779</v>
      </c>
      <c r="H24" s="74">
        <f t="shared" si="6"/>
        <v>0.4400043729415779</v>
      </c>
      <c r="I24" s="74">
        <f t="shared" si="6"/>
        <v>0.4400043729415779</v>
      </c>
      <c r="J24" s="74">
        <f t="shared" si="6"/>
        <v>0.4400043729415779</v>
      </c>
      <c r="K24" s="74">
        <f t="shared" si="6"/>
        <v>0.4400043729415779</v>
      </c>
      <c r="L24" s="74">
        <f t="shared" si="6"/>
        <v>0.4400043729415779</v>
      </c>
      <c r="M24" s="74">
        <f t="shared" si="6"/>
        <v>0.4400043729415779</v>
      </c>
      <c r="N24" s="74">
        <f t="shared" si="6"/>
        <v>0.4400043729415779</v>
      </c>
      <c r="O24" s="74">
        <f t="shared" si="6"/>
        <v>0.4400043729415779</v>
      </c>
      <c r="P24" s="74">
        <f t="shared" si="6"/>
        <v>0.4400043729415779</v>
      </c>
      <c r="Q24" s="74">
        <f t="shared" si="6"/>
        <v>0.4400043729415779</v>
      </c>
      <c r="R24" s="74">
        <f t="shared" si="6"/>
        <v>0.4400043729415779</v>
      </c>
      <c r="S24" s="74">
        <f t="shared" si="6"/>
        <v>0.4400043729415779</v>
      </c>
      <c r="T24" s="74">
        <f t="shared" si="6"/>
        <v>0.4400043729415779</v>
      </c>
      <c r="U24" s="74">
        <f t="shared" si="6"/>
        <v>0.4400043729415779</v>
      </c>
      <c r="V24" s="74">
        <f t="shared" ref="U24:V29" si="7">U24</f>
        <v>0.4400043729415779</v>
      </c>
    </row>
    <row r="25" spans="1:22" ht="13.5" thickBot="1">
      <c r="A25" s="138" t="s">
        <v>194</v>
      </c>
      <c r="B25" s="155" t="s">
        <v>206</v>
      </c>
      <c r="C25" s="199">
        <v>0.70249326086221142</v>
      </c>
      <c r="D25" s="74">
        <f>$D$24*C25</f>
        <v>0.30910010674136162</v>
      </c>
      <c r="E25" s="74">
        <f t="shared" ref="E25:T29" si="8">D25</f>
        <v>0.30910010674136162</v>
      </c>
      <c r="F25" s="74">
        <f t="shared" si="8"/>
        <v>0.30910010674136162</v>
      </c>
      <c r="G25" s="74">
        <f t="shared" si="8"/>
        <v>0.30910010674136162</v>
      </c>
      <c r="H25" s="74">
        <f t="shared" si="8"/>
        <v>0.30910010674136162</v>
      </c>
      <c r="I25" s="74">
        <f t="shared" si="8"/>
        <v>0.30910010674136162</v>
      </c>
      <c r="J25" s="74">
        <f t="shared" si="8"/>
        <v>0.30910010674136162</v>
      </c>
      <c r="K25" s="74">
        <f t="shared" si="8"/>
        <v>0.30910010674136162</v>
      </c>
      <c r="L25" s="74">
        <f t="shared" si="8"/>
        <v>0.30910010674136162</v>
      </c>
      <c r="M25" s="74">
        <f t="shared" si="8"/>
        <v>0.30910010674136162</v>
      </c>
      <c r="N25" s="74">
        <f t="shared" si="8"/>
        <v>0.30910010674136162</v>
      </c>
      <c r="O25" s="74">
        <f t="shared" si="8"/>
        <v>0.30910010674136162</v>
      </c>
      <c r="P25" s="74">
        <f t="shared" si="8"/>
        <v>0.30910010674136162</v>
      </c>
      <c r="Q25" s="74">
        <f t="shared" si="8"/>
        <v>0.30910010674136162</v>
      </c>
      <c r="R25" s="74">
        <f t="shared" si="8"/>
        <v>0.30910010674136162</v>
      </c>
      <c r="S25" s="74">
        <f t="shared" si="8"/>
        <v>0.30910010674136162</v>
      </c>
      <c r="T25" s="74">
        <f t="shared" si="8"/>
        <v>0.30910010674136162</v>
      </c>
      <c r="U25" s="74">
        <f t="shared" si="7"/>
        <v>0.30910010674136162</v>
      </c>
      <c r="V25" s="74">
        <f t="shared" si="7"/>
        <v>0.30910010674136162</v>
      </c>
    </row>
    <row r="26" spans="1:22" ht="13.5" thickBot="1">
      <c r="A26" s="138" t="s">
        <v>196</v>
      </c>
      <c r="B26" s="155" t="s">
        <v>206</v>
      </c>
      <c r="C26" s="199">
        <v>0.62966323886435094</v>
      </c>
      <c r="D26" s="74">
        <f>$D$24*C26</f>
        <v>0.27705457858087174</v>
      </c>
      <c r="E26" s="74">
        <f t="shared" si="8"/>
        <v>0.27705457858087174</v>
      </c>
      <c r="F26" s="74">
        <f t="shared" si="8"/>
        <v>0.27705457858087174</v>
      </c>
      <c r="G26" s="74">
        <f t="shared" si="8"/>
        <v>0.27705457858087174</v>
      </c>
      <c r="H26" s="74">
        <f t="shared" si="8"/>
        <v>0.27705457858087174</v>
      </c>
      <c r="I26" s="74">
        <f t="shared" si="8"/>
        <v>0.27705457858087174</v>
      </c>
      <c r="J26" s="74">
        <f t="shared" si="8"/>
        <v>0.27705457858087174</v>
      </c>
      <c r="K26" s="74">
        <f t="shared" si="8"/>
        <v>0.27705457858087174</v>
      </c>
      <c r="L26" s="74">
        <f t="shared" si="8"/>
        <v>0.27705457858087174</v>
      </c>
      <c r="M26" s="74">
        <f t="shared" si="8"/>
        <v>0.27705457858087174</v>
      </c>
      <c r="N26" s="74">
        <f t="shared" si="8"/>
        <v>0.27705457858087174</v>
      </c>
      <c r="O26" s="74">
        <f t="shared" si="8"/>
        <v>0.27705457858087174</v>
      </c>
      <c r="P26" s="74">
        <f t="shared" si="8"/>
        <v>0.27705457858087174</v>
      </c>
      <c r="Q26" s="74">
        <f t="shared" si="8"/>
        <v>0.27705457858087174</v>
      </c>
      <c r="R26" s="74">
        <f t="shared" si="8"/>
        <v>0.27705457858087174</v>
      </c>
      <c r="S26" s="74">
        <f t="shared" si="8"/>
        <v>0.27705457858087174</v>
      </c>
      <c r="T26" s="74">
        <f t="shared" si="8"/>
        <v>0.27705457858087174</v>
      </c>
      <c r="U26" s="74">
        <f t="shared" si="7"/>
        <v>0.27705457858087174</v>
      </c>
      <c r="V26" s="74">
        <f t="shared" si="7"/>
        <v>0.27705457858087174</v>
      </c>
    </row>
    <row r="27" spans="1:22" ht="13.5" thickBot="1">
      <c r="A27" s="138" t="s">
        <v>197</v>
      </c>
      <c r="B27" s="155" t="s">
        <v>206</v>
      </c>
      <c r="C27" s="199">
        <v>0.59008170977553098</v>
      </c>
      <c r="D27" s="120">
        <f>$D$24*C27</f>
        <v>0.25963853269407666</v>
      </c>
      <c r="E27" s="120">
        <f t="shared" si="8"/>
        <v>0.25963853269407666</v>
      </c>
      <c r="F27" s="120">
        <f t="shared" ref="F27:F29" si="9">E27</f>
        <v>0.25963853269407666</v>
      </c>
      <c r="G27" s="120">
        <f t="shared" ref="G27:G29" si="10">F27</f>
        <v>0.25963853269407666</v>
      </c>
      <c r="H27" s="120">
        <f t="shared" ref="H27:H29" si="11">G27</f>
        <v>0.25963853269407666</v>
      </c>
      <c r="I27" s="120">
        <f t="shared" ref="I27:I29" si="12">H27</f>
        <v>0.25963853269407666</v>
      </c>
      <c r="J27" s="120">
        <f t="shared" ref="J27:J29" si="13">I27</f>
        <v>0.25963853269407666</v>
      </c>
      <c r="K27" s="120">
        <f t="shared" ref="K27:K29" si="14">J27</f>
        <v>0.25963853269407666</v>
      </c>
      <c r="L27" s="120">
        <f t="shared" ref="L27:L29" si="15">K27</f>
        <v>0.25963853269407666</v>
      </c>
      <c r="M27" s="120">
        <f t="shared" ref="M27:M29" si="16">L27</f>
        <v>0.25963853269407666</v>
      </c>
      <c r="N27" s="120">
        <f t="shared" ref="N27:N29" si="17">M27</f>
        <v>0.25963853269407666</v>
      </c>
      <c r="O27" s="120">
        <f t="shared" ref="O27:O29" si="18">N27</f>
        <v>0.25963853269407666</v>
      </c>
      <c r="P27" s="120">
        <f t="shared" ref="P27:P29" si="19">O27</f>
        <v>0.25963853269407666</v>
      </c>
      <c r="Q27" s="120">
        <f t="shared" ref="Q27:Q29" si="20">P27</f>
        <v>0.25963853269407666</v>
      </c>
      <c r="R27" s="120">
        <f t="shared" ref="R27:R29" si="21">Q27</f>
        <v>0.25963853269407666</v>
      </c>
      <c r="S27" s="120">
        <f t="shared" ref="S27:S29" si="22">R27</f>
        <v>0.25963853269407666</v>
      </c>
      <c r="T27" s="120">
        <f t="shared" ref="T27:T29" si="23">S27</f>
        <v>0.25963853269407666</v>
      </c>
      <c r="U27" s="120">
        <f t="shared" si="7"/>
        <v>0.25963853269407666</v>
      </c>
      <c r="V27" s="120">
        <f t="shared" si="7"/>
        <v>0.25963853269407666</v>
      </c>
    </row>
    <row r="28" spans="1:22" ht="13.5" thickBot="1">
      <c r="A28" s="138" t="s">
        <v>198</v>
      </c>
      <c r="B28" s="155" t="s">
        <v>206</v>
      </c>
      <c r="C28" s="199">
        <v>0.59008170977553098</v>
      </c>
      <c r="D28" s="120">
        <f>$D$24*C28</f>
        <v>0.25963853269407666</v>
      </c>
      <c r="E28" s="120">
        <f t="shared" si="8"/>
        <v>0.25963853269407666</v>
      </c>
      <c r="F28" s="120">
        <f t="shared" si="9"/>
        <v>0.25963853269407666</v>
      </c>
      <c r="G28" s="120">
        <f t="shared" si="10"/>
        <v>0.25963853269407666</v>
      </c>
      <c r="H28" s="120">
        <f t="shared" si="11"/>
        <v>0.25963853269407666</v>
      </c>
      <c r="I28" s="120">
        <f t="shared" si="12"/>
        <v>0.25963853269407666</v>
      </c>
      <c r="J28" s="120">
        <f t="shared" si="13"/>
        <v>0.25963853269407666</v>
      </c>
      <c r="K28" s="120">
        <f t="shared" si="14"/>
        <v>0.25963853269407666</v>
      </c>
      <c r="L28" s="120">
        <f t="shared" si="15"/>
        <v>0.25963853269407666</v>
      </c>
      <c r="M28" s="120">
        <f t="shared" si="16"/>
        <v>0.25963853269407666</v>
      </c>
      <c r="N28" s="120">
        <f t="shared" si="17"/>
        <v>0.25963853269407666</v>
      </c>
      <c r="O28" s="120">
        <f t="shared" si="18"/>
        <v>0.25963853269407666</v>
      </c>
      <c r="P28" s="120">
        <f t="shared" si="19"/>
        <v>0.25963853269407666</v>
      </c>
      <c r="Q28" s="120">
        <f t="shared" si="20"/>
        <v>0.25963853269407666</v>
      </c>
      <c r="R28" s="120">
        <f t="shared" si="21"/>
        <v>0.25963853269407666</v>
      </c>
      <c r="S28" s="120">
        <f t="shared" si="22"/>
        <v>0.25963853269407666</v>
      </c>
      <c r="T28" s="120">
        <f t="shared" si="23"/>
        <v>0.25963853269407666</v>
      </c>
      <c r="U28" s="120">
        <f t="shared" si="7"/>
        <v>0.25963853269407666</v>
      </c>
      <c r="V28" s="120">
        <f t="shared" si="7"/>
        <v>0.25963853269407666</v>
      </c>
    </row>
    <row r="29" spans="1:22" ht="13.5" thickBot="1">
      <c r="A29" s="138" t="s">
        <v>199</v>
      </c>
      <c r="B29" s="155" t="s">
        <v>206</v>
      </c>
      <c r="C29" s="199">
        <v>0.59008170977553098</v>
      </c>
      <c r="D29" s="120">
        <f>$D$24*C29</f>
        <v>0.25963853269407666</v>
      </c>
      <c r="E29" s="120">
        <f t="shared" si="8"/>
        <v>0.25963853269407666</v>
      </c>
      <c r="F29" s="120">
        <f t="shared" si="9"/>
        <v>0.25963853269407666</v>
      </c>
      <c r="G29" s="120">
        <f t="shared" si="10"/>
        <v>0.25963853269407666</v>
      </c>
      <c r="H29" s="120">
        <f t="shared" si="11"/>
        <v>0.25963853269407666</v>
      </c>
      <c r="I29" s="120">
        <f t="shared" si="12"/>
        <v>0.25963853269407666</v>
      </c>
      <c r="J29" s="120">
        <f t="shared" si="13"/>
        <v>0.25963853269407666</v>
      </c>
      <c r="K29" s="120">
        <f t="shared" si="14"/>
        <v>0.25963853269407666</v>
      </c>
      <c r="L29" s="120">
        <f t="shared" si="15"/>
        <v>0.25963853269407666</v>
      </c>
      <c r="M29" s="120">
        <f t="shared" si="16"/>
        <v>0.25963853269407666</v>
      </c>
      <c r="N29" s="120">
        <f t="shared" si="17"/>
        <v>0.25963853269407666</v>
      </c>
      <c r="O29" s="120">
        <f t="shared" si="18"/>
        <v>0.25963853269407666</v>
      </c>
      <c r="P29" s="120">
        <f t="shared" si="19"/>
        <v>0.25963853269407666</v>
      </c>
      <c r="Q29" s="120">
        <f t="shared" si="20"/>
        <v>0.25963853269407666</v>
      </c>
      <c r="R29" s="120">
        <f t="shared" si="21"/>
        <v>0.25963853269407666</v>
      </c>
      <c r="S29" s="120">
        <f t="shared" si="22"/>
        <v>0.25963853269407666</v>
      </c>
      <c r="T29" s="120">
        <f t="shared" si="23"/>
        <v>0.25963853269407666</v>
      </c>
      <c r="U29" s="120">
        <f t="shared" si="7"/>
        <v>0.25963853269407666</v>
      </c>
      <c r="V29" s="120">
        <f t="shared" si="7"/>
        <v>0.25963853269407666</v>
      </c>
    </row>
    <row r="30" spans="1:22" ht="13.5" thickBot="1">
      <c r="A30" s="83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13.5" thickBot="1">
      <c r="A31" s="371" t="s">
        <v>73</v>
      </c>
      <c r="B31" s="372"/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372"/>
      <c r="N31" s="372"/>
      <c r="O31" s="372"/>
      <c r="P31" s="372"/>
      <c r="Q31" s="372"/>
      <c r="R31" s="372"/>
      <c r="S31" s="372"/>
      <c r="T31" s="372"/>
      <c r="U31" s="372"/>
      <c r="V31" s="372"/>
    </row>
    <row r="32" spans="1:22" ht="13.5" thickBot="1">
      <c r="A32" s="83"/>
      <c r="B32" s="85"/>
      <c r="C32" s="85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3" s="101" customFormat="1" ht="13.5" thickBot="1">
      <c r="A33" s="12" t="s">
        <v>74</v>
      </c>
      <c r="B33" s="67"/>
      <c r="C33" s="10"/>
      <c r="D33" s="103">
        <f>SUMPRODUCT(D24:D29,D17:D22)</f>
        <v>18641.067429944254</v>
      </c>
      <c r="E33" s="123">
        <f t="shared" ref="E33:V33" si="24">SUMPRODUCT(E24:E29,E17:E22)</f>
        <v>18547.099726508626</v>
      </c>
      <c r="F33" s="123">
        <f t="shared" si="24"/>
        <v>19441.221218419221</v>
      </c>
      <c r="G33" s="123">
        <f t="shared" si="24"/>
        <v>20385.79582017252</v>
      </c>
      <c r="H33" s="123">
        <f t="shared" si="24"/>
        <v>21376.703437392403</v>
      </c>
      <c r="I33" s="123">
        <f t="shared" si="24"/>
        <v>22405.643123959468</v>
      </c>
      <c r="J33" s="123">
        <f t="shared" si="24"/>
        <v>23257.063941176784</v>
      </c>
      <c r="K33" s="123">
        <f t="shared" si="24"/>
        <v>24060.228137487044</v>
      </c>
      <c r="L33" s="123">
        <f t="shared" si="24"/>
        <v>24762.678227734294</v>
      </c>
      <c r="M33" s="123">
        <f t="shared" si="24"/>
        <v>25506.389313309042</v>
      </c>
      <c r="N33" s="123">
        <f t="shared" si="24"/>
        <v>26112.600806422812</v>
      </c>
      <c r="O33" s="123">
        <f t="shared" si="24"/>
        <v>26732.123038917871</v>
      </c>
      <c r="P33" s="123">
        <f t="shared" si="24"/>
        <v>27219.939051716417</v>
      </c>
      <c r="Q33" s="123">
        <f t="shared" si="24"/>
        <v>27725.168939399548</v>
      </c>
      <c r="R33" s="123">
        <f t="shared" si="24"/>
        <v>28105.151108351231</v>
      </c>
      <c r="S33" s="123">
        <f t="shared" si="24"/>
        <v>28512.97492589469</v>
      </c>
      <c r="T33" s="123">
        <f t="shared" si="24"/>
        <v>28808.1990517136</v>
      </c>
      <c r="U33" s="123">
        <f t="shared" si="24"/>
        <v>29133.139236682786</v>
      </c>
      <c r="V33" s="123">
        <f t="shared" si="24"/>
        <v>29357.258943985478</v>
      </c>
    </row>
    <row r="34" spans="1:23" ht="13.5" thickBot="1">
      <c r="A34" s="15" t="s">
        <v>34</v>
      </c>
      <c r="B34" s="85"/>
      <c r="C34" s="10"/>
      <c r="D34" s="18">
        <f>-D14</f>
        <v>-17021.203686311976</v>
      </c>
      <c r="E34" s="18">
        <f t="shared" ref="E34:V34" si="25">-E14</f>
        <v>-14216.331127065743</v>
      </c>
      <c r="F34" s="18">
        <f t="shared" si="25"/>
        <v>-14411.628559691369</v>
      </c>
      <c r="G34" s="18">
        <f t="shared" si="25"/>
        <v>-14691.507886325759</v>
      </c>
      <c r="H34" s="18">
        <f t="shared" si="25"/>
        <v>-15040.587262384515</v>
      </c>
      <c r="I34" s="18">
        <f t="shared" si="25"/>
        <v>-15263.536638526972</v>
      </c>
      <c r="J34" s="18">
        <f t="shared" si="25"/>
        <v>-13494.089623019325</v>
      </c>
      <c r="K34" s="18">
        <f t="shared" si="25"/>
        <v>-12660.107900244488</v>
      </c>
      <c r="L34" s="18">
        <f t="shared" si="25"/>
        <v>-12869.613808517333</v>
      </c>
      <c r="M34" s="18">
        <f t="shared" si="25"/>
        <v>-10299.121531919429</v>
      </c>
      <c r="N34" s="18">
        <f t="shared" si="25"/>
        <v>-8046.8999454752347</v>
      </c>
      <c r="O34" s="18">
        <f t="shared" si="25"/>
        <v>-8046.777495158477</v>
      </c>
      <c r="P34" s="18">
        <f t="shared" si="25"/>
        <v>-8185.3522894158932</v>
      </c>
      <c r="Q34" s="18">
        <f t="shared" si="25"/>
        <v>-7805.5600028095614</v>
      </c>
      <c r="R34" s="18">
        <f t="shared" si="25"/>
        <v>-7756.6725771309311</v>
      </c>
      <c r="S34" s="18">
        <f t="shared" si="25"/>
        <v>-7831.9278418165695</v>
      </c>
      <c r="T34" s="18">
        <f t="shared" si="25"/>
        <v>-7372.6624423301955</v>
      </c>
      <c r="U34" s="18">
        <f t="shared" si="25"/>
        <v>-7328.3443161791402</v>
      </c>
      <c r="V34" s="18">
        <f t="shared" si="25"/>
        <v>-7125.8114383598959</v>
      </c>
    </row>
    <row r="35" spans="1:23" ht="13.5" thickBot="1">
      <c r="A35" s="15" t="s">
        <v>4</v>
      </c>
      <c r="B35" s="85"/>
      <c r="C35" s="10"/>
      <c r="D35" s="18">
        <f>-D15</f>
        <v>-6474.5563258338261</v>
      </c>
      <c r="E35" s="18">
        <f t="shared" ref="E35:V35" si="26">-E15</f>
        <v>-6432.2156152958196</v>
      </c>
      <c r="F35" s="18">
        <f t="shared" si="26"/>
        <v>-6583.5838375261228</v>
      </c>
      <c r="G35" s="18">
        <f t="shared" si="26"/>
        <v>-6793.114375203093</v>
      </c>
      <c r="H35" s="18">
        <f t="shared" si="26"/>
        <v>-7065.4534423640634</v>
      </c>
      <c r="I35" s="18">
        <f t="shared" si="26"/>
        <v>-7340.4547020537175</v>
      </c>
      <c r="J35" s="18">
        <f t="shared" si="26"/>
        <v>-7531.5483208538471</v>
      </c>
      <c r="K35" s="18">
        <f t="shared" si="26"/>
        <v>-7632.0809659359975</v>
      </c>
      <c r="L35" s="18">
        <f t="shared" si="26"/>
        <v>-7717.9525661377738</v>
      </c>
      <c r="M35" s="18">
        <f t="shared" si="26"/>
        <v>-7807.2332494330585</v>
      </c>
      <c r="N35" s="18">
        <f t="shared" si="26"/>
        <v>-7967.3260497623423</v>
      </c>
      <c r="O35" s="18">
        <f t="shared" si="26"/>
        <v>-8170.3516015278692</v>
      </c>
      <c r="P35" s="18">
        <f t="shared" si="26"/>
        <v>-8282.1439725933269</v>
      </c>
      <c r="Q35" s="18">
        <f t="shared" si="26"/>
        <v>-8379.7735850651661</v>
      </c>
      <c r="R35" s="18">
        <f t="shared" si="26"/>
        <v>-8442.176181506451</v>
      </c>
      <c r="S35" s="18">
        <f t="shared" si="26"/>
        <v>-8378.8763851662825</v>
      </c>
      <c r="T35" s="18">
        <f t="shared" si="26"/>
        <v>-8284.6931925762274</v>
      </c>
      <c r="U35" s="18">
        <f t="shared" si="26"/>
        <v>-8269.7295495364415</v>
      </c>
      <c r="V35" s="18">
        <f t="shared" si="26"/>
        <v>-8388.4670378974806</v>
      </c>
    </row>
    <row r="36" spans="1:23" ht="6" customHeight="1" thickBot="1">
      <c r="A36" s="83"/>
      <c r="B36" s="85"/>
      <c r="C36" s="85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3" ht="13.5" thickBot="1">
      <c r="A37" s="12" t="s">
        <v>75</v>
      </c>
      <c r="B37" s="85"/>
      <c r="C37" s="10"/>
      <c r="D37" s="18">
        <f>SUM(D33:D36)</f>
        <v>-4854.6925822015473</v>
      </c>
      <c r="E37" s="18">
        <f>SUM(E33:E36)</f>
        <v>-2101.4470158529366</v>
      </c>
      <c r="F37" s="18">
        <f t="shared" ref="F37:V37" si="27">SUM(F33:F36)</f>
        <v>-1553.991178798271</v>
      </c>
      <c r="G37" s="18">
        <f t="shared" si="27"/>
        <v>-1098.826441356332</v>
      </c>
      <c r="H37" s="18">
        <f t="shared" si="27"/>
        <v>-729.33726735617529</v>
      </c>
      <c r="I37" s="18">
        <f t="shared" si="27"/>
        <v>-198.34821662122158</v>
      </c>
      <c r="J37" s="18">
        <f t="shared" si="27"/>
        <v>2231.4259973036123</v>
      </c>
      <c r="K37" s="18">
        <f t="shared" si="27"/>
        <v>3768.0392713065585</v>
      </c>
      <c r="L37" s="18">
        <f t="shared" si="27"/>
        <v>4175.1118530791864</v>
      </c>
      <c r="M37" s="18">
        <f t="shared" si="27"/>
        <v>7400.0345319565549</v>
      </c>
      <c r="N37" s="18">
        <f t="shared" si="27"/>
        <v>10098.374811185236</v>
      </c>
      <c r="O37" s="18">
        <f t="shared" si="27"/>
        <v>10514.993942231526</v>
      </c>
      <c r="P37" s="18">
        <f t="shared" si="27"/>
        <v>10752.442789707198</v>
      </c>
      <c r="Q37" s="18">
        <f t="shared" si="27"/>
        <v>11539.83535152482</v>
      </c>
      <c r="R37" s="18">
        <f t="shared" si="27"/>
        <v>11906.302349713847</v>
      </c>
      <c r="S37" s="18">
        <f t="shared" si="27"/>
        <v>12302.170698911837</v>
      </c>
      <c r="T37" s="18">
        <f t="shared" si="27"/>
        <v>13150.843416807178</v>
      </c>
      <c r="U37" s="18">
        <f t="shared" si="27"/>
        <v>13535.065370967204</v>
      </c>
      <c r="V37" s="18">
        <f t="shared" si="27"/>
        <v>13842.980467728103</v>
      </c>
    </row>
    <row r="38" spans="1:23" ht="13.5" thickBot="1">
      <c r="A38" s="83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3" ht="13.5" thickBot="1">
      <c r="A39" s="369"/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370"/>
      <c r="O39" s="370"/>
      <c r="P39" s="370"/>
      <c r="Q39" s="370"/>
      <c r="R39" s="370"/>
      <c r="S39" s="370"/>
      <c r="T39" s="370"/>
      <c r="U39" s="370"/>
      <c r="V39" s="370"/>
    </row>
    <row r="40" spans="1:23" ht="13.5" thickBot="1">
      <c r="A40" s="83"/>
      <c r="B40" s="8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3" s="101" customFormat="1" ht="13.5" thickBot="1">
      <c r="A41" s="12" t="s">
        <v>76</v>
      </c>
      <c r="B41" s="10"/>
      <c r="C41" s="103">
        <f>SUM(D41:V41)</f>
        <v>60632.101056427615</v>
      </c>
      <c r="D41" s="103">
        <f>D37*D7</f>
        <v>-4754.6198204399625</v>
      </c>
      <c r="E41" s="103">
        <f t="shared" ref="E41:V41" si="28">E37*E7</f>
        <v>-1973.2776577390566</v>
      </c>
      <c r="F41" s="103">
        <f t="shared" si="28"/>
        <v>-1399.0524453192897</v>
      </c>
      <c r="G41" s="103">
        <f t="shared" si="28"/>
        <v>-948.48450126259149</v>
      </c>
      <c r="H41" s="103">
        <f t="shared" si="28"/>
        <v>-603.59444518306441</v>
      </c>
      <c r="I41" s="103">
        <f t="shared" si="28"/>
        <v>-157.38408751173887</v>
      </c>
      <c r="J41" s="103">
        <f t="shared" si="28"/>
        <v>1697.581761161576</v>
      </c>
      <c r="K41" s="103">
        <f t="shared" si="28"/>
        <v>2748.3961025867375</v>
      </c>
      <c r="L41" s="103">
        <f t="shared" si="28"/>
        <v>2919.763734629495</v>
      </c>
      <c r="M41" s="103">
        <f t="shared" si="28"/>
        <v>4961.6832186624879</v>
      </c>
      <c r="N41" s="103">
        <f t="shared" si="28"/>
        <v>6491.7601285009914</v>
      </c>
      <c r="O41" s="103">
        <f t="shared" si="28"/>
        <v>6480.9056156386987</v>
      </c>
      <c r="P41" s="103">
        <f t="shared" si="28"/>
        <v>6354.0335250455382</v>
      </c>
      <c r="Q41" s="103">
        <f t="shared" si="28"/>
        <v>6538.1919327285132</v>
      </c>
      <c r="R41" s="103">
        <f t="shared" si="28"/>
        <v>6467.7116786701008</v>
      </c>
      <c r="S41" s="103">
        <f t="shared" si="28"/>
        <v>6407.2428472940555</v>
      </c>
      <c r="T41" s="103">
        <f t="shared" si="28"/>
        <v>6566.8747716375019</v>
      </c>
      <c r="U41" s="103">
        <f t="shared" si="28"/>
        <v>6480.0920775840468</v>
      </c>
      <c r="V41" s="103">
        <f t="shared" si="28"/>
        <v>6354.2766197435722</v>
      </c>
    </row>
    <row r="42" spans="1:23">
      <c r="A42" s="81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</row>
    <row r="43" spans="1:23" ht="13.5" thickBot="1">
      <c r="A43" s="369"/>
      <c r="B43" s="370"/>
      <c r="C43" s="370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0"/>
      <c r="Q43" s="370"/>
      <c r="R43" s="370"/>
      <c r="S43" s="370"/>
      <c r="T43" s="370"/>
      <c r="U43" s="370"/>
      <c r="V43" s="370"/>
    </row>
    <row r="44" spans="1:23" ht="13.5" thickBot="1">
      <c r="A44" s="83"/>
      <c r="B44" s="85"/>
      <c r="C44" s="85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3" s="40" customFormat="1" ht="13.5" thickBot="1">
      <c r="A45" s="12" t="s">
        <v>77</v>
      </c>
      <c r="B45" s="77"/>
      <c r="C45" s="10"/>
      <c r="D45" s="103">
        <f>DAV!P35/1000</f>
        <v>118305.73674196731</v>
      </c>
      <c r="E45" s="123">
        <f>DAV!Q35/1000</f>
        <v>127725.56362083483</v>
      </c>
      <c r="F45" s="123">
        <f>DAV!R35/1000</f>
        <v>136928.64065173111</v>
      </c>
      <c r="G45" s="123">
        <f>DAV!S35/1000</f>
        <v>145969.93880033636</v>
      </c>
      <c r="H45" s="123">
        <f>DAV!T35/1000</f>
        <v>154941.69143091896</v>
      </c>
      <c r="I45" s="123">
        <f>DAV!U35/1000</f>
        <v>163849.36457550572</v>
      </c>
      <c r="J45" s="123">
        <f>DAV!V35/1000</f>
        <v>170713.05620767968</v>
      </c>
      <c r="K45" s="123">
        <f>DAV!W35/1000</f>
        <v>176433.23817585869</v>
      </c>
      <c r="L45" s="123">
        <f>DAV!X35/1000</f>
        <v>182052.42158467497</v>
      </c>
      <c r="M45" s="123">
        <f>DAV!Y35/1000</f>
        <v>184868.17611719648</v>
      </c>
      <c r="N45" s="123">
        <f>DAV!Z35/1000</f>
        <v>185257.86821662457</v>
      </c>
      <c r="O45" s="123">
        <f>DAV!AA35/1000</f>
        <v>185459.0295138887</v>
      </c>
      <c r="P45" s="123">
        <f>DAV!AB35/1000</f>
        <v>185565.01283835334</v>
      </c>
      <c r="Q45" s="123">
        <f>DAV!AC35/1000</f>
        <v>185087.86968338187</v>
      </c>
      <c r="R45" s="123">
        <f>DAV!AD35/1000</f>
        <v>184342.85061601771</v>
      </c>
      <c r="S45" s="123">
        <f>DAV!AE35/1000</f>
        <v>183452.546207801</v>
      </c>
      <c r="T45" s="123">
        <f>DAV!AF35/1000</f>
        <v>181910.26119402947</v>
      </c>
      <c r="U45" s="123">
        <f>DAV!AG35/1000</f>
        <v>180143.96179014922</v>
      </c>
      <c r="V45" s="123">
        <f>DAV!AH35/1000</f>
        <v>177992.35307292402</v>
      </c>
      <c r="W45" s="76"/>
    </row>
    <row r="46" spans="1:23">
      <c r="A46" s="81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</row>
    <row r="47" spans="1:23" ht="13.5" thickBot="1">
      <c r="A47" s="369"/>
      <c r="B47" s="370"/>
      <c r="C47" s="370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370"/>
      <c r="Q47" s="370"/>
      <c r="R47" s="370"/>
      <c r="S47" s="370"/>
      <c r="T47" s="370"/>
      <c r="U47" s="370"/>
      <c r="V47" s="370"/>
    </row>
    <row r="48" spans="1:23" ht="13.5" thickBot="1">
      <c r="A48" s="83"/>
      <c r="B48" s="85"/>
      <c r="C48" s="7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</row>
    <row r="49" spans="1:32" ht="13.5" thickBot="1">
      <c r="A49" s="15" t="s">
        <v>78</v>
      </c>
      <c r="B49" s="10"/>
      <c r="C49" s="18">
        <f>-C65</f>
        <v>-143802.85904978559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</row>
    <row r="50" spans="1:32" ht="13.5" thickBot="1">
      <c r="A50" s="15" t="s">
        <v>79</v>
      </c>
      <c r="B50" s="10"/>
      <c r="C50" s="18">
        <f>V45*V8</f>
        <v>79983.330543081087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</row>
    <row r="51" spans="1:32" ht="13.5" thickBot="1">
      <c r="A51" s="12" t="s">
        <v>80</v>
      </c>
      <c r="B51" s="10"/>
      <c r="C51" s="39">
        <f>SUM(C41:C50)</f>
        <v>-3187.4274502768967</v>
      </c>
      <c r="D51" s="38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</row>
    <row r="52" spans="1:32">
      <c r="A52" s="81"/>
      <c r="B52" s="85"/>
      <c r="C52" s="37"/>
      <c r="D52" s="38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</row>
    <row r="53" spans="1:32" ht="13.5" thickBot="1">
      <c r="A53" s="369"/>
      <c r="B53" s="370"/>
      <c r="C53" s="370"/>
      <c r="D53" s="370"/>
      <c r="E53" s="370"/>
      <c r="F53" s="370"/>
      <c r="G53" s="370"/>
      <c r="H53" s="370"/>
      <c r="I53" s="370"/>
      <c r="J53" s="370"/>
      <c r="K53" s="370"/>
      <c r="L53" s="370"/>
      <c r="M53" s="370"/>
      <c r="N53" s="370"/>
      <c r="O53" s="370"/>
      <c r="P53" s="370"/>
      <c r="Q53" s="370"/>
      <c r="R53" s="370"/>
      <c r="S53" s="370"/>
      <c r="T53" s="370"/>
      <c r="U53" s="370"/>
      <c r="V53" s="370"/>
    </row>
    <row r="54" spans="1:32" ht="13.5" thickBot="1">
      <c r="A54" s="83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32" ht="13.5" thickBot="1">
      <c r="A55" s="371" t="s">
        <v>81</v>
      </c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</row>
    <row r="56" spans="1:32" ht="13.5" thickBot="1">
      <c r="A56" s="81"/>
      <c r="B56" s="7"/>
      <c r="C56" s="85"/>
      <c r="D56" s="85"/>
      <c r="E56" s="85"/>
      <c r="F56" s="85"/>
      <c r="G56" s="85"/>
      <c r="H56" s="85"/>
      <c r="I56" s="7"/>
      <c r="J56" s="85"/>
      <c r="K56" s="85"/>
      <c r="L56" s="85"/>
      <c r="M56" s="85"/>
      <c r="N56" s="7"/>
      <c r="O56" s="85"/>
      <c r="P56" s="85"/>
      <c r="Q56" s="85"/>
      <c r="R56" s="85"/>
      <c r="S56" s="7"/>
      <c r="T56" s="85"/>
      <c r="U56" s="85"/>
      <c r="V56" s="7"/>
    </row>
    <row r="57" spans="1:32" ht="13.5" thickBot="1">
      <c r="A57" s="36"/>
      <c r="B57" s="79" t="s">
        <v>82</v>
      </c>
      <c r="C57" s="85"/>
      <c r="D57" s="85"/>
      <c r="E57" s="85"/>
      <c r="F57" s="85"/>
      <c r="G57" s="85"/>
      <c r="H57" s="10"/>
      <c r="I57" s="103">
        <f>I67+I69</f>
        <v>197791.71276650214</v>
      </c>
      <c r="J57" s="85"/>
      <c r="K57" s="85"/>
      <c r="L57" s="85"/>
      <c r="M57" s="10"/>
      <c r="N57" s="103">
        <f>N67+N69</f>
        <v>214230.84260326135</v>
      </c>
      <c r="O57" s="85"/>
      <c r="P57" s="85"/>
      <c r="Q57" s="85"/>
      <c r="R57" s="10"/>
      <c r="S57" s="103">
        <f>S67+S69</f>
        <v>201176.73927212768</v>
      </c>
      <c r="T57" s="85"/>
      <c r="U57" s="10"/>
      <c r="V57" s="103">
        <f>V67+V69</f>
        <v>185085.55247174652</v>
      </c>
    </row>
    <row r="58" spans="1:32">
      <c r="A58" s="81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</row>
    <row r="59" spans="1:32">
      <c r="A59" s="81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</row>
    <row r="60" spans="1:32" ht="13.5" thickBot="1">
      <c r="A60" s="83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32" ht="13.5" thickBot="1">
      <c r="A61" s="371" t="s">
        <v>83</v>
      </c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</row>
    <row r="62" spans="1:32" ht="13.5" thickBot="1">
      <c r="A62" s="81"/>
      <c r="B62" s="7"/>
      <c r="C62" s="85"/>
      <c r="D62" s="7"/>
      <c r="E62" s="7"/>
      <c r="F62" s="7"/>
      <c r="G62" s="7"/>
      <c r="H62" s="7"/>
      <c r="I62" s="7" t="s">
        <v>101</v>
      </c>
      <c r="J62" s="7"/>
      <c r="K62" s="7"/>
      <c r="L62" s="7"/>
      <c r="M62" s="7"/>
      <c r="N62" s="7" t="s">
        <v>101</v>
      </c>
      <c r="O62" s="7"/>
      <c r="P62" s="7"/>
      <c r="Q62" s="7"/>
      <c r="R62" s="7"/>
      <c r="S62" s="7" t="s">
        <v>101</v>
      </c>
      <c r="T62" s="7"/>
      <c r="U62" s="7"/>
      <c r="V62" s="7"/>
      <c r="X62" s="95" t="s">
        <v>101</v>
      </c>
      <c r="AC62" s="95" t="s">
        <v>101</v>
      </c>
      <c r="AF62" s="95" t="s">
        <v>101</v>
      </c>
    </row>
    <row r="63" spans="1:32" ht="13.5" thickBot="1">
      <c r="A63" s="36"/>
      <c r="B63" s="79" t="s">
        <v>84</v>
      </c>
      <c r="C63" s="10"/>
      <c r="D63" s="102">
        <f>D37*(1+$I$6*$B$7)*(1+$I$6)^($I$12-D12)</f>
        <v>-6120.9896763508177</v>
      </c>
      <c r="E63" s="102">
        <f t="shared" ref="E63:I63" si="29">E37*(1+$I$6*$B$7)*(1+$I$6)^($I$12-E12)</f>
        <v>-2540.3528836669066</v>
      </c>
      <c r="F63" s="102">
        <f t="shared" si="29"/>
        <v>-1801.1083741455311</v>
      </c>
      <c r="G63" s="102">
        <f t="shared" si="29"/>
        <v>-1221.0574261792096</v>
      </c>
      <c r="H63" s="102">
        <f t="shared" si="29"/>
        <v>-777.05379340431932</v>
      </c>
      <c r="I63" s="102">
        <f t="shared" si="29"/>
        <v>-202.61270327857787</v>
      </c>
      <c r="J63" s="102">
        <f>J37*(1+$N$6*$B$7)*(1+$N$6)^($N$12-J12)</f>
        <v>2697.4791294648726</v>
      </c>
      <c r="K63" s="102">
        <f>K37*(1+$N$6*$B$7)*(1+$N$6)^($N$12-K12)</f>
        <v>4367.2365572291747</v>
      </c>
      <c r="L63" s="102">
        <f>L37*(1+$N$6*$B$7)*(1+$N$6)^($N$12-L12)</f>
        <v>4639.5419162269372</v>
      </c>
      <c r="M63" s="102">
        <f>M37*(1+$N$6*$B$7)*(1+$N$6)^($N$12-M12)</f>
        <v>7884.1780911925462</v>
      </c>
      <c r="N63" s="102">
        <f>N37*(1+$N$6*$B$7)*(1+$N$6)^($N$12-N12)</f>
        <v>10315.489869625721</v>
      </c>
      <c r="O63" s="102">
        <f>O37*(1+$S$6*$B$7)*(1+$S$6)^($S$12-O12)</f>
        <v>12711.143788722224</v>
      </c>
      <c r="P63" s="102">
        <f>P37*(1+$S$6*$B$7)*(1+$S$6)^($S$12-P12)</f>
        <v>12462.306746193173</v>
      </c>
      <c r="Q63" s="102">
        <f>Q37*(1+$S$6*$B$7)*(1+$S$6)^($S$12-Q12)</f>
        <v>12823.500711788323</v>
      </c>
      <c r="R63" s="102">
        <f>R37*(1+$S$6*$B$7)*(1+$S$6)^($S$12-R12)</f>
        <v>12685.266227792701</v>
      </c>
      <c r="S63" s="102">
        <f>S37*(1+$S$6*$B$7)*(1+$S$6)^($S$12-S12)</f>
        <v>12566.667368938442</v>
      </c>
      <c r="T63" s="102">
        <f>T37*(1+$V$6*$B$7)*(1+$V$6)^($V$12-T12)</f>
        <v>14613.713695123071</v>
      </c>
      <c r="U63" s="102">
        <f>U37*(1+$V$6*$B$7)*(1+$V$6)^($V$12-U12)</f>
        <v>14420.590255330049</v>
      </c>
      <c r="V63" s="102">
        <f>V37*(1+$V$6*$B$7)*(1+$V$6)^($V$12-V12)</f>
        <v>14140.604547784258</v>
      </c>
    </row>
    <row r="64" spans="1:32" ht="4.5" customHeight="1" thickBot="1">
      <c r="A64" s="81"/>
      <c r="B64" s="7"/>
      <c r="C64" s="7"/>
      <c r="D64" s="100"/>
      <c r="E64" s="100"/>
      <c r="F64" s="100"/>
      <c r="G64" s="100"/>
      <c r="H64" s="100"/>
      <c r="I64" s="20"/>
      <c r="J64" s="100"/>
      <c r="K64" s="100"/>
      <c r="L64" s="100"/>
      <c r="M64" s="100"/>
      <c r="N64" s="20"/>
      <c r="O64" s="100"/>
      <c r="P64" s="100"/>
      <c r="Q64" s="100"/>
      <c r="R64" s="100"/>
      <c r="S64" s="20"/>
      <c r="T64" s="100"/>
      <c r="U64" s="100"/>
      <c r="V64" s="20"/>
    </row>
    <row r="65" spans="1:22" ht="13.5" thickBot="1">
      <c r="A65" s="36"/>
      <c r="B65" s="79" t="s">
        <v>85</v>
      </c>
      <c r="C65" s="103">
        <f>Inputs!O128/1000</f>
        <v>143802.85904978559</v>
      </c>
      <c r="D65" s="100"/>
      <c r="E65" s="71"/>
      <c r="F65" s="71"/>
      <c r="G65" s="100"/>
      <c r="H65" s="70"/>
      <c r="I65" s="102">
        <f>-$C$65*(1+I6)^(I12-C12)</f>
        <v>-185128.53790947678</v>
      </c>
      <c r="J65" s="71"/>
      <c r="K65" s="71"/>
      <c r="L65" s="100"/>
      <c r="M65" s="70"/>
      <c r="N65" s="102">
        <f>-I57*(1+N6)^(N12-I12)</f>
        <v>-244134.76816700061</v>
      </c>
      <c r="O65" s="100"/>
      <c r="P65" s="71"/>
      <c r="Q65" s="100"/>
      <c r="R65" s="70"/>
      <c r="S65" s="102">
        <f>-N57*(1+S6)^(S12-N12)</f>
        <v>-264425.62411556253</v>
      </c>
      <c r="T65" s="71"/>
      <c r="U65" s="70"/>
      <c r="V65" s="102">
        <f>-S57*(1+V6)^(V12-S12)</f>
        <v>-228260.46096998389</v>
      </c>
    </row>
    <row r="66" spans="1:22" ht="4.5" customHeight="1" thickBot="1">
      <c r="A66" s="81"/>
      <c r="B66" s="35"/>
      <c r="C66" s="85"/>
      <c r="D66" s="100"/>
      <c r="E66" s="100"/>
      <c r="F66" s="100"/>
      <c r="G66" s="100"/>
      <c r="H66" s="100"/>
      <c r="I66" s="20"/>
      <c r="J66" s="100"/>
      <c r="K66" s="100"/>
      <c r="L66" s="100"/>
      <c r="M66" s="100"/>
      <c r="N66" s="20"/>
      <c r="O66" s="100"/>
      <c r="P66" s="100"/>
      <c r="Q66" s="100"/>
      <c r="R66" s="100"/>
      <c r="S66" s="20"/>
      <c r="T66" s="100"/>
      <c r="U66" s="100"/>
      <c r="V66" s="20"/>
    </row>
    <row r="67" spans="1:22" ht="13.5" thickBot="1">
      <c r="A67" s="81"/>
      <c r="B67" s="79" t="s">
        <v>62</v>
      </c>
      <c r="C67" s="85"/>
      <c r="D67" s="100"/>
      <c r="E67" s="71"/>
      <c r="F67" s="71"/>
      <c r="G67" s="100"/>
      <c r="H67" s="70"/>
      <c r="I67" s="102">
        <f>I45</f>
        <v>163849.36457550572</v>
      </c>
      <c r="J67" s="71"/>
      <c r="K67" s="71"/>
      <c r="L67" s="100"/>
      <c r="M67" s="70"/>
      <c r="N67" s="102">
        <f>N45</f>
        <v>185257.86821662457</v>
      </c>
      <c r="O67" s="100"/>
      <c r="P67" s="71"/>
      <c r="Q67" s="100"/>
      <c r="R67" s="70"/>
      <c r="S67" s="102">
        <f>S45</f>
        <v>183452.546207801</v>
      </c>
      <c r="T67" s="71"/>
      <c r="U67" s="70"/>
      <c r="V67" s="102">
        <f>V45</f>
        <v>177992.35307292402</v>
      </c>
    </row>
    <row r="68" spans="1:22" ht="6" customHeight="1" thickBot="1">
      <c r="A68" s="81"/>
      <c r="B68" s="35"/>
      <c r="C68" s="85"/>
      <c r="D68" s="100"/>
      <c r="E68" s="100"/>
      <c r="F68" s="100"/>
      <c r="G68" s="100"/>
      <c r="H68" s="100"/>
      <c r="I68" s="20"/>
      <c r="J68" s="100"/>
      <c r="K68" s="100"/>
      <c r="L68" s="100"/>
      <c r="M68" s="100"/>
      <c r="N68" s="20"/>
      <c r="O68" s="100"/>
      <c r="P68" s="100"/>
      <c r="Q68" s="100"/>
      <c r="R68" s="100"/>
      <c r="S68" s="20"/>
      <c r="T68" s="100"/>
      <c r="U68" s="100"/>
      <c r="V68" s="20"/>
    </row>
    <row r="69" spans="1:22" ht="13.5" thickBot="1">
      <c r="A69" s="81"/>
      <c r="B69" s="79" t="s">
        <v>86</v>
      </c>
      <c r="C69" s="85"/>
      <c r="D69" s="100"/>
      <c r="E69" s="71"/>
      <c r="F69" s="71"/>
      <c r="G69" s="100"/>
      <c r="H69" s="70"/>
      <c r="I69" s="102">
        <f>-SUM(D63:I68)</f>
        <v>33942.348190996418</v>
      </c>
      <c r="J69" s="71"/>
      <c r="K69" s="71"/>
      <c r="L69" s="100"/>
      <c r="M69" s="70"/>
      <c r="N69" s="102">
        <f>-SUM(J63:N68)</f>
        <v>28972.974386636779</v>
      </c>
      <c r="O69" s="100"/>
      <c r="P69" s="71"/>
      <c r="Q69" s="100"/>
      <c r="R69" s="70"/>
      <c r="S69" s="102">
        <f>-SUM(O63:S68)</f>
        <v>17724.193064326682</v>
      </c>
      <c r="T69" s="71"/>
      <c r="U69" s="70"/>
      <c r="V69" s="102">
        <f>-SUM(T63:V68)</f>
        <v>7093.1993988225004</v>
      </c>
    </row>
    <row r="70" spans="1:22" s="32" customFormat="1" ht="13.5" thickBot="1">
      <c r="A70" s="34"/>
      <c r="B70" s="33" t="s">
        <v>55</v>
      </c>
      <c r="C70" s="33"/>
      <c r="D70" s="69"/>
      <c r="E70" s="69"/>
      <c r="F70" s="69"/>
      <c r="G70" s="68"/>
      <c r="H70" s="69"/>
      <c r="I70" s="69">
        <f>SUM(D63:I69)</f>
        <v>0</v>
      </c>
      <c r="J70" s="69"/>
      <c r="K70" s="69"/>
      <c r="L70" s="68"/>
      <c r="M70" s="69"/>
      <c r="N70" s="69">
        <f>SUM(J63:N69)</f>
        <v>0</v>
      </c>
      <c r="O70" s="68"/>
      <c r="P70" s="69"/>
      <c r="Q70" s="68"/>
      <c r="R70" s="68"/>
      <c r="S70" s="69">
        <f>SUM(O63:S69)</f>
        <v>0</v>
      </c>
      <c r="T70" s="68"/>
      <c r="U70" s="68"/>
      <c r="V70" s="69">
        <f>SUM(T63:V69)</f>
        <v>0</v>
      </c>
    </row>
    <row r="73" spans="1:22">
      <c r="H73" s="95" t="s">
        <v>128</v>
      </c>
      <c r="I73" s="171">
        <f>SUM(D14:I15)/6</f>
        <v>21889.028909763831</v>
      </c>
    </row>
    <row r="74" spans="1:22">
      <c r="H74" s="95" t="s">
        <v>129</v>
      </c>
      <c r="I74" s="172">
        <f>(+C65+I57)/2</f>
        <v>170797.28590814385</v>
      </c>
    </row>
    <row r="76" spans="1:22">
      <c r="H76" s="95" t="s">
        <v>130</v>
      </c>
      <c r="I76" s="173">
        <f>+I74/I73</f>
        <v>7.8028717771009903</v>
      </c>
    </row>
    <row r="78" spans="1:22" ht="13.5" thickBot="1">
      <c r="D78" s="137">
        <f>(SUM(D72:D77))+4162954.34941467</f>
        <v>4162954.3494146699</v>
      </c>
      <c r="E78" s="137">
        <f>(SUM(E72:E77))+4533329.78337157</f>
        <v>4533329.7833715724</v>
      </c>
      <c r="F78" s="137">
        <f>(SUM(F72:F77))+4932708.67857861</f>
        <v>4932708.6785786059</v>
      </c>
      <c r="G78" s="137">
        <f>(SUM(G72:G77))+5347599.74421037</f>
        <v>5347599.7442103727</v>
      </c>
      <c r="H78" s="137">
        <f>(SUM(H72:H77))+5741466.60358512</f>
        <v>5741466.6035851231</v>
      </c>
      <c r="I78" s="137">
        <f>(SUM(I72:I77))+6102467.09446314</f>
        <v>6295161.2121528247</v>
      </c>
    </row>
    <row r="80" spans="1:22">
      <c r="I80" s="95">
        <f>SUM(D78:I78)/6/1000</f>
        <v>5168.8700618855282</v>
      </c>
    </row>
    <row r="82" spans="9:9">
      <c r="I82" s="95">
        <f>(+C65+I57)/2</f>
        <v>170797.28590814385</v>
      </c>
    </row>
    <row r="83" spans="9:9">
      <c r="I83" s="174">
        <f>+I80/I82</f>
        <v>3.0263186176537886E-2</v>
      </c>
    </row>
  </sheetData>
  <dataConsolidate/>
  <mergeCells count="9">
    <mergeCell ref="A53:V53"/>
    <mergeCell ref="A55:V55"/>
    <mergeCell ref="A61:V61"/>
    <mergeCell ref="A2:C2"/>
    <mergeCell ref="D2:E2"/>
    <mergeCell ref="A31:V31"/>
    <mergeCell ref="A39:V39"/>
    <mergeCell ref="A43:V43"/>
    <mergeCell ref="A47:V47"/>
  </mergeCells>
  <pageMargins left="0.70866141732283472" right="0.70866141732283472" top="0.74803149606299213" bottom="0.74803149606299213" header="0.31496062992125984" footer="0.31496062992125984"/>
  <pageSetup paperSize="8" scale="5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outlinePr summaryBelow="0"/>
    <pageSetUpPr fitToPage="1"/>
  </sheetPr>
  <dimension ref="A1:AG91"/>
  <sheetViews>
    <sheetView zoomScale="70" zoomScaleNormal="7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I57" sqref="I57"/>
    </sheetView>
  </sheetViews>
  <sheetFormatPr defaultRowHeight="12.75" outlineLevelRow="1"/>
  <cols>
    <col min="1" max="1" width="53.28515625" style="95" customWidth="1"/>
    <col min="2" max="2" width="48.7109375" style="95" customWidth="1"/>
    <col min="3" max="3" width="12.28515625" style="95" bestFit="1" customWidth="1"/>
    <col min="4" max="5" width="12" style="95" bestFit="1" customWidth="1"/>
    <col min="6" max="6" width="12.5703125" style="95" bestFit="1" customWidth="1"/>
    <col min="7" max="10" width="11.85546875" style="95" bestFit="1" customWidth="1"/>
    <col min="11" max="11" width="12.5703125" style="95" bestFit="1" customWidth="1"/>
    <col min="12" max="15" width="11.85546875" style="95" bestFit="1" customWidth="1"/>
    <col min="16" max="16" width="12.5703125" style="95" bestFit="1" customWidth="1"/>
    <col min="17" max="20" width="11.85546875" style="95" bestFit="1" customWidth="1"/>
    <col min="21" max="21" width="12.5703125" style="95" bestFit="1" customWidth="1"/>
    <col min="22" max="22" width="11.85546875" style="95" bestFit="1" customWidth="1"/>
    <col min="23" max="23" width="9.140625" style="95"/>
    <col min="24" max="24" width="11.42578125" style="95" bestFit="1" customWidth="1"/>
    <col min="25" max="28" width="9.140625" style="95"/>
    <col min="29" max="29" width="11.42578125" style="95" bestFit="1" customWidth="1"/>
    <col min="30" max="31" width="9.140625" style="95"/>
    <col min="32" max="32" width="11" style="95" bestFit="1" customWidth="1"/>
    <col min="33" max="16384" width="9.140625" style="95"/>
  </cols>
  <sheetData>
    <row r="1" spans="1:32" ht="14.25" hidden="1" thickTop="1" thickBot="1">
      <c r="A1" s="97">
        <f>242.7/193.4</f>
        <v>1.2549120992761116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3.5" customHeight="1" thickBot="1">
      <c r="A2" s="377" t="s">
        <v>65</v>
      </c>
      <c r="B2" s="378"/>
      <c r="C2" s="379"/>
      <c r="D2" s="380" t="s">
        <v>66</v>
      </c>
      <c r="E2" s="379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277"/>
      <c r="AE2" s="277"/>
      <c r="AF2" s="278"/>
    </row>
    <row r="3" spans="1:32" ht="24" thickBot="1">
      <c r="A3" s="279"/>
      <c r="B3" s="117"/>
      <c r="C3" s="80"/>
      <c r="D3" s="116" t="s">
        <v>98</v>
      </c>
      <c r="E3" s="170">
        <v>4.3200000000000002E-2</v>
      </c>
      <c r="F3" s="85"/>
      <c r="G3" s="85"/>
      <c r="H3" s="85"/>
      <c r="I3" s="143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280"/>
    </row>
    <row r="4" spans="1:32" ht="27.75" customHeight="1" thickBot="1">
      <c r="A4" s="281"/>
      <c r="B4" s="72" t="s">
        <v>100</v>
      </c>
      <c r="C4" s="80"/>
      <c r="D4" s="116" t="s">
        <v>99</v>
      </c>
      <c r="E4" s="170">
        <f>E3</f>
        <v>4.3200000000000002E-2</v>
      </c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280"/>
    </row>
    <row r="5" spans="1:32" ht="13.5" thickBot="1">
      <c r="A5" s="281"/>
      <c r="B5" s="276" t="s">
        <v>67</v>
      </c>
      <c r="C5" s="85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282"/>
    </row>
    <row r="6" spans="1:32" ht="13.5" thickBot="1">
      <c r="A6" s="283" t="s">
        <v>68</v>
      </c>
      <c r="B6" s="117"/>
      <c r="C6" s="121"/>
      <c r="D6" s="121">
        <f>E3</f>
        <v>4.3200000000000002E-2</v>
      </c>
      <c r="E6" s="121">
        <f>D6</f>
        <v>4.3200000000000002E-2</v>
      </c>
      <c r="F6" s="121">
        <f>E6</f>
        <v>4.3200000000000002E-2</v>
      </c>
      <c r="G6" s="121">
        <f>F6</f>
        <v>4.3200000000000002E-2</v>
      </c>
      <c r="H6" s="121">
        <f>G6</f>
        <v>4.3200000000000002E-2</v>
      </c>
      <c r="I6" s="121">
        <f>H6</f>
        <v>4.3200000000000002E-2</v>
      </c>
      <c r="J6" s="121">
        <f>E4</f>
        <v>4.3200000000000002E-2</v>
      </c>
      <c r="K6" s="121">
        <f>J6</f>
        <v>4.3200000000000002E-2</v>
      </c>
      <c r="L6" s="121">
        <f t="shared" ref="L6:V6" si="0">K6</f>
        <v>4.3200000000000002E-2</v>
      </c>
      <c r="M6" s="121">
        <f t="shared" si="0"/>
        <v>4.3200000000000002E-2</v>
      </c>
      <c r="N6" s="121">
        <f t="shared" si="0"/>
        <v>4.3200000000000002E-2</v>
      </c>
      <c r="O6" s="121">
        <f t="shared" si="0"/>
        <v>4.3200000000000002E-2</v>
      </c>
      <c r="P6" s="121">
        <f t="shared" si="0"/>
        <v>4.3200000000000002E-2</v>
      </c>
      <c r="Q6" s="121">
        <f t="shared" si="0"/>
        <v>4.3200000000000002E-2</v>
      </c>
      <c r="R6" s="121">
        <f t="shared" si="0"/>
        <v>4.3200000000000002E-2</v>
      </c>
      <c r="S6" s="121">
        <f t="shared" si="0"/>
        <v>4.3200000000000002E-2</v>
      </c>
      <c r="T6" s="121">
        <f t="shared" si="0"/>
        <v>4.3200000000000002E-2</v>
      </c>
      <c r="U6" s="121">
        <f t="shared" si="0"/>
        <v>4.3200000000000002E-2</v>
      </c>
      <c r="V6" s="121">
        <f t="shared" si="0"/>
        <v>4.3200000000000002E-2</v>
      </c>
      <c r="W6" s="121">
        <f t="shared" ref="W6" si="1">V6</f>
        <v>4.3200000000000002E-2</v>
      </c>
      <c r="X6" s="121">
        <f t="shared" ref="X6" si="2">W6</f>
        <v>4.3200000000000002E-2</v>
      </c>
      <c r="Y6" s="121">
        <f t="shared" ref="Y6" si="3">X6</f>
        <v>4.3200000000000002E-2</v>
      </c>
      <c r="Z6" s="121">
        <f t="shared" ref="Z6" si="4">Y6</f>
        <v>4.3200000000000002E-2</v>
      </c>
      <c r="AA6" s="121">
        <f t="shared" ref="AA6" si="5">Z6</f>
        <v>4.3200000000000002E-2</v>
      </c>
      <c r="AB6" s="121">
        <f t="shared" ref="AB6" si="6">AA6</f>
        <v>4.3200000000000002E-2</v>
      </c>
      <c r="AC6" s="121">
        <f t="shared" ref="AC6" si="7">AB6</f>
        <v>4.3200000000000002E-2</v>
      </c>
      <c r="AD6" s="121">
        <f t="shared" ref="AD6" si="8">AC6</f>
        <v>4.3200000000000002E-2</v>
      </c>
      <c r="AE6" s="121">
        <f t="shared" ref="AE6" si="9">AD6</f>
        <v>4.3200000000000002E-2</v>
      </c>
      <c r="AF6" s="284">
        <f t="shared" ref="AF6" si="10">AE6</f>
        <v>4.3200000000000002E-2</v>
      </c>
    </row>
    <row r="7" spans="1:32" ht="13.5" thickBot="1">
      <c r="A7" s="283" t="s">
        <v>69</v>
      </c>
      <c r="B7" s="276">
        <v>0.5</v>
      </c>
      <c r="C7" s="122">
        <v>1</v>
      </c>
      <c r="D7" s="122">
        <f t="shared" ref="D7:AF7" si="11">D8*(1+D6*$B$7)</f>
        <v>0.97929447852760754</v>
      </c>
      <c r="E7" s="122">
        <f t="shared" si="11"/>
        <v>0.93874087282170982</v>
      </c>
      <c r="F7" s="122">
        <f t="shared" si="11"/>
        <v>0.89986663422326496</v>
      </c>
      <c r="G7" s="122">
        <f t="shared" si="11"/>
        <v>0.86260221838886597</v>
      </c>
      <c r="H7" s="122">
        <f t="shared" si="11"/>
        <v>0.82688096087889773</v>
      </c>
      <c r="I7" s="122">
        <f t="shared" si="11"/>
        <v>0.79263895789771643</v>
      </c>
      <c r="J7" s="122">
        <f t="shared" si="11"/>
        <v>0.75981495197250426</v>
      </c>
      <c r="K7" s="122">
        <f t="shared" si="11"/>
        <v>0.728350222366281</v>
      </c>
      <c r="L7" s="122">
        <f t="shared" si="11"/>
        <v>0.69818848002902711</v>
      </c>
      <c r="M7" s="122">
        <f t="shared" si="11"/>
        <v>0.66927576689899071</v>
      </c>
      <c r="N7" s="122">
        <f t="shared" si="11"/>
        <v>0.64156035937403266</v>
      </c>
      <c r="O7" s="122">
        <f t="shared" si="11"/>
        <v>0.6149926757803228</v>
      </c>
      <c r="P7" s="122">
        <f t="shared" si="11"/>
        <v>0.58952518767285544</v>
      </c>
      <c r="Q7" s="122">
        <f t="shared" si="11"/>
        <v>0.56511233480910228</v>
      </c>
      <c r="R7" s="122">
        <f t="shared" si="11"/>
        <v>0.54171044364369481</v>
      </c>
      <c r="S7" s="122">
        <f t="shared" si="11"/>
        <v>0.51927764919832708</v>
      </c>
      <c r="T7" s="122">
        <f t="shared" si="11"/>
        <v>0.49777382016710808</v>
      </c>
      <c r="U7" s="122">
        <f t="shared" si="11"/>
        <v>0.47716048712337816</v>
      </c>
      <c r="V7" s="122">
        <f t="shared" si="11"/>
        <v>0.45740077369955734</v>
      </c>
      <c r="W7" s="122">
        <f t="shared" si="11"/>
        <v>0.43845933061690701</v>
      </c>
      <c r="X7" s="122">
        <f t="shared" si="11"/>
        <v>0.42030227244718849</v>
      </c>
      <c r="Y7" s="122">
        <f t="shared" si="11"/>
        <v>0.40289711699308711</v>
      </c>
      <c r="Z7" s="122">
        <f t="shared" si="11"/>
        <v>0.38621272717895627</v>
      </c>
      <c r="AA7" s="122">
        <f t="shared" si="11"/>
        <v>0.37021925534792594</v>
      </c>
      <c r="AB7" s="122">
        <f t="shared" si="11"/>
        <v>0.35488808986572656</v>
      </c>
      <c r="AC7" s="122">
        <f t="shared" si="11"/>
        <v>0.3401918039357042</v>
      </c>
      <c r="AD7" s="122">
        <f t="shared" si="11"/>
        <v>0.32610410653345878</v>
      </c>
      <c r="AE7" s="122">
        <f t="shared" si="11"/>
        <v>0.31259979537333094</v>
      </c>
      <c r="AF7" s="285">
        <f t="shared" si="11"/>
        <v>0.29965471182259484</v>
      </c>
    </row>
    <row r="8" spans="1:32" ht="13.5" thickBot="1">
      <c r="A8" s="283" t="s">
        <v>70</v>
      </c>
      <c r="B8" s="80"/>
      <c r="C8" s="122">
        <v>1</v>
      </c>
      <c r="D8" s="122">
        <f t="shared" ref="D8:AF8" si="12">C8/(1+D6)</f>
        <v>0.95858895705521485</v>
      </c>
      <c r="E8" s="122">
        <f t="shared" si="12"/>
        <v>0.91889278858820456</v>
      </c>
      <c r="F8" s="122">
        <f t="shared" si="12"/>
        <v>0.88084047985832503</v>
      </c>
      <c r="G8" s="122">
        <f t="shared" si="12"/>
        <v>0.84436395691940669</v>
      </c>
      <c r="H8" s="122">
        <f t="shared" si="12"/>
        <v>0.80939796483838844</v>
      </c>
      <c r="I8" s="122">
        <f t="shared" si="12"/>
        <v>0.77587995095704421</v>
      </c>
      <c r="J8" s="122">
        <f t="shared" si="12"/>
        <v>0.7437499529879642</v>
      </c>
      <c r="K8" s="122">
        <f t="shared" si="12"/>
        <v>0.71295049174459768</v>
      </c>
      <c r="L8" s="122">
        <f t="shared" si="12"/>
        <v>0.68342646831345644</v>
      </c>
      <c r="M8" s="122">
        <f t="shared" si="12"/>
        <v>0.65512506548452498</v>
      </c>
      <c r="N8" s="122">
        <f t="shared" si="12"/>
        <v>0.62799565326354012</v>
      </c>
      <c r="O8" s="122">
        <f t="shared" si="12"/>
        <v>0.60198969829710525</v>
      </c>
      <c r="P8" s="122">
        <f t="shared" si="12"/>
        <v>0.57706067704860553</v>
      </c>
      <c r="Q8" s="122">
        <f t="shared" si="12"/>
        <v>0.55316399256959892</v>
      </c>
      <c r="R8" s="122">
        <f t="shared" si="12"/>
        <v>0.53025689471779047</v>
      </c>
      <c r="S8" s="122">
        <f t="shared" si="12"/>
        <v>0.50829840367886359</v>
      </c>
      <c r="T8" s="122">
        <f t="shared" si="12"/>
        <v>0.48724923665535241</v>
      </c>
      <c r="U8" s="122">
        <f t="shared" si="12"/>
        <v>0.4670717375914038</v>
      </c>
      <c r="V8" s="122">
        <f t="shared" si="12"/>
        <v>0.44772980980771077</v>
      </c>
      <c r="W8" s="122">
        <f t="shared" si="12"/>
        <v>0.42918885142610314</v>
      </c>
      <c r="X8" s="122">
        <f t="shared" si="12"/>
        <v>0.41141569346827372</v>
      </c>
      <c r="Y8" s="122">
        <f t="shared" si="12"/>
        <v>0.39437854051790044</v>
      </c>
      <c r="Z8" s="122">
        <f t="shared" si="12"/>
        <v>0.37804691384001199</v>
      </c>
      <c r="AA8" s="122">
        <f t="shared" si="12"/>
        <v>0.36239159685583977</v>
      </c>
      <c r="AB8" s="122">
        <f t="shared" si="12"/>
        <v>0.3473845828756133</v>
      </c>
      <c r="AC8" s="122">
        <f t="shared" si="12"/>
        <v>0.33299902499579498</v>
      </c>
      <c r="AD8" s="122">
        <f t="shared" si="12"/>
        <v>0.31920918807112253</v>
      </c>
      <c r="AE8" s="122">
        <f t="shared" si="12"/>
        <v>0.30599040267553929</v>
      </c>
      <c r="AF8" s="285">
        <f t="shared" si="12"/>
        <v>0.2933190209696504</v>
      </c>
    </row>
    <row r="9" spans="1:32">
      <c r="A9" s="279"/>
      <c r="B9" s="85"/>
      <c r="C9" s="92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286"/>
    </row>
    <row r="10" spans="1:32" ht="13.5" thickBot="1">
      <c r="A10" s="287"/>
      <c r="B10" s="90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288"/>
    </row>
    <row r="11" spans="1:32" ht="24" customHeight="1" thickBot="1">
      <c r="A11" s="279"/>
      <c r="B11" s="85"/>
      <c r="C11" s="92"/>
      <c r="D11" s="117"/>
      <c r="E11" s="117"/>
      <c r="F11" s="117"/>
      <c r="G11" s="117"/>
      <c r="H11" s="117"/>
      <c r="I11" s="117"/>
      <c r="J11" s="390" t="s">
        <v>221</v>
      </c>
      <c r="K11" s="391"/>
      <c r="L11" s="391"/>
      <c r="M11" s="391"/>
      <c r="N11" s="391"/>
      <c r="O11" s="391"/>
      <c r="P11" s="391"/>
      <c r="Q11" s="391"/>
      <c r="R11" s="391"/>
      <c r="S11" s="391"/>
      <c r="T11" s="391"/>
      <c r="U11" s="391"/>
      <c r="V11" s="391"/>
      <c r="W11" s="391"/>
      <c r="X11" s="391"/>
      <c r="Y11" s="391"/>
      <c r="Z11" s="391"/>
      <c r="AA11" s="391"/>
      <c r="AB11" s="391"/>
      <c r="AC11" s="391"/>
      <c r="AD11" s="391"/>
      <c r="AE11" s="391"/>
      <c r="AF11" s="392"/>
    </row>
    <row r="12" spans="1:32" ht="13.5" thickBot="1">
      <c r="A12" s="279"/>
      <c r="B12" s="85"/>
      <c r="C12" s="134">
        <v>2016</v>
      </c>
      <c r="D12" s="276">
        <v>2017</v>
      </c>
      <c r="E12" s="276">
        <f t="shared" ref="E12:V12" si="13">D12+1</f>
        <v>2018</v>
      </c>
      <c r="F12" s="276">
        <f t="shared" si="13"/>
        <v>2019</v>
      </c>
      <c r="G12" s="276">
        <f t="shared" si="13"/>
        <v>2020</v>
      </c>
      <c r="H12" s="276">
        <f t="shared" si="13"/>
        <v>2021</v>
      </c>
      <c r="I12" s="276">
        <f t="shared" si="13"/>
        <v>2022</v>
      </c>
      <c r="J12" s="276">
        <f t="shared" si="13"/>
        <v>2023</v>
      </c>
      <c r="K12" s="276">
        <f t="shared" si="13"/>
        <v>2024</v>
      </c>
      <c r="L12" s="276">
        <f t="shared" si="13"/>
        <v>2025</v>
      </c>
      <c r="M12" s="276">
        <f t="shared" si="13"/>
        <v>2026</v>
      </c>
      <c r="N12" s="276">
        <f t="shared" si="13"/>
        <v>2027</v>
      </c>
      <c r="O12" s="276">
        <f t="shared" si="13"/>
        <v>2028</v>
      </c>
      <c r="P12" s="276">
        <f t="shared" si="13"/>
        <v>2029</v>
      </c>
      <c r="Q12" s="276">
        <f t="shared" si="13"/>
        <v>2030</v>
      </c>
      <c r="R12" s="276">
        <f t="shared" si="13"/>
        <v>2031</v>
      </c>
      <c r="S12" s="276">
        <f t="shared" si="13"/>
        <v>2032</v>
      </c>
      <c r="T12" s="276">
        <f t="shared" si="13"/>
        <v>2033</v>
      </c>
      <c r="U12" s="276">
        <f t="shared" si="13"/>
        <v>2034</v>
      </c>
      <c r="V12" s="276">
        <f t="shared" si="13"/>
        <v>2035</v>
      </c>
      <c r="W12" s="276">
        <f t="shared" ref="W12" si="14">V12+1</f>
        <v>2036</v>
      </c>
      <c r="X12" s="276">
        <f t="shared" ref="X12" si="15">W12+1</f>
        <v>2037</v>
      </c>
      <c r="Y12" s="276">
        <f t="shared" ref="Y12" si="16">X12+1</f>
        <v>2038</v>
      </c>
      <c r="Z12" s="276">
        <f t="shared" ref="Z12" si="17">Y12+1</f>
        <v>2039</v>
      </c>
      <c r="AA12" s="276">
        <f t="shared" ref="AA12" si="18">Z12+1</f>
        <v>2040</v>
      </c>
      <c r="AB12" s="276">
        <f t="shared" ref="AB12" si="19">AA12+1</f>
        <v>2041</v>
      </c>
      <c r="AC12" s="276">
        <f t="shared" ref="AC12" si="20">AB12+1</f>
        <v>2042</v>
      </c>
      <c r="AD12" s="276">
        <f t="shared" ref="AD12" si="21">AC12+1</f>
        <v>2043</v>
      </c>
      <c r="AE12" s="276">
        <f t="shared" ref="AE12:AF12" si="22">AD12+1</f>
        <v>2044</v>
      </c>
      <c r="AF12" s="289">
        <f t="shared" si="22"/>
        <v>2045</v>
      </c>
    </row>
    <row r="13" spans="1:32" ht="13.5" thickBot="1">
      <c r="A13" s="290"/>
      <c r="B13" s="85"/>
      <c r="C13" s="85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282"/>
    </row>
    <row r="14" spans="1:32" ht="13.5" thickBot="1">
      <c r="A14" s="283" t="s">
        <v>34</v>
      </c>
      <c r="B14" s="85"/>
      <c r="C14" s="134"/>
      <c r="D14" s="118">
        <f>Inputs!P102/1000</f>
        <v>17021.203686311976</v>
      </c>
      <c r="E14" s="118">
        <f>Inputs!Q102/1000</f>
        <v>14216.331127065743</v>
      </c>
      <c r="F14" s="118">
        <f>Inputs!R102/1000</f>
        <v>14411.628559691369</v>
      </c>
      <c r="G14" s="118">
        <f>Inputs!S102/1000</f>
        <v>14691.507886325759</v>
      </c>
      <c r="H14" s="118">
        <f>Inputs!T102/1000</f>
        <v>15040.587262384515</v>
      </c>
      <c r="I14" s="118">
        <f>Inputs!U102/1000</f>
        <v>15263.536638526972</v>
      </c>
      <c r="J14" s="118">
        <f>Inputs!V102/1000</f>
        <v>13494.089623019325</v>
      </c>
      <c r="K14" s="118">
        <f>Inputs!W102/1000</f>
        <v>12660.107900244488</v>
      </c>
      <c r="L14" s="118">
        <f>Inputs!X102/1000</f>
        <v>12869.613808517333</v>
      </c>
      <c r="M14" s="118">
        <f>Inputs!Y102/1000</f>
        <v>10299.121531919429</v>
      </c>
      <c r="N14" s="118">
        <f>Inputs!Z102/1000</f>
        <v>8046.8999454752347</v>
      </c>
      <c r="O14" s="118">
        <f>Inputs!AA102/1000</f>
        <v>8046.777495158477</v>
      </c>
      <c r="P14" s="118">
        <f>Inputs!AB102/1000</f>
        <v>8185.3522894158932</v>
      </c>
      <c r="Q14" s="118">
        <f>Inputs!AC102/1000</f>
        <v>7805.5600028095614</v>
      </c>
      <c r="R14" s="118">
        <f>Inputs!AD102/1000</f>
        <v>7756.6725771309311</v>
      </c>
      <c r="S14" s="118">
        <f>Inputs!AE102/1000</f>
        <v>7831.9278418165695</v>
      </c>
      <c r="T14" s="118">
        <f>Inputs!AF102/1000</f>
        <v>7372.6624423301955</v>
      </c>
      <c r="U14" s="118">
        <f>Inputs!AG102/1000</f>
        <v>7328.3443161791402</v>
      </c>
      <c r="V14" s="118">
        <f>Inputs!AH102/1000</f>
        <v>7125.8114383598959</v>
      </c>
      <c r="W14" s="118">
        <f>Inputs!AI102/1000</f>
        <v>6817.9760218152369</v>
      </c>
      <c r="X14" s="118">
        <f>Inputs!AJ102/1000</f>
        <v>6824.5561896889303</v>
      </c>
      <c r="Y14" s="118">
        <f>Inputs!AK102/1000</f>
        <v>6786.0793594583192</v>
      </c>
      <c r="Z14" s="118">
        <f>Inputs!AL102/1000</f>
        <v>6731.0049477629855</v>
      </c>
      <c r="AA14" s="118">
        <f>Inputs!AM102/1000</f>
        <v>6680.9805619281142</v>
      </c>
      <c r="AB14" s="118">
        <f>Inputs!AN102/1000</f>
        <v>6662.0172547438806</v>
      </c>
      <c r="AC14" s="118">
        <f>Inputs!AO102/1000</f>
        <v>6543.5292121617058</v>
      </c>
      <c r="AD14" s="118">
        <f>Inputs!AP102/1000</f>
        <v>6343.8516595226702</v>
      </c>
      <c r="AE14" s="118">
        <f>Inputs!AQ102/1000</f>
        <v>6370.9177075975113</v>
      </c>
      <c r="AF14" s="291">
        <f>Inputs!AR102/1000</f>
        <v>6256.3153798998783</v>
      </c>
    </row>
    <row r="15" spans="1:32" ht="13.5" thickBot="1">
      <c r="A15" s="283" t="s">
        <v>4</v>
      </c>
      <c r="B15" s="85"/>
      <c r="C15" s="134"/>
      <c r="D15" s="118">
        <f>Inputs!P105/1000</f>
        <v>6474.5563258338261</v>
      </c>
      <c r="E15" s="118">
        <f>Inputs!Q105/1000</f>
        <v>6432.2156152958196</v>
      </c>
      <c r="F15" s="118">
        <f>Inputs!R105/1000</f>
        <v>6583.5838375261228</v>
      </c>
      <c r="G15" s="118">
        <f>Inputs!S105/1000</f>
        <v>6793.114375203093</v>
      </c>
      <c r="H15" s="118">
        <f>Inputs!T105/1000</f>
        <v>7065.4534423640634</v>
      </c>
      <c r="I15" s="118">
        <f>Inputs!U105/1000</f>
        <v>7340.4547020537175</v>
      </c>
      <c r="J15" s="118">
        <f>Inputs!V105/1000</f>
        <v>7531.5483208538471</v>
      </c>
      <c r="K15" s="118">
        <f>Inputs!W105/1000</f>
        <v>7632.0809659359975</v>
      </c>
      <c r="L15" s="118">
        <f>Inputs!X105/1000</f>
        <v>7717.9525661377738</v>
      </c>
      <c r="M15" s="118">
        <f>Inputs!Y105/1000</f>
        <v>7807.2332494330585</v>
      </c>
      <c r="N15" s="118">
        <f>Inputs!Z105/1000</f>
        <v>7967.3260497623423</v>
      </c>
      <c r="O15" s="118">
        <f>Inputs!AA105/1000</f>
        <v>8170.3516015278692</v>
      </c>
      <c r="P15" s="118">
        <f>Inputs!AB105/1000</f>
        <v>8282.1439725933269</v>
      </c>
      <c r="Q15" s="118">
        <f>Inputs!AC105/1000</f>
        <v>8379.7735850651661</v>
      </c>
      <c r="R15" s="118">
        <f>Inputs!AD105/1000</f>
        <v>8442.176181506451</v>
      </c>
      <c r="S15" s="118">
        <f>Inputs!AE105/1000</f>
        <v>8378.8763851662825</v>
      </c>
      <c r="T15" s="118">
        <f>Inputs!AF105/1000</f>
        <v>8284.6931925762274</v>
      </c>
      <c r="U15" s="118">
        <f>Inputs!AG105/1000</f>
        <v>8269.7295495364415</v>
      </c>
      <c r="V15" s="118">
        <f>Inputs!AH105/1000</f>
        <v>8388.4670378974806</v>
      </c>
      <c r="W15" s="118">
        <f>Inputs!AI105/1000</f>
        <v>8581.5203224488341</v>
      </c>
      <c r="X15" s="118">
        <f>Inputs!AJ105/1000</f>
        <v>8799.876077712901</v>
      </c>
      <c r="Y15" s="118">
        <f>Inputs!AK105/1000</f>
        <v>8874.0638632396767</v>
      </c>
      <c r="Z15" s="118">
        <f>Inputs!AL105/1000</f>
        <v>8878.3377550850419</v>
      </c>
      <c r="AA15" s="118">
        <f>Inputs!AM105/1000</f>
        <v>9127.1384801241475</v>
      </c>
      <c r="AB15" s="118">
        <f>Inputs!AN105/1000</f>
        <v>9383.9919449891022</v>
      </c>
      <c r="AC15" s="118">
        <f>Inputs!AO105/1000</f>
        <v>9372.0360341143078</v>
      </c>
      <c r="AD15" s="118">
        <f>Inputs!AP105/1000</f>
        <v>9222.4676221036243</v>
      </c>
      <c r="AE15" s="118">
        <f>Inputs!AQ105/1000</f>
        <v>9169.8644178396589</v>
      </c>
      <c r="AF15" s="291">
        <f>Inputs!AR105/1000</f>
        <v>9090.604444853283</v>
      </c>
    </row>
    <row r="16" spans="1:32" ht="13.5" collapsed="1" thickBot="1">
      <c r="A16" s="283" t="s">
        <v>71</v>
      </c>
      <c r="B16" s="85"/>
      <c r="C16" s="134"/>
      <c r="D16" s="118">
        <f>SUM(D17:D22)</f>
        <v>61980.126268008869</v>
      </c>
      <c r="E16" s="118">
        <f t="shared" ref="E16:AF16" si="23">SUM(E17:E22)</f>
        <v>60443.23317143858</v>
      </c>
      <c r="F16" s="118">
        <f t="shared" si="23"/>
        <v>62622.546114643585</v>
      </c>
      <c r="G16" s="118">
        <f t="shared" si="23"/>
        <v>64913.305905555229</v>
      </c>
      <c r="H16" s="118">
        <f t="shared" si="23"/>
        <v>67306.198425925075</v>
      </c>
      <c r="I16" s="118">
        <f t="shared" si="23"/>
        <v>69782.407045184853</v>
      </c>
      <c r="J16" s="118">
        <f t="shared" si="23"/>
        <v>71706.054774459946</v>
      </c>
      <c r="K16" s="118">
        <f t="shared" si="23"/>
        <v>73510.596576368989</v>
      </c>
      <c r="L16" s="118">
        <f t="shared" si="23"/>
        <v>75021.763423009194</v>
      </c>
      <c r="M16" s="118">
        <f t="shared" si="23"/>
        <v>76693.031525654398</v>
      </c>
      <c r="N16" s="118">
        <f t="shared" si="23"/>
        <v>77976.119279206789</v>
      </c>
      <c r="O16" s="118">
        <f t="shared" si="23"/>
        <v>79338.55170141795</v>
      </c>
      <c r="P16" s="118">
        <f t="shared" si="23"/>
        <v>80329.870505639672</v>
      </c>
      <c r="Q16" s="118">
        <f t="shared" si="23"/>
        <v>81411.230984222682</v>
      </c>
      <c r="R16" s="118">
        <f t="shared" si="23"/>
        <v>82139.49465746482</v>
      </c>
      <c r="S16" s="118">
        <f t="shared" si="23"/>
        <v>82982.369079943252</v>
      </c>
      <c r="T16" s="118">
        <f t="shared" si="23"/>
        <v>83503.781798622847</v>
      </c>
      <c r="U16" s="118">
        <f t="shared" si="23"/>
        <v>84144.534048435919</v>
      </c>
      <c r="V16" s="118">
        <f t="shared" si="23"/>
        <v>84493.126724193688</v>
      </c>
      <c r="W16" s="118">
        <f t="shared" si="23"/>
        <v>84980.945174969733</v>
      </c>
      <c r="X16" s="118">
        <f t="shared" si="23"/>
        <v>85170.469407125071</v>
      </c>
      <c r="Y16" s="118">
        <f t="shared" si="23"/>
        <v>85484.774181087021</v>
      </c>
      <c r="Z16" s="118">
        <f t="shared" si="23"/>
        <v>85527.498785496835</v>
      </c>
      <c r="AA16" s="118">
        <f t="shared" si="23"/>
        <v>85712.507191316952</v>
      </c>
      <c r="AB16" s="118">
        <f t="shared" si="23"/>
        <v>85634.783756660312</v>
      </c>
      <c r="AC16" s="118">
        <f t="shared" si="23"/>
        <v>85699.550112197336</v>
      </c>
      <c r="AD16" s="118">
        <f t="shared" si="23"/>
        <v>85509.887710746334</v>
      </c>
      <c r="AE16" s="118">
        <f t="shared" si="23"/>
        <v>85477.799218189612</v>
      </c>
      <c r="AF16" s="291">
        <f t="shared" si="23"/>
        <v>85214.019508823025</v>
      </c>
    </row>
    <row r="17" spans="1:32" ht="13.5" hidden="1" outlineLevel="1" thickBot="1">
      <c r="A17" s="138" t="s">
        <v>200</v>
      </c>
      <c r="B17" s="75"/>
      <c r="C17" s="75"/>
      <c r="D17" s="119">
        <f>Inputs!P109/1000</f>
        <v>11228.403378270079</v>
      </c>
      <c r="E17" s="119">
        <f>Inputs!Q109/1000</f>
        <v>12779.500989018296</v>
      </c>
      <c r="F17" s="119">
        <f>Inputs!R109/1000</f>
        <v>14462.359280580207</v>
      </c>
      <c r="G17" s="119">
        <f>Inputs!S109/1000</f>
        <v>16267.497011711972</v>
      </c>
      <c r="H17" s="119">
        <f>Inputs!T109/1000</f>
        <v>18185.43305779306</v>
      </c>
      <c r="I17" s="119">
        <f>Inputs!U109/1000</f>
        <v>20197.186038751333</v>
      </c>
      <c r="J17" s="119">
        <f>Inputs!V109/1000</f>
        <v>22038.984862112331</v>
      </c>
      <c r="K17" s="119">
        <f>Inputs!W109/1000</f>
        <v>23793.384195931972</v>
      </c>
      <c r="L17" s="119">
        <f>Inputs!X109/1000</f>
        <v>25471.14831865142</v>
      </c>
      <c r="M17" s="119">
        <f>Inputs!Y109/1000</f>
        <v>27086.07018090173</v>
      </c>
      <c r="N17" s="119">
        <f>Inputs!Z109/1000</f>
        <v>28567.207212223013</v>
      </c>
      <c r="O17" s="119">
        <f>Inputs!AA109/1000</f>
        <v>29962.673191744194</v>
      </c>
      <c r="P17" s="119">
        <f>Inputs!AB109/1000</f>
        <v>31228.311769484411</v>
      </c>
      <c r="Q17" s="119">
        <f>Inputs!AC109/1000</f>
        <v>32414.365345344577</v>
      </c>
      <c r="R17" s="119">
        <f>Inputs!AD109/1000</f>
        <v>33477.386578730002</v>
      </c>
      <c r="S17" s="119">
        <f>Inputs!AE109/1000</f>
        <v>34482.46817079567</v>
      </c>
      <c r="T17" s="119">
        <f>Inputs!AF109/1000</f>
        <v>35386.438888851844</v>
      </c>
      <c r="U17" s="119">
        <f>Inputs!AG109/1000</f>
        <v>36235.622984059708</v>
      </c>
      <c r="V17" s="119">
        <f>Inputs!AH109/1000</f>
        <v>37004.489436109841</v>
      </c>
      <c r="W17" s="119">
        <f>Inputs!AI109/1000</f>
        <v>37737.956427083809</v>
      </c>
      <c r="X17" s="119">
        <f>Inputs!AJ109/1000</f>
        <v>38377.424423116536</v>
      </c>
      <c r="Y17" s="119">
        <f>Inputs!AK109/1000</f>
        <v>38967.40847589777</v>
      </c>
      <c r="Z17" s="119">
        <f>Inputs!AL109/1000</f>
        <v>39483.329200000691</v>
      </c>
      <c r="AA17" s="119">
        <f>Inputs!AM109/1000</f>
        <v>39968.316510583943</v>
      </c>
      <c r="AB17" s="119">
        <f>Inputs!AN109/1000</f>
        <v>40381.923830349762</v>
      </c>
      <c r="AC17" s="119">
        <f>Inputs!AO109/1000</f>
        <v>40766.399019907032</v>
      </c>
      <c r="AD17" s="119">
        <f>Inputs!AP109/1000</f>
        <v>41082.121907651723</v>
      </c>
      <c r="AE17" s="119">
        <f>Inputs!AQ109/1000</f>
        <v>41385.829452767648</v>
      </c>
      <c r="AF17" s="292">
        <f>Inputs!AR109/1000</f>
        <v>41638.23754224593</v>
      </c>
    </row>
    <row r="18" spans="1:32" ht="13.5" hidden="1" outlineLevel="1" thickBot="1">
      <c r="A18" s="138" t="s">
        <v>201</v>
      </c>
      <c r="B18" s="75"/>
      <c r="C18" s="75"/>
      <c r="D18" s="119">
        <f>Inputs!P110/1000</f>
        <v>8335.6773474708953</v>
      </c>
      <c r="E18" s="119">
        <f>Inputs!Q110/1000</f>
        <v>8849.5105040420258</v>
      </c>
      <c r="F18" s="119">
        <f>Inputs!R110/1000</f>
        <v>9352.2780105153415</v>
      </c>
      <c r="G18" s="119">
        <f>Inputs!S110/1000</f>
        <v>9844.1497965771505</v>
      </c>
      <c r="H18" s="119">
        <f>Inputs!T110/1000</f>
        <v>10325.293499885023</v>
      </c>
      <c r="I18" s="119">
        <f>Inputs!U110/1000</f>
        <v>10795.874494915435</v>
      </c>
      <c r="J18" s="119">
        <f>Inputs!V110/1000</f>
        <v>11215.022066147061</v>
      </c>
      <c r="K18" s="119">
        <f>Inputs!W110/1000</f>
        <v>11602.463199554017</v>
      </c>
      <c r="L18" s="119">
        <f>Inputs!X110/1000</f>
        <v>11773.164588792324</v>
      </c>
      <c r="M18" s="119">
        <f>Inputs!Y110/1000</f>
        <v>12166.809494504767</v>
      </c>
      <c r="N18" s="119">
        <f>Inputs!Z110/1000</f>
        <v>12306.058882053425</v>
      </c>
      <c r="O18" s="119">
        <f>Inputs!AA110/1000</f>
        <v>12610.323990060942</v>
      </c>
      <c r="P18" s="119">
        <f>Inputs!AB110/1000</f>
        <v>12673.302881860003</v>
      </c>
      <c r="Q18" s="119">
        <f>Inputs!AC110/1000</f>
        <v>12905.908449900408</v>
      </c>
      <c r="R18" s="119">
        <f>Inputs!AD110/1000</f>
        <v>12908.449555074667</v>
      </c>
      <c r="S18" s="119">
        <f>Inputs!AE110/1000</f>
        <v>13083.541050804961</v>
      </c>
      <c r="T18" s="119">
        <f>Inputs!AF110/1000</f>
        <v>13038.281716745947</v>
      </c>
      <c r="U18" s="119">
        <f>Inputs!AG110/1000</f>
        <v>13167.148536668703</v>
      </c>
      <c r="V18" s="119">
        <f>Inputs!AH110/1000</f>
        <v>13084.173425693898</v>
      </c>
      <c r="W18" s="119">
        <f>Inputs!AI110/1000</f>
        <v>13175.823550813511</v>
      </c>
      <c r="X18" s="119">
        <f>Inputs!AJ110/1000</f>
        <v>13063.178452253667</v>
      </c>
      <c r="Y18" s="119">
        <f>Inputs!AK110/1000</f>
        <v>13124.797838751927</v>
      </c>
      <c r="Z18" s="119">
        <f>Inputs!AL110/1000</f>
        <v>12988.900384376364</v>
      </c>
      <c r="AA18" s="119">
        <f>Inputs!AM110/1000</f>
        <v>13026.220144930789</v>
      </c>
      <c r="AB18" s="119">
        <f>Inputs!AN110/1000</f>
        <v>12872.188055825885</v>
      </c>
      <c r="AC18" s="119">
        <f>Inputs!AO110/1000</f>
        <v>12889.777887123175</v>
      </c>
      <c r="AD18" s="119">
        <f>Inputs!AP110/1000</f>
        <v>12721.691263245024</v>
      </c>
      <c r="AE18" s="119">
        <f>Inputs!AQ110/1000</f>
        <v>12723.193890889925</v>
      </c>
      <c r="AF18" s="292">
        <f>Inputs!AR110/1000</f>
        <v>12544.304757362621</v>
      </c>
    </row>
    <row r="19" spans="1:32" ht="13.5" hidden="1" outlineLevel="1" thickBot="1">
      <c r="A19" s="138" t="s">
        <v>202</v>
      </c>
      <c r="B19" s="75"/>
      <c r="C19" s="75"/>
      <c r="D19" s="119">
        <f>Inputs!P111/1000</f>
        <v>6380.4527119048607</v>
      </c>
      <c r="E19" s="119">
        <f>Inputs!Q111/1000</f>
        <v>6374.0760908642251</v>
      </c>
      <c r="F19" s="119">
        <f>Inputs!R111/1000</f>
        <v>6367.7632360339958</v>
      </c>
      <c r="G19" s="119">
        <f>Inputs!S111/1000</f>
        <v>6361.5135097520697</v>
      </c>
      <c r="H19" s="119">
        <f>Inputs!T111/1000</f>
        <v>6355.326280732962</v>
      </c>
      <c r="I19" s="119">
        <f>Inputs!U111/1000</f>
        <v>6349.200924004047</v>
      </c>
      <c r="J19" s="119">
        <f>Inputs!V111/1000</f>
        <v>6293.990481186619</v>
      </c>
      <c r="K19" s="119">
        <f>Inputs!W111/1000</f>
        <v>6238.7800383691929</v>
      </c>
      <c r="L19" s="119">
        <f>Inputs!X111/1000</f>
        <v>6183.5695955517667</v>
      </c>
      <c r="M19" s="119">
        <f>Inputs!Y111/1000</f>
        <v>6128.3591527343397</v>
      </c>
      <c r="N19" s="119">
        <f>Inputs!Z111/1000</f>
        <v>6073.1487099169126</v>
      </c>
      <c r="O19" s="119">
        <f>Inputs!AA111/1000</f>
        <v>6017.9382670994864</v>
      </c>
      <c r="P19" s="119">
        <f>Inputs!AB111/1000</f>
        <v>5962.7278242820603</v>
      </c>
      <c r="Q19" s="119">
        <f>Inputs!AC111/1000</f>
        <v>5907.5173814646332</v>
      </c>
      <c r="R19" s="119">
        <f>Inputs!AD111/1000</f>
        <v>5852.3069386472071</v>
      </c>
      <c r="S19" s="119">
        <f>Inputs!AE111/1000</f>
        <v>5797.0964958297809</v>
      </c>
      <c r="T19" s="119">
        <f>Inputs!AF111/1000</f>
        <v>5741.8860530123548</v>
      </c>
      <c r="U19" s="119">
        <f>Inputs!AG111/1000</f>
        <v>5686.6756101949268</v>
      </c>
      <c r="V19" s="119">
        <f>Inputs!AH111/1000</f>
        <v>5631.4651673775006</v>
      </c>
      <c r="W19" s="119">
        <f>Inputs!AI111/1000</f>
        <v>5576.2547245600745</v>
      </c>
      <c r="X19" s="119">
        <f>Inputs!AJ111/1000</f>
        <v>5521.0442817426483</v>
      </c>
      <c r="Y19" s="119">
        <f>Inputs!AK111/1000</f>
        <v>5465.8338389252212</v>
      </c>
      <c r="Z19" s="119">
        <f>Inputs!AL111/1000</f>
        <v>5410.6233961077951</v>
      </c>
      <c r="AA19" s="119">
        <f>Inputs!AM111/1000</f>
        <v>5355.412953290368</v>
      </c>
      <c r="AB19" s="119">
        <f>Inputs!AN111/1000</f>
        <v>5300.2025104729419</v>
      </c>
      <c r="AC19" s="119">
        <f>Inputs!AO111/1000</f>
        <v>5244.9920676555148</v>
      </c>
      <c r="AD19" s="119">
        <f>Inputs!AP111/1000</f>
        <v>5189.7816248380886</v>
      </c>
      <c r="AE19" s="119">
        <f>Inputs!AQ111/1000</f>
        <v>5134.5711820206625</v>
      </c>
      <c r="AF19" s="292">
        <f>Inputs!AR111/1000</f>
        <v>5079.3607392032363</v>
      </c>
    </row>
    <row r="20" spans="1:32" ht="13.5" hidden="1" outlineLevel="1" thickBot="1">
      <c r="A20" s="138" t="s">
        <v>203</v>
      </c>
      <c r="B20" s="75"/>
      <c r="C20" s="75"/>
      <c r="D20" s="119">
        <f>Inputs!P112/1000</f>
        <v>1160.9611091276254</v>
      </c>
      <c r="E20" s="119">
        <f>Inputs!Q112/1000</f>
        <v>927.14136578898047</v>
      </c>
      <c r="F20" s="119">
        <f>Inputs!R112/1000</f>
        <v>927.14136578898047</v>
      </c>
      <c r="G20" s="119">
        <f>Inputs!S112/1000</f>
        <v>927.14136578898047</v>
      </c>
      <c r="H20" s="119">
        <f>Inputs!T112/1000</f>
        <v>927.14136578898047</v>
      </c>
      <c r="I20" s="119">
        <f>Inputs!U112/1000</f>
        <v>927.14136578898047</v>
      </c>
      <c r="J20" s="119">
        <f>Inputs!V112/1000</f>
        <v>919.07926695603282</v>
      </c>
      <c r="K20" s="119">
        <f>Inputs!W112/1000</f>
        <v>911.01716812308518</v>
      </c>
      <c r="L20" s="119">
        <f>Inputs!X112/1000</f>
        <v>902.95506929013766</v>
      </c>
      <c r="M20" s="119">
        <f>Inputs!Y112/1000</f>
        <v>894.89297045718979</v>
      </c>
      <c r="N20" s="119">
        <f>Inputs!Z112/1000</f>
        <v>886.83087162424226</v>
      </c>
      <c r="O20" s="119">
        <f>Inputs!AA112/1000</f>
        <v>878.76877279129451</v>
      </c>
      <c r="P20" s="119">
        <f>Inputs!AB112/1000</f>
        <v>870.70667395834698</v>
      </c>
      <c r="Q20" s="119">
        <f>Inputs!AC112/1000</f>
        <v>862.64457512539911</v>
      </c>
      <c r="R20" s="119">
        <f>Inputs!AD112/1000</f>
        <v>854.58247629245159</v>
      </c>
      <c r="S20" s="119">
        <f>Inputs!AE112/1000</f>
        <v>846.52037745950395</v>
      </c>
      <c r="T20" s="119">
        <f>Inputs!AF112/1000</f>
        <v>838.45827862655631</v>
      </c>
      <c r="U20" s="119">
        <f>Inputs!AG112/1000</f>
        <v>830.39617979360855</v>
      </c>
      <c r="V20" s="119">
        <f>Inputs!AH112/1000</f>
        <v>822.33408096066091</v>
      </c>
      <c r="W20" s="119">
        <f>Inputs!AI112/1000</f>
        <v>814.27198212771327</v>
      </c>
      <c r="X20" s="119">
        <f>Inputs!AJ112/1000</f>
        <v>806.20988329476563</v>
      </c>
      <c r="Y20" s="119">
        <f>Inputs!AK112/1000</f>
        <v>798.14778446181799</v>
      </c>
      <c r="Z20" s="119">
        <f>Inputs!AL112/1000</f>
        <v>790.08568562887024</v>
      </c>
      <c r="AA20" s="119">
        <f>Inputs!AM112/1000</f>
        <v>782.02358679592271</v>
      </c>
      <c r="AB20" s="119">
        <f>Inputs!AN112/1000</f>
        <v>773.96148796297496</v>
      </c>
      <c r="AC20" s="119">
        <f>Inputs!AO112/1000</f>
        <v>765.89938913002732</v>
      </c>
      <c r="AD20" s="119">
        <f>Inputs!AP112/1000</f>
        <v>757.83729029707968</v>
      </c>
      <c r="AE20" s="119">
        <f>Inputs!AQ112/1000</f>
        <v>749.77519146413204</v>
      </c>
      <c r="AF20" s="292">
        <f>Inputs!AR112/1000</f>
        <v>741.7130926311844</v>
      </c>
    </row>
    <row r="21" spans="1:32" ht="13.5" hidden="1" outlineLevel="1" thickBot="1">
      <c r="A21" s="138" t="s">
        <v>204</v>
      </c>
      <c r="B21" s="75"/>
      <c r="C21" s="75"/>
      <c r="D21" s="119">
        <f>Inputs!P113/1000</f>
        <v>13374.606008694762</v>
      </c>
      <c r="E21" s="119">
        <f>Inputs!Q113/1000</f>
        <v>13360.83565099987</v>
      </c>
      <c r="F21" s="119">
        <f>Inputs!R113/1000</f>
        <v>13360.83565099987</v>
      </c>
      <c r="G21" s="119">
        <f>Inputs!S113/1000</f>
        <v>13360.83565099987</v>
      </c>
      <c r="H21" s="119">
        <f>Inputs!T113/1000</f>
        <v>13360.83565099987</v>
      </c>
      <c r="I21" s="119">
        <f>Inputs!U113/1000</f>
        <v>13360.83565099987</v>
      </c>
      <c r="J21" s="119">
        <f>Inputs!V113/1000</f>
        <v>13244.65447142596</v>
      </c>
      <c r="K21" s="119">
        <f>Inputs!W113/1000</f>
        <v>13128.473291852048</v>
      </c>
      <c r="L21" s="119">
        <f>Inputs!X113/1000</f>
        <v>13012.292112278137</v>
      </c>
      <c r="M21" s="119">
        <f>Inputs!Y113/1000</f>
        <v>12896.110932704223</v>
      </c>
      <c r="N21" s="119">
        <f>Inputs!Z113/1000</f>
        <v>12779.929753130313</v>
      </c>
      <c r="O21" s="119">
        <f>Inputs!AA113/1000</f>
        <v>12663.748573556401</v>
      </c>
      <c r="P21" s="119">
        <f>Inputs!AB113/1000</f>
        <v>12547.567393982488</v>
      </c>
      <c r="Q21" s="119">
        <f>Inputs!AC113/1000</f>
        <v>12431.386214408576</v>
      </c>
      <c r="R21" s="119">
        <f>Inputs!AD113/1000</f>
        <v>12315.205034834664</v>
      </c>
      <c r="S21" s="119">
        <f>Inputs!AE113/1000</f>
        <v>12199.023855260752</v>
      </c>
      <c r="T21" s="119">
        <f>Inputs!AF113/1000</f>
        <v>12082.842675686839</v>
      </c>
      <c r="U21" s="119">
        <f>Inputs!AG113/1000</f>
        <v>11966.661496112927</v>
      </c>
      <c r="V21" s="119">
        <f>Inputs!AH113/1000</f>
        <v>11850.480316539017</v>
      </c>
      <c r="W21" s="119">
        <f>Inputs!AI113/1000</f>
        <v>11734.299136965103</v>
      </c>
      <c r="X21" s="119">
        <f>Inputs!AJ113/1000</f>
        <v>11618.117957391192</v>
      </c>
      <c r="Y21" s="119">
        <f>Inputs!AK113/1000</f>
        <v>11501.936777817278</v>
      </c>
      <c r="Z21" s="119">
        <f>Inputs!AL113/1000</f>
        <v>11385.75559824337</v>
      </c>
      <c r="AA21" s="119">
        <f>Inputs!AM113/1000</f>
        <v>11269.574418669457</v>
      </c>
      <c r="AB21" s="119">
        <f>Inputs!AN113/1000</f>
        <v>11153.393239095545</v>
      </c>
      <c r="AC21" s="119">
        <f>Inputs!AO113/1000</f>
        <v>11037.212059521633</v>
      </c>
      <c r="AD21" s="119">
        <f>Inputs!AP113/1000</f>
        <v>10921.030879947721</v>
      </c>
      <c r="AE21" s="119">
        <f>Inputs!AQ113/1000</f>
        <v>10804.84970037381</v>
      </c>
      <c r="AF21" s="292">
        <f>Inputs!AR113/1000</f>
        <v>10688.668520799898</v>
      </c>
    </row>
    <row r="22" spans="1:32" ht="13.5" hidden="1" outlineLevel="1" thickBot="1">
      <c r="A22" s="138" t="s">
        <v>205</v>
      </c>
      <c r="B22" s="145"/>
      <c r="C22" s="75"/>
      <c r="D22" s="119">
        <f>Inputs!P114/1000</f>
        <v>21500.02571254065</v>
      </c>
      <c r="E22" s="119">
        <f>Inputs!Q114/1000</f>
        <v>18152.168570725185</v>
      </c>
      <c r="F22" s="119">
        <f>Inputs!R114/1000</f>
        <v>18152.168570725185</v>
      </c>
      <c r="G22" s="119">
        <f>Inputs!S114/1000</f>
        <v>18152.168570725185</v>
      </c>
      <c r="H22" s="119">
        <f>Inputs!T114/1000</f>
        <v>18152.168570725185</v>
      </c>
      <c r="I22" s="119">
        <f>Inputs!U114/1000</f>
        <v>18152.168570725185</v>
      </c>
      <c r="J22" s="119">
        <f>Inputs!V114/1000</f>
        <v>17994.323626631936</v>
      </c>
      <c r="K22" s="119">
        <f>Inputs!W114/1000</f>
        <v>17836.478682538673</v>
      </c>
      <c r="L22" s="119">
        <f>Inputs!X114/1000</f>
        <v>17678.633738445413</v>
      </c>
      <c r="M22" s="119">
        <f>Inputs!Y114/1000</f>
        <v>17520.788794352149</v>
      </c>
      <c r="N22" s="119">
        <f>Inputs!Z114/1000</f>
        <v>17362.943850258886</v>
      </c>
      <c r="O22" s="119">
        <f>Inputs!AA114/1000</f>
        <v>17205.098906165622</v>
      </c>
      <c r="P22" s="119">
        <f>Inputs!AB114/1000</f>
        <v>17047.253962072362</v>
      </c>
      <c r="Q22" s="119">
        <f>Inputs!AC114/1000</f>
        <v>16889.409017979098</v>
      </c>
      <c r="R22" s="119">
        <f>Inputs!AD114/1000</f>
        <v>16731.564073885835</v>
      </c>
      <c r="S22" s="119">
        <f>Inputs!AE114/1000</f>
        <v>16573.719129792571</v>
      </c>
      <c r="T22" s="119">
        <f>Inputs!AF114/1000</f>
        <v>16415.874185699311</v>
      </c>
      <c r="U22" s="119">
        <f>Inputs!AG114/1000</f>
        <v>16258.029241606047</v>
      </c>
      <c r="V22" s="119">
        <f>Inputs!AH114/1000</f>
        <v>16100.184297512784</v>
      </c>
      <c r="W22" s="119">
        <f>Inputs!AI114/1000</f>
        <v>15942.339353419522</v>
      </c>
      <c r="X22" s="119">
        <f>Inputs!AJ114/1000</f>
        <v>15784.494409326258</v>
      </c>
      <c r="Y22" s="119">
        <f>Inputs!AK114/1000</f>
        <v>15626.649465232997</v>
      </c>
      <c r="Z22" s="119">
        <f>Inputs!AL114/1000</f>
        <v>15468.804521139733</v>
      </c>
      <c r="AA22" s="119">
        <f>Inputs!AM114/1000</f>
        <v>15310.959577046473</v>
      </c>
      <c r="AB22" s="119">
        <f>Inputs!AN114/1000</f>
        <v>15153.114632953208</v>
      </c>
      <c r="AC22" s="119">
        <f>Inputs!AO114/1000</f>
        <v>14995.269688859946</v>
      </c>
      <c r="AD22" s="119">
        <f>Inputs!AP114/1000</f>
        <v>14837.424744766682</v>
      </c>
      <c r="AE22" s="119">
        <f>Inputs!AQ114/1000</f>
        <v>14679.579800673422</v>
      </c>
      <c r="AF22" s="292">
        <f>Inputs!AR114/1000</f>
        <v>14521.734856580159</v>
      </c>
    </row>
    <row r="23" spans="1:32" ht="13.5" thickBot="1">
      <c r="A23" s="283" t="s">
        <v>72</v>
      </c>
      <c r="B23" s="85"/>
      <c r="C23" s="85"/>
      <c r="D23" s="144">
        <f>D24/Inputs!M2*Inputs!M1</f>
        <v>0.43846654355010606</v>
      </c>
      <c r="E23" s="274"/>
      <c r="F23" s="275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282"/>
    </row>
    <row r="24" spans="1:32" ht="13.5" thickBot="1">
      <c r="A24" s="138" t="s">
        <v>195</v>
      </c>
      <c r="B24" s="85"/>
      <c r="C24" s="118"/>
      <c r="D24" s="125">
        <v>0.43591236951000834</v>
      </c>
      <c r="E24" s="120">
        <f t="shared" ref="E24:V24" si="24">D24</f>
        <v>0.43591236951000834</v>
      </c>
      <c r="F24" s="120">
        <f t="shared" si="24"/>
        <v>0.43591236951000834</v>
      </c>
      <c r="G24" s="120">
        <f t="shared" si="24"/>
        <v>0.43591236951000834</v>
      </c>
      <c r="H24" s="120">
        <f t="shared" si="24"/>
        <v>0.43591236951000834</v>
      </c>
      <c r="I24" s="120">
        <f t="shared" si="24"/>
        <v>0.43591236951000834</v>
      </c>
      <c r="J24" s="120">
        <f t="shared" si="24"/>
        <v>0.43591236951000834</v>
      </c>
      <c r="K24" s="120">
        <f t="shared" si="24"/>
        <v>0.43591236951000834</v>
      </c>
      <c r="L24" s="120">
        <f t="shared" si="24"/>
        <v>0.43591236951000834</v>
      </c>
      <c r="M24" s="120">
        <f t="shared" si="24"/>
        <v>0.43591236951000834</v>
      </c>
      <c r="N24" s="120">
        <f t="shared" si="24"/>
        <v>0.43591236951000834</v>
      </c>
      <c r="O24" s="120">
        <f t="shared" si="24"/>
        <v>0.43591236951000834</v>
      </c>
      <c r="P24" s="120">
        <f t="shared" si="24"/>
        <v>0.43591236951000834</v>
      </c>
      <c r="Q24" s="120">
        <f t="shared" si="24"/>
        <v>0.43591236951000834</v>
      </c>
      <c r="R24" s="120">
        <f t="shared" si="24"/>
        <v>0.43591236951000834</v>
      </c>
      <c r="S24" s="120">
        <f t="shared" si="24"/>
        <v>0.43591236951000834</v>
      </c>
      <c r="T24" s="120">
        <f t="shared" si="24"/>
        <v>0.43591236951000834</v>
      </c>
      <c r="U24" s="120">
        <f t="shared" si="24"/>
        <v>0.43591236951000834</v>
      </c>
      <c r="V24" s="120">
        <f t="shared" si="24"/>
        <v>0.43591236951000834</v>
      </c>
      <c r="W24" s="120">
        <f t="shared" ref="W24:W29" si="25">V24</f>
        <v>0.43591236951000834</v>
      </c>
      <c r="X24" s="120">
        <f t="shared" ref="X24:X29" si="26">W24</f>
        <v>0.43591236951000834</v>
      </c>
      <c r="Y24" s="120">
        <f t="shared" ref="Y24:Y29" si="27">X24</f>
        <v>0.43591236951000834</v>
      </c>
      <c r="Z24" s="120">
        <f t="shared" ref="Z24:Z29" si="28">Y24</f>
        <v>0.43591236951000834</v>
      </c>
      <c r="AA24" s="120">
        <f t="shared" ref="AA24:AA29" si="29">Z24</f>
        <v>0.43591236951000834</v>
      </c>
      <c r="AB24" s="120">
        <f t="shared" ref="AB24:AB29" si="30">AA24</f>
        <v>0.43591236951000834</v>
      </c>
      <c r="AC24" s="120">
        <f t="shared" ref="AC24:AC29" si="31">AB24</f>
        <v>0.43591236951000834</v>
      </c>
      <c r="AD24" s="120">
        <f t="shared" ref="AD24:AD29" si="32">AC24</f>
        <v>0.43591236951000834</v>
      </c>
      <c r="AE24" s="120">
        <f t="shared" ref="AE24:AE29" si="33">AD24</f>
        <v>0.43591236951000834</v>
      </c>
      <c r="AF24" s="293">
        <f>AE24</f>
        <v>0.43591236951000834</v>
      </c>
    </row>
    <row r="25" spans="1:32" ht="13.5" thickBot="1">
      <c r="A25" s="138" t="s">
        <v>194</v>
      </c>
      <c r="B25" s="155"/>
      <c r="C25" s="353">
        <v>0.70249326086221142</v>
      </c>
      <c r="D25" s="120">
        <f>$D$24*C25</f>
        <v>0.306225501907259</v>
      </c>
      <c r="E25" s="120">
        <f t="shared" ref="E25:V25" si="34">D25</f>
        <v>0.306225501907259</v>
      </c>
      <c r="F25" s="120">
        <f t="shared" si="34"/>
        <v>0.306225501907259</v>
      </c>
      <c r="G25" s="120">
        <f t="shared" si="34"/>
        <v>0.306225501907259</v>
      </c>
      <c r="H25" s="120">
        <f t="shared" si="34"/>
        <v>0.306225501907259</v>
      </c>
      <c r="I25" s="120">
        <f t="shared" si="34"/>
        <v>0.306225501907259</v>
      </c>
      <c r="J25" s="120">
        <f t="shared" si="34"/>
        <v>0.306225501907259</v>
      </c>
      <c r="K25" s="120">
        <f t="shared" si="34"/>
        <v>0.306225501907259</v>
      </c>
      <c r="L25" s="120">
        <f t="shared" si="34"/>
        <v>0.306225501907259</v>
      </c>
      <c r="M25" s="120">
        <f t="shared" si="34"/>
        <v>0.306225501907259</v>
      </c>
      <c r="N25" s="120">
        <f t="shared" si="34"/>
        <v>0.306225501907259</v>
      </c>
      <c r="O25" s="120">
        <f t="shared" si="34"/>
        <v>0.306225501907259</v>
      </c>
      <c r="P25" s="120">
        <f t="shared" si="34"/>
        <v>0.306225501907259</v>
      </c>
      <c r="Q25" s="120">
        <f t="shared" si="34"/>
        <v>0.306225501907259</v>
      </c>
      <c r="R25" s="120">
        <f t="shared" si="34"/>
        <v>0.306225501907259</v>
      </c>
      <c r="S25" s="120">
        <f t="shared" si="34"/>
        <v>0.306225501907259</v>
      </c>
      <c r="T25" s="120">
        <f t="shared" si="34"/>
        <v>0.306225501907259</v>
      </c>
      <c r="U25" s="120">
        <f t="shared" si="34"/>
        <v>0.306225501907259</v>
      </c>
      <c r="V25" s="120">
        <f t="shared" si="34"/>
        <v>0.306225501907259</v>
      </c>
      <c r="W25" s="120">
        <f t="shared" si="25"/>
        <v>0.306225501907259</v>
      </c>
      <c r="X25" s="120">
        <f t="shared" si="26"/>
        <v>0.306225501907259</v>
      </c>
      <c r="Y25" s="120">
        <f t="shared" si="27"/>
        <v>0.306225501907259</v>
      </c>
      <c r="Z25" s="120">
        <f t="shared" si="28"/>
        <v>0.306225501907259</v>
      </c>
      <c r="AA25" s="120">
        <f t="shared" si="29"/>
        <v>0.306225501907259</v>
      </c>
      <c r="AB25" s="120">
        <f t="shared" si="30"/>
        <v>0.306225501907259</v>
      </c>
      <c r="AC25" s="120">
        <f t="shared" si="31"/>
        <v>0.306225501907259</v>
      </c>
      <c r="AD25" s="120">
        <f t="shared" si="32"/>
        <v>0.306225501907259</v>
      </c>
      <c r="AE25" s="120">
        <f t="shared" si="33"/>
        <v>0.306225501907259</v>
      </c>
      <c r="AF25" s="293">
        <f t="shared" ref="AF25:AF29" si="35">AE25</f>
        <v>0.306225501907259</v>
      </c>
    </row>
    <row r="26" spans="1:32" ht="13.5" thickBot="1">
      <c r="A26" s="138" t="s">
        <v>196</v>
      </c>
      <c r="B26" s="155"/>
      <c r="C26" s="353">
        <v>0.62966323886435094</v>
      </c>
      <c r="D26" s="120">
        <f>$D$24*C26</f>
        <v>0.27447799444670556</v>
      </c>
      <c r="E26" s="120">
        <f t="shared" ref="E26:V29" si="36">D26</f>
        <v>0.27447799444670556</v>
      </c>
      <c r="F26" s="120">
        <f t="shared" si="36"/>
        <v>0.27447799444670556</v>
      </c>
      <c r="G26" s="120">
        <f t="shared" si="36"/>
        <v>0.27447799444670556</v>
      </c>
      <c r="H26" s="120">
        <f t="shared" si="36"/>
        <v>0.27447799444670556</v>
      </c>
      <c r="I26" s="120">
        <f t="shared" si="36"/>
        <v>0.27447799444670556</v>
      </c>
      <c r="J26" s="120">
        <f t="shared" si="36"/>
        <v>0.27447799444670556</v>
      </c>
      <c r="K26" s="120">
        <f t="shared" si="36"/>
        <v>0.27447799444670556</v>
      </c>
      <c r="L26" s="120">
        <f t="shared" si="36"/>
        <v>0.27447799444670556</v>
      </c>
      <c r="M26" s="120">
        <f t="shared" si="36"/>
        <v>0.27447799444670556</v>
      </c>
      <c r="N26" s="120">
        <f t="shared" si="36"/>
        <v>0.27447799444670556</v>
      </c>
      <c r="O26" s="120">
        <f t="shared" si="36"/>
        <v>0.27447799444670556</v>
      </c>
      <c r="P26" s="120">
        <f t="shared" si="36"/>
        <v>0.27447799444670556</v>
      </c>
      <c r="Q26" s="120">
        <f t="shared" si="36"/>
        <v>0.27447799444670556</v>
      </c>
      <c r="R26" s="120">
        <f t="shared" si="36"/>
        <v>0.27447799444670556</v>
      </c>
      <c r="S26" s="120">
        <f t="shared" si="36"/>
        <v>0.27447799444670556</v>
      </c>
      <c r="T26" s="120">
        <f t="shared" si="36"/>
        <v>0.27447799444670556</v>
      </c>
      <c r="U26" s="120">
        <f t="shared" si="36"/>
        <v>0.27447799444670556</v>
      </c>
      <c r="V26" s="120">
        <f t="shared" si="36"/>
        <v>0.27447799444670556</v>
      </c>
      <c r="W26" s="120">
        <f t="shared" si="25"/>
        <v>0.27447799444670556</v>
      </c>
      <c r="X26" s="120">
        <f t="shared" si="26"/>
        <v>0.27447799444670556</v>
      </c>
      <c r="Y26" s="120">
        <f t="shared" si="27"/>
        <v>0.27447799444670556</v>
      </c>
      <c r="Z26" s="120">
        <f t="shared" si="28"/>
        <v>0.27447799444670556</v>
      </c>
      <c r="AA26" s="120">
        <f t="shared" si="29"/>
        <v>0.27447799444670556</v>
      </c>
      <c r="AB26" s="120">
        <f t="shared" si="30"/>
        <v>0.27447799444670556</v>
      </c>
      <c r="AC26" s="120">
        <f t="shared" si="31"/>
        <v>0.27447799444670556</v>
      </c>
      <c r="AD26" s="120">
        <f t="shared" si="32"/>
        <v>0.27447799444670556</v>
      </c>
      <c r="AE26" s="120">
        <f t="shared" si="33"/>
        <v>0.27447799444670556</v>
      </c>
      <c r="AF26" s="293">
        <f t="shared" si="35"/>
        <v>0.27447799444670556</v>
      </c>
    </row>
    <row r="27" spans="1:32" ht="13.5" thickBot="1">
      <c r="A27" s="138" t="s">
        <v>197</v>
      </c>
      <c r="B27" s="155"/>
      <c r="C27" s="353">
        <v>0.5</v>
      </c>
      <c r="D27" s="200">
        <f t="shared" ref="D27:D29" si="37">$D$24*C27</f>
        <v>0.21795618475500417</v>
      </c>
      <c r="E27" s="200">
        <f t="shared" si="36"/>
        <v>0.21795618475500417</v>
      </c>
      <c r="F27" s="200">
        <f t="shared" ref="F27:F29" si="38">E27</f>
        <v>0.21795618475500417</v>
      </c>
      <c r="G27" s="200">
        <f t="shared" ref="G27:G29" si="39">F27</f>
        <v>0.21795618475500417</v>
      </c>
      <c r="H27" s="200">
        <f t="shared" ref="H27:H29" si="40">G27</f>
        <v>0.21795618475500417</v>
      </c>
      <c r="I27" s="200">
        <f t="shared" ref="I27:I29" si="41">H27</f>
        <v>0.21795618475500417</v>
      </c>
      <c r="J27" s="200">
        <f t="shared" ref="J27:J29" si="42">I27</f>
        <v>0.21795618475500417</v>
      </c>
      <c r="K27" s="200">
        <f t="shared" ref="K27:K29" si="43">J27</f>
        <v>0.21795618475500417</v>
      </c>
      <c r="L27" s="200">
        <f t="shared" ref="L27:L29" si="44">K27</f>
        <v>0.21795618475500417</v>
      </c>
      <c r="M27" s="200">
        <f t="shared" ref="M27:M29" si="45">L27</f>
        <v>0.21795618475500417</v>
      </c>
      <c r="N27" s="200">
        <f t="shared" ref="N27:N29" si="46">M27</f>
        <v>0.21795618475500417</v>
      </c>
      <c r="O27" s="200">
        <f t="shared" ref="O27:O29" si="47">N27</f>
        <v>0.21795618475500417</v>
      </c>
      <c r="P27" s="200">
        <f t="shared" ref="P27:P29" si="48">O27</f>
        <v>0.21795618475500417</v>
      </c>
      <c r="Q27" s="200">
        <f t="shared" ref="Q27:Q29" si="49">P27</f>
        <v>0.21795618475500417</v>
      </c>
      <c r="R27" s="200">
        <f t="shared" ref="R27:R29" si="50">Q27</f>
        <v>0.21795618475500417</v>
      </c>
      <c r="S27" s="200">
        <f t="shared" ref="S27:S29" si="51">R27</f>
        <v>0.21795618475500417</v>
      </c>
      <c r="T27" s="200">
        <f t="shared" ref="T27:T29" si="52">S27</f>
        <v>0.21795618475500417</v>
      </c>
      <c r="U27" s="200">
        <f t="shared" ref="U27:U29" si="53">T27</f>
        <v>0.21795618475500417</v>
      </c>
      <c r="V27" s="200">
        <f t="shared" ref="V27:V29" si="54">U27</f>
        <v>0.21795618475500417</v>
      </c>
      <c r="W27" s="200">
        <f t="shared" si="25"/>
        <v>0.21795618475500417</v>
      </c>
      <c r="X27" s="200">
        <f t="shared" si="26"/>
        <v>0.21795618475500417</v>
      </c>
      <c r="Y27" s="200">
        <f t="shared" si="27"/>
        <v>0.21795618475500417</v>
      </c>
      <c r="Z27" s="200">
        <f t="shared" si="28"/>
        <v>0.21795618475500417</v>
      </c>
      <c r="AA27" s="200">
        <f t="shared" si="29"/>
        <v>0.21795618475500417</v>
      </c>
      <c r="AB27" s="200">
        <f t="shared" si="30"/>
        <v>0.21795618475500417</v>
      </c>
      <c r="AC27" s="200">
        <f t="shared" si="31"/>
        <v>0.21795618475500417</v>
      </c>
      <c r="AD27" s="200">
        <f t="shared" si="32"/>
        <v>0.21795618475500417</v>
      </c>
      <c r="AE27" s="200">
        <f t="shared" si="33"/>
        <v>0.21795618475500417</v>
      </c>
      <c r="AF27" s="294">
        <f t="shared" si="35"/>
        <v>0.21795618475500417</v>
      </c>
    </row>
    <row r="28" spans="1:32" ht="13.5" thickBot="1">
      <c r="A28" s="138" t="s">
        <v>198</v>
      </c>
      <c r="B28" s="155"/>
      <c r="C28" s="353">
        <v>0.59008170977553098</v>
      </c>
      <c r="D28" s="200">
        <f t="shared" si="37"/>
        <v>0.25722391631276875</v>
      </c>
      <c r="E28" s="200">
        <f t="shared" si="36"/>
        <v>0.25722391631276875</v>
      </c>
      <c r="F28" s="200">
        <f t="shared" si="38"/>
        <v>0.25722391631276875</v>
      </c>
      <c r="G28" s="200">
        <f t="shared" si="39"/>
        <v>0.25722391631276875</v>
      </c>
      <c r="H28" s="200">
        <f t="shared" si="40"/>
        <v>0.25722391631276875</v>
      </c>
      <c r="I28" s="200">
        <f t="shared" si="41"/>
        <v>0.25722391631276875</v>
      </c>
      <c r="J28" s="200">
        <f t="shared" si="42"/>
        <v>0.25722391631276875</v>
      </c>
      <c r="K28" s="200">
        <f t="shared" si="43"/>
        <v>0.25722391631276875</v>
      </c>
      <c r="L28" s="200">
        <f t="shared" si="44"/>
        <v>0.25722391631276875</v>
      </c>
      <c r="M28" s="200">
        <f t="shared" si="45"/>
        <v>0.25722391631276875</v>
      </c>
      <c r="N28" s="200">
        <f t="shared" si="46"/>
        <v>0.25722391631276875</v>
      </c>
      <c r="O28" s="200">
        <f t="shared" si="47"/>
        <v>0.25722391631276875</v>
      </c>
      <c r="P28" s="200">
        <f t="shared" si="48"/>
        <v>0.25722391631276875</v>
      </c>
      <c r="Q28" s="200">
        <f t="shared" si="49"/>
        <v>0.25722391631276875</v>
      </c>
      <c r="R28" s="200">
        <f t="shared" si="50"/>
        <v>0.25722391631276875</v>
      </c>
      <c r="S28" s="200">
        <f t="shared" si="51"/>
        <v>0.25722391631276875</v>
      </c>
      <c r="T28" s="200">
        <f t="shared" si="52"/>
        <v>0.25722391631276875</v>
      </c>
      <c r="U28" s="200">
        <f t="shared" si="53"/>
        <v>0.25722391631276875</v>
      </c>
      <c r="V28" s="200">
        <f t="shared" si="54"/>
        <v>0.25722391631276875</v>
      </c>
      <c r="W28" s="200">
        <f t="shared" si="25"/>
        <v>0.25722391631276875</v>
      </c>
      <c r="X28" s="200">
        <f t="shared" si="26"/>
        <v>0.25722391631276875</v>
      </c>
      <c r="Y28" s="200">
        <f t="shared" si="27"/>
        <v>0.25722391631276875</v>
      </c>
      <c r="Z28" s="200">
        <f t="shared" si="28"/>
        <v>0.25722391631276875</v>
      </c>
      <c r="AA28" s="200">
        <f t="shared" si="29"/>
        <v>0.25722391631276875</v>
      </c>
      <c r="AB28" s="200">
        <f t="shared" si="30"/>
        <v>0.25722391631276875</v>
      </c>
      <c r="AC28" s="200">
        <f t="shared" si="31"/>
        <v>0.25722391631276875</v>
      </c>
      <c r="AD28" s="200">
        <f t="shared" si="32"/>
        <v>0.25722391631276875</v>
      </c>
      <c r="AE28" s="200">
        <f t="shared" si="33"/>
        <v>0.25722391631276875</v>
      </c>
      <c r="AF28" s="294">
        <f t="shared" si="35"/>
        <v>0.25722391631276875</v>
      </c>
    </row>
    <row r="29" spans="1:32" ht="13.5" thickBot="1">
      <c r="A29" s="138" t="s">
        <v>199</v>
      </c>
      <c r="B29" s="155"/>
      <c r="C29" s="353">
        <v>0.53600000000000003</v>
      </c>
      <c r="D29" s="200">
        <f t="shared" si="37"/>
        <v>0.23364903005736448</v>
      </c>
      <c r="E29" s="200">
        <f t="shared" si="36"/>
        <v>0.23364903005736448</v>
      </c>
      <c r="F29" s="200">
        <f t="shared" si="38"/>
        <v>0.23364903005736448</v>
      </c>
      <c r="G29" s="200">
        <f t="shared" si="39"/>
        <v>0.23364903005736448</v>
      </c>
      <c r="H29" s="200">
        <f t="shared" si="40"/>
        <v>0.23364903005736448</v>
      </c>
      <c r="I29" s="200">
        <f t="shared" si="41"/>
        <v>0.23364903005736448</v>
      </c>
      <c r="J29" s="200">
        <f t="shared" si="42"/>
        <v>0.23364903005736448</v>
      </c>
      <c r="K29" s="200">
        <f t="shared" si="43"/>
        <v>0.23364903005736448</v>
      </c>
      <c r="L29" s="200">
        <f t="shared" si="44"/>
        <v>0.23364903005736448</v>
      </c>
      <c r="M29" s="200">
        <f t="shared" si="45"/>
        <v>0.23364903005736448</v>
      </c>
      <c r="N29" s="200">
        <f t="shared" si="46"/>
        <v>0.23364903005736448</v>
      </c>
      <c r="O29" s="200">
        <f t="shared" si="47"/>
        <v>0.23364903005736448</v>
      </c>
      <c r="P29" s="200">
        <f t="shared" si="48"/>
        <v>0.23364903005736448</v>
      </c>
      <c r="Q29" s="200">
        <f t="shared" si="49"/>
        <v>0.23364903005736448</v>
      </c>
      <c r="R29" s="200">
        <f t="shared" si="50"/>
        <v>0.23364903005736448</v>
      </c>
      <c r="S29" s="200">
        <f t="shared" si="51"/>
        <v>0.23364903005736448</v>
      </c>
      <c r="T29" s="200">
        <f t="shared" si="52"/>
        <v>0.23364903005736448</v>
      </c>
      <c r="U29" s="200">
        <f t="shared" si="53"/>
        <v>0.23364903005736448</v>
      </c>
      <c r="V29" s="200">
        <f t="shared" si="54"/>
        <v>0.23364903005736448</v>
      </c>
      <c r="W29" s="200">
        <f t="shared" si="25"/>
        <v>0.23364903005736448</v>
      </c>
      <c r="X29" s="200">
        <f t="shared" si="26"/>
        <v>0.23364903005736448</v>
      </c>
      <c r="Y29" s="200">
        <f t="shared" si="27"/>
        <v>0.23364903005736448</v>
      </c>
      <c r="Z29" s="200">
        <f t="shared" si="28"/>
        <v>0.23364903005736448</v>
      </c>
      <c r="AA29" s="200">
        <f t="shared" si="29"/>
        <v>0.23364903005736448</v>
      </c>
      <c r="AB29" s="200">
        <f t="shared" si="30"/>
        <v>0.23364903005736448</v>
      </c>
      <c r="AC29" s="200">
        <f t="shared" si="31"/>
        <v>0.23364903005736448</v>
      </c>
      <c r="AD29" s="200">
        <f t="shared" si="32"/>
        <v>0.23364903005736448</v>
      </c>
      <c r="AE29" s="200">
        <f t="shared" si="33"/>
        <v>0.23364903005736448</v>
      </c>
      <c r="AF29" s="294">
        <f t="shared" si="35"/>
        <v>0.23364903005736448</v>
      </c>
    </row>
    <row r="30" spans="1:32" ht="13.5" thickBot="1">
      <c r="A30" s="290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282"/>
    </row>
    <row r="31" spans="1:32" ht="13.5" customHeight="1">
      <c r="A31" s="384" t="s">
        <v>73</v>
      </c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  <c r="T31" s="385"/>
      <c r="U31" s="385"/>
      <c r="V31" s="385"/>
      <c r="W31" s="385"/>
      <c r="X31" s="385"/>
      <c r="Y31" s="385"/>
      <c r="Z31" s="385"/>
      <c r="AA31" s="385"/>
      <c r="AB31" s="385"/>
      <c r="AC31" s="385"/>
      <c r="AD31" s="385"/>
      <c r="AE31" s="385"/>
      <c r="AF31" s="386"/>
    </row>
    <row r="32" spans="1:32" ht="13.5" thickBot="1">
      <c r="A32" s="290"/>
      <c r="B32" s="85"/>
      <c r="C32" s="85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282"/>
    </row>
    <row r="33" spans="1:32" s="101" customFormat="1" ht="13.5" thickBot="1">
      <c r="A33" s="283" t="s">
        <v>74</v>
      </c>
      <c r="B33" s="67"/>
      <c r="C33" s="134"/>
      <c r="D33" s="123">
        <f>SUMPRODUCT(D24:D29,D17:D22)</f>
        <v>17915.258110562499</v>
      </c>
      <c r="E33" s="123">
        <f t="shared" ref="E33:AF33" si="55">SUMPRODUCT(E24:E29,E17:E22)</f>
        <v>17910.271221048475</v>
      </c>
      <c r="F33" s="123">
        <f t="shared" si="55"/>
        <v>18796.07745875221</v>
      </c>
      <c r="G33" s="123">
        <f t="shared" si="55"/>
        <v>19731.867596646869</v>
      </c>
      <c r="H33" s="123">
        <f t="shared" si="55"/>
        <v>20713.559856885353</v>
      </c>
      <c r="I33" s="123">
        <f t="shared" si="55"/>
        <v>21732.930491444684</v>
      </c>
      <c r="J33" s="123">
        <f t="shared" si="55"/>
        <v>22580.47092405186</v>
      </c>
      <c r="K33" s="123">
        <f t="shared" si="55"/>
        <v>23380.203518242546</v>
      </c>
      <c r="L33" s="123">
        <f t="shared" si="55"/>
        <v>24080.158639033347</v>
      </c>
      <c r="M33" s="123">
        <f t="shared" si="55"/>
        <v>24820.991031386948</v>
      </c>
      <c r="N33" s="123">
        <f t="shared" si="55"/>
        <v>25425.602565853118</v>
      </c>
      <c r="O33" s="123">
        <f t="shared" si="55"/>
        <v>26043.401050950793</v>
      </c>
      <c r="P33" s="123">
        <f t="shared" si="55"/>
        <v>26530.718173049059</v>
      </c>
      <c r="Q33" s="123">
        <f t="shared" si="55"/>
        <v>27035.2872224692</v>
      </c>
      <c r="R33" s="123">
        <f t="shared" si="55"/>
        <v>27415.773346342601</v>
      </c>
      <c r="S33" s="123">
        <f t="shared" si="55"/>
        <v>27823.842193832068</v>
      </c>
      <c r="T33" s="123">
        <f t="shared" si="55"/>
        <v>28120.358517200912</v>
      </c>
      <c r="U33" s="123">
        <f t="shared" si="55"/>
        <v>28446.314542884742</v>
      </c>
      <c r="V33" s="123">
        <f t="shared" si="55"/>
        <v>28672.38771281212</v>
      </c>
      <c r="W33" s="123">
        <f t="shared" si="55"/>
        <v>28936.5045203511</v>
      </c>
      <c r="X33" s="123">
        <f t="shared" si="55"/>
        <v>29097.085595865181</v>
      </c>
      <c r="Y33" s="123">
        <f t="shared" si="55"/>
        <v>29289.460237825337</v>
      </c>
      <c r="Z33" s="123">
        <f t="shared" si="55"/>
        <v>29389.065064955808</v>
      </c>
      <c r="AA33" s="123">
        <f t="shared" si="55"/>
        <v>29528.229163082804</v>
      </c>
      <c r="AB33" s="123">
        <f t="shared" si="55"/>
        <v>29577.681024074151</v>
      </c>
      <c r="AC33" s="123">
        <f t="shared" si="55"/>
        <v>29666.988837870871</v>
      </c>
      <c r="AD33" s="123">
        <f t="shared" si="55"/>
        <v>29669.467807196743</v>
      </c>
      <c r="AE33" s="123">
        <f t="shared" si="55"/>
        <v>29718.641693712558</v>
      </c>
      <c r="AF33" s="295">
        <f t="shared" si="55"/>
        <v>29690.212955361894</v>
      </c>
    </row>
    <row r="34" spans="1:32" ht="13.5" thickBot="1">
      <c r="A34" s="296" t="s">
        <v>34</v>
      </c>
      <c r="B34" s="85"/>
      <c r="C34" s="134"/>
      <c r="D34" s="137">
        <f t="shared" ref="D34:V34" si="56">-D14</f>
        <v>-17021.203686311976</v>
      </c>
      <c r="E34" s="137">
        <f t="shared" si="56"/>
        <v>-14216.331127065743</v>
      </c>
      <c r="F34" s="137">
        <f t="shared" si="56"/>
        <v>-14411.628559691369</v>
      </c>
      <c r="G34" s="137">
        <f t="shared" si="56"/>
        <v>-14691.507886325759</v>
      </c>
      <c r="H34" s="137">
        <f t="shared" si="56"/>
        <v>-15040.587262384515</v>
      </c>
      <c r="I34" s="137">
        <f t="shared" si="56"/>
        <v>-15263.536638526972</v>
      </c>
      <c r="J34" s="137">
        <f t="shared" si="56"/>
        <v>-13494.089623019325</v>
      </c>
      <c r="K34" s="137">
        <f t="shared" si="56"/>
        <v>-12660.107900244488</v>
      </c>
      <c r="L34" s="137">
        <f t="shared" si="56"/>
        <v>-12869.613808517333</v>
      </c>
      <c r="M34" s="137">
        <f t="shared" si="56"/>
        <v>-10299.121531919429</v>
      </c>
      <c r="N34" s="137">
        <f t="shared" si="56"/>
        <v>-8046.8999454752347</v>
      </c>
      <c r="O34" s="137">
        <f t="shared" si="56"/>
        <v>-8046.777495158477</v>
      </c>
      <c r="P34" s="137">
        <f t="shared" si="56"/>
        <v>-8185.3522894158932</v>
      </c>
      <c r="Q34" s="137">
        <f t="shared" si="56"/>
        <v>-7805.5600028095614</v>
      </c>
      <c r="R34" s="137">
        <f t="shared" si="56"/>
        <v>-7756.6725771309311</v>
      </c>
      <c r="S34" s="137">
        <f t="shared" si="56"/>
        <v>-7831.9278418165695</v>
      </c>
      <c r="T34" s="137">
        <f t="shared" si="56"/>
        <v>-7372.6624423301955</v>
      </c>
      <c r="U34" s="137">
        <f t="shared" si="56"/>
        <v>-7328.3443161791402</v>
      </c>
      <c r="V34" s="137">
        <f t="shared" si="56"/>
        <v>-7125.8114383598959</v>
      </c>
      <c r="W34" s="137">
        <f t="shared" ref="W34:AE34" si="57">-W14</f>
        <v>-6817.9760218152369</v>
      </c>
      <c r="X34" s="137">
        <f t="shared" si="57"/>
        <v>-6824.5561896889303</v>
      </c>
      <c r="Y34" s="137">
        <f t="shared" si="57"/>
        <v>-6786.0793594583192</v>
      </c>
      <c r="Z34" s="137">
        <f t="shared" si="57"/>
        <v>-6731.0049477629855</v>
      </c>
      <c r="AA34" s="137">
        <f t="shared" si="57"/>
        <v>-6680.9805619281142</v>
      </c>
      <c r="AB34" s="137">
        <f t="shared" si="57"/>
        <v>-6662.0172547438806</v>
      </c>
      <c r="AC34" s="137">
        <f t="shared" si="57"/>
        <v>-6543.5292121617058</v>
      </c>
      <c r="AD34" s="137">
        <f t="shared" si="57"/>
        <v>-6343.8516595226702</v>
      </c>
      <c r="AE34" s="137">
        <f t="shared" si="57"/>
        <v>-6370.9177075975113</v>
      </c>
      <c r="AF34" s="297">
        <f>-AF14</f>
        <v>-6256.3153798998783</v>
      </c>
    </row>
    <row r="35" spans="1:32" ht="13.5" thickBot="1">
      <c r="A35" s="296" t="s">
        <v>4</v>
      </c>
      <c r="B35" s="85"/>
      <c r="C35" s="134"/>
      <c r="D35" s="137">
        <f t="shared" ref="D35:V35" si="58">-D15</f>
        <v>-6474.5563258338261</v>
      </c>
      <c r="E35" s="137">
        <f t="shared" si="58"/>
        <v>-6432.2156152958196</v>
      </c>
      <c r="F35" s="137">
        <f t="shared" si="58"/>
        <v>-6583.5838375261228</v>
      </c>
      <c r="G35" s="137">
        <f t="shared" si="58"/>
        <v>-6793.114375203093</v>
      </c>
      <c r="H35" s="137">
        <f t="shared" si="58"/>
        <v>-7065.4534423640634</v>
      </c>
      <c r="I35" s="137">
        <f t="shared" si="58"/>
        <v>-7340.4547020537175</v>
      </c>
      <c r="J35" s="137">
        <f t="shared" si="58"/>
        <v>-7531.5483208538471</v>
      </c>
      <c r="K35" s="137">
        <f t="shared" si="58"/>
        <v>-7632.0809659359975</v>
      </c>
      <c r="L35" s="137">
        <f t="shared" si="58"/>
        <v>-7717.9525661377738</v>
      </c>
      <c r="M35" s="137">
        <f t="shared" si="58"/>
        <v>-7807.2332494330585</v>
      </c>
      <c r="N35" s="137">
        <f t="shared" si="58"/>
        <v>-7967.3260497623423</v>
      </c>
      <c r="O35" s="137">
        <f t="shared" si="58"/>
        <v>-8170.3516015278692</v>
      </c>
      <c r="P35" s="137">
        <f t="shared" si="58"/>
        <v>-8282.1439725933269</v>
      </c>
      <c r="Q35" s="137">
        <f t="shared" si="58"/>
        <v>-8379.7735850651661</v>
      </c>
      <c r="R35" s="137">
        <f t="shared" si="58"/>
        <v>-8442.176181506451</v>
      </c>
      <c r="S35" s="137">
        <f t="shared" si="58"/>
        <v>-8378.8763851662825</v>
      </c>
      <c r="T35" s="137">
        <f t="shared" si="58"/>
        <v>-8284.6931925762274</v>
      </c>
      <c r="U35" s="137">
        <f t="shared" si="58"/>
        <v>-8269.7295495364415</v>
      </c>
      <c r="V35" s="137">
        <f t="shared" si="58"/>
        <v>-8388.4670378974806</v>
      </c>
      <c r="W35" s="137">
        <f t="shared" ref="W35:AE35" si="59">-W15</f>
        <v>-8581.5203224488341</v>
      </c>
      <c r="X35" s="137">
        <f t="shared" si="59"/>
        <v>-8799.876077712901</v>
      </c>
      <c r="Y35" s="137">
        <f t="shared" si="59"/>
        <v>-8874.0638632396767</v>
      </c>
      <c r="Z35" s="137">
        <f t="shared" si="59"/>
        <v>-8878.3377550850419</v>
      </c>
      <c r="AA35" s="137">
        <f t="shared" si="59"/>
        <v>-9127.1384801241475</v>
      </c>
      <c r="AB35" s="137">
        <f t="shared" si="59"/>
        <v>-9383.9919449891022</v>
      </c>
      <c r="AC35" s="137">
        <f t="shared" si="59"/>
        <v>-9372.0360341143078</v>
      </c>
      <c r="AD35" s="137">
        <f t="shared" si="59"/>
        <v>-9222.4676221036243</v>
      </c>
      <c r="AE35" s="137">
        <f t="shared" si="59"/>
        <v>-9169.8644178396589</v>
      </c>
      <c r="AF35" s="297">
        <f>-AF15</f>
        <v>-9090.604444853283</v>
      </c>
    </row>
    <row r="36" spans="1:32" ht="13.5" thickBot="1">
      <c r="A36" s="290"/>
      <c r="B36" s="85"/>
      <c r="C36" s="85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282"/>
    </row>
    <row r="37" spans="1:32" ht="13.5" customHeight="1" thickBot="1">
      <c r="A37" s="283" t="s">
        <v>75</v>
      </c>
      <c r="B37" s="85"/>
      <c r="C37" s="134"/>
      <c r="D37" s="137">
        <f t="shared" ref="D37:V37" si="60">SUM(D33:D36)</f>
        <v>-5580.5019015833022</v>
      </c>
      <c r="E37" s="137">
        <f t="shared" si="60"/>
        <v>-2738.2755213130877</v>
      </c>
      <c r="F37" s="137">
        <f t="shared" si="60"/>
        <v>-2199.1349384652822</v>
      </c>
      <c r="G37" s="137">
        <f t="shared" si="60"/>
        <v>-1752.7546648819825</v>
      </c>
      <c r="H37" s="137">
        <f t="shared" si="60"/>
        <v>-1392.4808478632258</v>
      </c>
      <c r="I37" s="137">
        <f t="shared" si="60"/>
        <v>-871.06084913600534</v>
      </c>
      <c r="J37" s="137">
        <f t="shared" si="60"/>
        <v>1554.8329801786886</v>
      </c>
      <c r="K37" s="137">
        <f t="shared" si="60"/>
        <v>3088.014652062061</v>
      </c>
      <c r="L37" s="137">
        <f t="shared" si="60"/>
        <v>3492.5922643782396</v>
      </c>
      <c r="M37" s="137">
        <f t="shared" si="60"/>
        <v>6714.6362500344603</v>
      </c>
      <c r="N37" s="137">
        <f t="shared" si="60"/>
        <v>9411.3765706155427</v>
      </c>
      <c r="O37" s="137">
        <f t="shared" si="60"/>
        <v>9826.2719542644481</v>
      </c>
      <c r="P37" s="137">
        <f t="shared" si="60"/>
        <v>10063.22191103984</v>
      </c>
      <c r="Q37" s="137">
        <f t="shared" si="60"/>
        <v>10849.953634594473</v>
      </c>
      <c r="R37" s="137">
        <f t="shared" si="60"/>
        <v>11216.924587705218</v>
      </c>
      <c r="S37" s="137">
        <f t="shared" si="60"/>
        <v>11613.037966849215</v>
      </c>
      <c r="T37" s="137">
        <f t="shared" si="60"/>
        <v>12463.00288229449</v>
      </c>
      <c r="U37" s="137">
        <f t="shared" si="60"/>
        <v>12848.24067716916</v>
      </c>
      <c r="V37" s="137">
        <f t="shared" si="60"/>
        <v>13158.109236554745</v>
      </c>
      <c r="W37" s="137">
        <f t="shared" ref="W37:AE37" si="61">SUM(W33:W36)</f>
        <v>13537.008176087029</v>
      </c>
      <c r="X37" s="137">
        <f t="shared" si="61"/>
        <v>13472.65332846335</v>
      </c>
      <c r="Y37" s="137">
        <f t="shared" si="61"/>
        <v>13629.317015127341</v>
      </c>
      <c r="Z37" s="137">
        <f t="shared" si="61"/>
        <v>13779.722362107779</v>
      </c>
      <c r="AA37" s="137">
        <f t="shared" si="61"/>
        <v>13720.110121030542</v>
      </c>
      <c r="AB37" s="137">
        <f t="shared" si="61"/>
        <v>13531.671824341167</v>
      </c>
      <c r="AC37" s="137">
        <f t="shared" si="61"/>
        <v>13751.423591594857</v>
      </c>
      <c r="AD37" s="137">
        <f t="shared" si="61"/>
        <v>14103.14852557045</v>
      </c>
      <c r="AE37" s="137">
        <f t="shared" si="61"/>
        <v>14177.859568275386</v>
      </c>
      <c r="AF37" s="297">
        <f>SUM(AF33:AF36)</f>
        <v>14343.293130608732</v>
      </c>
    </row>
    <row r="38" spans="1:32" ht="13.5" thickBot="1">
      <c r="A38" s="290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282"/>
    </row>
    <row r="39" spans="1:32">
      <c r="A39" s="381"/>
      <c r="B39" s="382"/>
      <c r="C39" s="382"/>
      <c r="D39" s="382"/>
      <c r="E39" s="382"/>
      <c r="F39" s="382"/>
      <c r="G39" s="382"/>
      <c r="H39" s="382"/>
      <c r="I39" s="382"/>
      <c r="J39" s="382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E39" s="382"/>
      <c r="AF39" s="383"/>
    </row>
    <row r="40" spans="1:32" ht="13.5" thickBot="1">
      <c r="A40" s="290"/>
      <c r="B40" s="85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282"/>
    </row>
    <row r="41" spans="1:32" s="101" customFormat="1" ht="13.5" thickBot="1">
      <c r="A41" s="283" t="s">
        <v>76</v>
      </c>
      <c r="B41" s="134"/>
      <c r="C41" s="123">
        <f>SUM(D41:AF41)</f>
        <v>101899.52431858511</v>
      </c>
      <c r="D41" s="123">
        <f t="shared" ref="D41:V41" si="62">D37*D7</f>
        <v>-5464.954699633342</v>
      </c>
      <c r="E41" s="123">
        <f t="shared" si="62"/>
        <v>-2570.5311529037704</v>
      </c>
      <c r="F41" s="123">
        <f t="shared" si="62"/>
        <v>-1978.9281552795403</v>
      </c>
      <c r="G41" s="123">
        <f t="shared" si="62"/>
        <v>-1511.9300622186315</v>
      </c>
      <c r="H41" s="123">
        <f t="shared" si="62"/>
        <v>-1151.4159014866063</v>
      </c>
      <c r="I41" s="123">
        <f t="shared" si="62"/>
        <v>-690.43676372466325</v>
      </c>
      <c r="J41" s="123">
        <f t="shared" si="62"/>
        <v>1181.3853461597359</v>
      </c>
      <c r="K41" s="123">
        <f t="shared" si="62"/>
        <v>2249.1561584997362</v>
      </c>
      <c r="L41" s="123">
        <f t="shared" si="62"/>
        <v>2438.4876844273813</v>
      </c>
      <c r="M41" s="123">
        <f t="shared" si="62"/>
        <v>4493.9433256895763</v>
      </c>
      <c r="N41" s="123">
        <f t="shared" si="62"/>
        <v>6037.9661348484588</v>
      </c>
      <c r="O41" s="123">
        <f t="shared" si="62"/>
        <v>6043.0852820982345</v>
      </c>
      <c r="P41" s="123">
        <f t="shared" si="62"/>
        <v>5932.5227856993524</v>
      </c>
      <c r="Q41" s="123">
        <f t="shared" si="62"/>
        <v>6131.442631016188</v>
      </c>
      <c r="R41" s="123">
        <f t="shared" si="62"/>
        <v>6076.3251947236622</v>
      </c>
      <c r="S41" s="123">
        <f t="shared" si="62"/>
        <v>6030.3910554763806</v>
      </c>
      <c r="T41" s="123">
        <f t="shared" si="62"/>
        <v>6203.7565554734074</v>
      </c>
      <c r="U41" s="123">
        <f t="shared" si="62"/>
        <v>6130.6727801964389</v>
      </c>
      <c r="V41" s="123">
        <f t="shared" si="62"/>
        <v>6018.5293452234318</v>
      </c>
      <c r="W41" s="123">
        <f t="shared" ref="W41:AE41" si="63">W37*W7</f>
        <v>5935.4275434427163</v>
      </c>
      <c r="X41" s="123">
        <f t="shared" si="63"/>
        <v>5662.5868098463234</v>
      </c>
      <c r="Y41" s="123">
        <f t="shared" si="63"/>
        <v>5491.2125319796332</v>
      </c>
      <c r="Z41" s="123">
        <f t="shared" si="63"/>
        <v>5321.9041532384945</v>
      </c>
      <c r="AA41" s="123">
        <f t="shared" si="63"/>
        <v>5079.4489522994691</v>
      </c>
      <c r="AB41" s="123">
        <f t="shared" si="63"/>
        <v>4802.2291664303084</v>
      </c>
      <c r="AC41" s="123">
        <f t="shared" si="63"/>
        <v>4678.1215983086549</v>
      </c>
      <c r="AD41" s="123">
        <f t="shared" si="63"/>
        <v>4599.094649239818</v>
      </c>
      <c r="AE41" s="123">
        <f t="shared" si="63"/>
        <v>4431.9959998747081</v>
      </c>
      <c r="AF41" s="295">
        <f>AF37*AF7</f>
        <v>4298.0353696395641</v>
      </c>
    </row>
    <row r="42" spans="1:32">
      <c r="A42" s="279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280"/>
    </row>
    <row r="43" spans="1:32">
      <c r="A43" s="381"/>
      <c r="B43" s="382"/>
      <c r="C43" s="382"/>
      <c r="D43" s="382"/>
      <c r="E43" s="382"/>
      <c r="F43" s="382"/>
      <c r="G43" s="382"/>
      <c r="H43" s="382"/>
      <c r="I43" s="382"/>
      <c r="J43" s="382"/>
      <c r="K43" s="382"/>
      <c r="L43" s="382"/>
      <c r="M43" s="382"/>
      <c r="N43" s="382"/>
      <c r="O43" s="382"/>
      <c r="P43" s="382"/>
      <c r="Q43" s="382"/>
      <c r="R43" s="382"/>
      <c r="S43" s="382"/>
      <c r="T43" s="382"/>
      <c r="U43" s="382"/>
      <c r="V43" s="382"/>
      <c r="W43" s="382"/>
      <c r="X43" s="382"/>
      <c r="Y43" s="382"/>
      <c r="Z43" s="382"/>
      <c r="AA43" s="382"/>
      <c r="AB43" s="382"/>
      <c r="AC43" s="382"/>
      <c r="AD43" s="382"/>
      <c r="AE43" s="382"/>
      <c r="AF43" s="383"/>
    </row>
    <row r="44" spans="1:32" ht="13.5" thickBot="1">
      <c r="A44" s="290"/>
      <c r="B44" s="85"/>
      <c r="C44" s="85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282"/>
    </row>
    <row r="45" spans="1:32" s="40" customFormat="1" ht="13.5" thickBot="1">
      <c r="A45" s="283" t="s">
        <v>77</v>
      </c>
      <c r="B45" s="77"/>
      <c r="C45" s="134"/>
      <c r="D45" s="123">
        <f>DAV!P35/1000</f>
        <v>118305.73674196731</v>
      </c>
      <c r="E45" s="123">
        <f>DAV!Q35/1000</f>
        <v>127725.56362083483</v>
      </c>
      <c r="F45" s="123">
        <f>DAV!R35/1000</f>
        <v>136928.64065173111</v>
      </c>
      <c r="G45" s="123">
        <f>DAV!S35/1000</f>
        <v>145969.93880033636</v>
      </c>
      <c r="H45" s="123">
        <f>DAV!T35/1000</f>
        <v>154941.69143091896</v>
      </c>
      <c r="I45" s="123">
        <f>DAV!U35/1000</f>
        <v>163849.36457550572</v>
      </c>
      <c r="J45" s="123">
        <f>DAV!V35/1000</f>
        <v>170713.05620767968</v>
      </c>
      <c r="K45" s="123">
        <f>DAV!W35/1000</f>
        <v>176433.23817585869</v>
      </c>
      <c r="L45" s="123">
        <f>DAV!X35/1000</f>
        <v>182052.42158467497</v>
      </c>
      <c r="M45" s="123">
        <f>DAV!Y35/1000</f>
        <v>184868.17611719648</v>
      </c>
      <c r="N45" s="123">
        <f>DAV!Z35/1000</f>
        <v>185257.86821662457</v>
      </c>
      <c r="O45" s="123">
        <f>DAV!AA35/1000</f>
        <v>185459.0295138887</v>
      </c>
      <c r="P45" s="123">
        <f>DAV!AB35/1000</f>
        <v>185565.01283835334</v>
      </c>
      <c r="Q45" s="123">
        <f>DAV!AC35/1000</f>
        <v>185087.86968338187</v>
      </c>
      <c r="R45" s="123">
        <f>DAV!AD35/1000</f>
        <v>184342.85061601771</v>
      </c>
      <c r="S45" s="123">
        <f>DAV!AE35/1000</f>
        <v>183452.546207801</v>
      </c>
      <c r="T45" s="123">
        <f>DAV!AF35/1000</f>
        <v>181910.26119402947</v>
      </c>
      <c r="U45" s="123">
        <f>DAV!AG35/1000</f>
        <v>180143.96179014922</v>
      </c>
      <c r="V45" s="123">
        <f>DAV!AH35/1000</f>
        <v>177992.35307292402</v>
      </c>
      <c r="W45" s="123">
        <f>DAV!AI35/1000</f>
        <v>175376.76454744037</v>
      </c>
      <c r="X45" s="123">
        <f>DAV!AJ35/1000</f>
        <v>172606.90695332526</v>
      </c>
      <c r="Y45" s="123">
        <f>DAV!AK35/1000</f>
        <v>169635.46564401509</v>
      </c>
      <c r="Z45" s="123">
        <f>DAV!AL35/1000</f>
        <v>166448.0196978832</v>
      </c>
      <c r="AA45" s="123">
        <f>DAV!AM35/1000</f>
        <v>163059.64224738046</v>
      </c>
      <c r="AB45" s="123">
        <f>DAV!AN35/1000</f>
        <v>159490.82306402407</v>
      </c>
      <c r="AC45" s="123">
        <f>DAV!AO35/1000</f>
        <v>155660.62927098598</v>
      </c>
      <c r="AD45" s="123">
        <f>DAV!AP35/1000</f>
        <v>151513.84437541661</v>
      </c>
      <c r="AE45" s="123">
        <f>DAV!AQ35/1000</f>
        <v>147295.57013900831</v>
      </c>
      <c r="AF45" s="295">
        <f>DAV!AR35/1000</f>
        <v>142859.24790242699</v>
      </c>
    </row>
    <row r="46" spans="1:32">
      <c r="A46" s="279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280"/>
    </row>
    <row r="47" spans="1:32">
      <c r="A47" s="381"/>
      <c r="B47" s="382"/>
      <c r="C47" s="382"/>
      <c r="D47" s="382"/>
      <c r="E47" s="382"/>
      <c r="F47" s="382"/>
      <c r="G47" s="382"/>
      <c r="H47" s="382"/>
      <c r="I47" s="382"/>
      <c r="J47" s="382"/>
      <c r="K47" s="382"/>
      <c r="L47" s="382"/>
      <c r="M47" s="382"/>
      <c r="N47" s="382"/>
      <c r="O47" s="382"/>
      <c r="P47" s="382"/>
      <c r="Q47" s="382"/>
      <c r="R47" s="382"/>
      <c r="S47" s="382"/>
      <c r="T47" s="382"/>
      <c r="U47" s="382"/>
      <c r="V47" s="382"/>
      <c r="W47" s="382"/>
      <c r="X47" s="382"/>
      <c r="Y47" s="382"/>
      <c r="Z47" s="382"/>
      <c r="AA47" s="382"/>
      <c r="AB47" s="382"/>
      <c r="AC47" s="382"/>
      <c r="AD47" s="382"/>
      <c r="AE47" s="382"/>
      <c r="AF47" s="383"/>
    </row>
    <row r="48" spans="1:32" ht="13.5" thickBot="1">
      <c r="A48" s="290"/>
      <c r="B48" s="85"/>
      <c r="C48" s="117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280"/>
    </row>
    <row r="49" spans="1:32" ht="13.5" thickBot="1">
      <c r="A49" s="296" t="s">
        <v>78</v>
      </c>
      <c r="B49" s="134"/>
      <c r="C49" s="137">
        <f>-C65</f>
        <v>-143802.85904978559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280"/>
    </row>
    <row r="50" spans="1:32" ht="13.5" thickBot="1">
      <c r="A50" s="296" t="s">
        <v>220</v>
      </c>
      <c r="B50" s="134"/>
      <c r="C50" s="137">
        <f>AF45*AF8</f>
        <v>41903.334731200463</v>
      </c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280"/>
    </row>
    <row r="51" spans="1:32" ht="13.5" thickBot="1">
      <c r="A51" s="283" t="s">
        <v>80</v>
      </c>
      <c r="B51" s="134"/>
      <c r="C51" s="124">
        <f>SUM(C41:C50)</f>
        <v>0</v>
      </c>
      <c r="D51" s="38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280"/>
    </row>
    <row r="52" spans="1:32">
      <c r="A52" s="279"/>
      <c r="B52" s="85"/>
      <c r="C52" s="37"/>
      <c r="D52" s="38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5"/>
      <c r="Y52" s="85"/>
      <c r="Z52" s="85"/>
      <c r="AA52" s="85"/>
      <c r="AB52" s="85"/>
      <c r="AC52" s="85"/>
      <c r="AD52" s="85"/>
      <c r="AE52" s="85"/>
      <c r="AF52" s="280"/>
    </row>
    <row r="53" spans="1:32">
      <c r="A53" s="381"/>
      <c r="B53" s="382"/>
      <c r="C53" s="382"/>
      <c r="D53" s="382"/>
      <c r="E53" s="382"/>
      <c r="F53" s="382"/>
      <c r="G53" s="382"/>
      <c r="H53" s="382"/>
      <c r="I53" s="382"/>
      <c r="J53" s="382"/>
      <c r="K53" s="382"/>
      <c r="L53" s="382"/>
      <c r="M53" s="382"/>
      <c r="N53" s="382"/>
      <c r="O53" s="382"/>
      <c r="P53" s="382"/>
      <c r="Q53" s="382"/>
      <c r="R53" s="382"/>
      <c r="S53" s="382"/>
      <c r="T53" s="382"/>
      <c r="U53" s="382"/>
      <c r="V53" s="382"/>
      <c r="W53" s="382"/>
      <c r="X53" s="382"/>
      <c r="Y53" s="382"/>
      <c r="Z53" s="382"/>
      <c r="AA53" s="382"/>
      <c r="AB53" s="382"/>
      <c r="AC53" s="382"/>
      <c r="AD53" s="382"/>
      <c r="AE53" s="382"/>
      <c r="AF53" s="383"/>
    </row>
    <row r="54" spans="1:32" ht="13.5" thickBot="1">
      <c r="A54" s="290"/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282"/>
    </row>
    <row r="55" spans="1:32">
      <c r="A55" s="384" t="s">
        <v>81</v>
      </c>
      <c r="B55" s="385"/>
      <c r="C55" s="385"/>
      <c r="D55" s="385"/>
      <c r="E55" s="385"/>
      <c r="F55" s="385"/>
      <c r="G55" s="385"/>
      <c r="H55" s="385"/>
      <c r="I55" s="385"/>
      <c r="J55" s="385"/>
      <c r="K55" s="385"/>
      <c r="L55" s="385"/>
      <c r="M55" s="385"/>
      <c r="N55" s="385"/>
      <c r="O55" s="385"/>
      <c r="P55" s="385"/>
      <c r="Q55" s="385"/>
      <c r="R55" s="385"/>
      <c r="S55" s="385"/>
      <c r="T55" s="385"/>
      <c r="U55" s="385"/>
      <c r="V55" s="385"/>
      <c r="W55" s="385"/>
      <c r="X55" s="385"/>
      <c r="Y55" s="385"/>
      <c r="Z55" s="385"/>
      <c r="AA55" s="385"/>
      <c r="AB55" s="385"/>
      <c r="AC55" s="385"/>
      <c r="AD55" s="385"/>
      <c r="AE55" s="385"/>
      <c r="AF55" s="386"/>
    </row>
    <row r="56" spans="1:32" ht="13.5" thickBot="1">
      <c r="A56" s="279"/>
      <c r="B56" s="117"/>
      <c r="C56" s="85"/>
      <c r="D56" s="85"/>
      <c r="E56" s="85"/>
      <c r="F56" s="85"/>
      <c r="G56" s="85"/>
      <c r="H56" s="85"/>
      <c r="I56" s="117"/>
      <c r="J56" s="85"/>
      <c r="K56" s="85"/>
      <c r="L56" s="85"/>
      <c r="M56" s="85"/>
      <c r="N56" s="117"/>
      <c r="O56" s="85"/>
      <c r="P56" s="85"/>
      <c r="Q56" s="85"/>
      <c r="R56" s="85"/>
      <c r="S56" s="117"/>
      <c r="T56" s="85"/>
      <c r="U56" s="85"/>
      <c r="V56" s="9"/>
      <c r="W56" s="9"/>
      <c r="X56" s="117"/>
      <c r="Y56" s="9"/>
      <c r="Z56" s="9"/>
      <c r="AA56" s="9"/>
      <c r="AB56" s="9"/>
      <c r="AC56" s="117"/>
      <c r="AD56" s="9"/>
      <c r="AE56" s="9"/>
      <c r="AF56" s="282"/>
    </row>
    <row r="57" spans="1:32" ht="13.5" thickBot="1">
      <c r="A57" s="298"/>
      <c r="B57" s="116" t="s">
        <v>82</v>
      </c>
      <c r="C57" s="85"/>
      <c r="D57" s="85"/>
      <c r="E57" s="85"/>
      <c r="F57" s="85"/>
      <c r="G57" s="85"/>
      <c r="H57" s="134"/>
      <c r="I57" s="123">
        <f>I67+I69</f>
        <v>202571.358611809</v>
      </c>
      <c r="J57" s="85"/>
      <c r="K57" s="85"/>
      <c r="L57" s="85"/>
      <c r="M57" s="134"/>
      <c r="N57" s="123">
        <f>N67+N69</f>
        <v>224157.78899719982</v>
      </c>
      <c r="O57" s="85"/>
      <c r="P57" s="85"/>
      <c r="Q57" s="85"/>
      <c r="R57" s="134"/>
      <c r="S57" s="123">
        <f>S67+S69</f>
        <v>217502.84751285892</v>
      </c>
      <c r="T57" s="85"/>
      <c r="U57" s="28"/>
      <c r="V57" s="28"/>
      <c r="W57" s="134"/>
      <c r="X57" s="123">
        <f>X67+X69</f>
        <v>195921.97972007364</v>
      </c>
      <c r="Y57" s="28"/>
      <c r="Z57" s="28"/>
      <c r="AA57" s="28"/>
      <c r="AB57" s="28"/>
      <c r="AC57" s="123">
        <f>AC67+AC69</f>
        <v>165863.73113450425</v>
      </c>
      <c r="AD57" s="28"/>
      <c r="AE57" s="28"/>
      <c r="AF57" s="295">
        <f>AF67+AF69</f>
        <v>142859.24790242699</v>
      </c>
    </row>
    <row r="58" spans="1:32">
      <c r="A58" s="279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280"/>
    </row>
    <row r="59" spans="1:32">
      <c r="A59" s="279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280"/>
    </row>
    <row r="60" spans="1:32" ht="13.5" thickBot="1">
      <c r="A60" s="290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282"/>
    </row>
    <row r="61" spans="1:32">
      <c r="A61" s="387" t="s">
        <v>83</v>
      </c>
      <c r="B61" s="388"/>
      <c r="C61" s="388"/>
      <c r="D61" s="388"/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  <c r="U61" s="388"/>
      <c r="V61" s="388"/>
      <c r="W61" s="388"/>
      <c r="X61" s="388"/>
      <c r="Y61" s="388"/>
      <c r="Z61" s="388"/>
      <c r="AA61" s="388"/>
      <c r="AB61" s="388"/>
      <c r="AC61" s="388"/>
      <c r="AD61" s="388"/>
      <c r="AE61" s="388"/>
      <c r="AF61" s="389"/>
    </row>
    <row r="62" spans="1:32" ht="13.5" thickBot="1">
      <c r="A62" s="279"/>
      <c r="B62" s="117"/>
      <c r="C62" s="85"/>
      <c r="D62" s="117"/>
      <c r="E62" s="117"/>
      <c r="F62" s="117"/>
      <c r="G62" s="117"/>
      <c r="H62" s="117"/>
      <c r="I62" s="117" t="s">
        <v>101</v>
      </c>
      <c r="J62" s="117"/>
      <c r="K62" s="117"/>
      <c r="L62" s="117"/>
      <c r="M62" s="117"/>
      <c r="N62" s="117" t="s">
        <v>101</v>
      </c>
      <c r="O62" s="117"/>
      <c r="P62" s="117"/>
      <c r="Q62" s="117"/>
      <c r="R62" s="117"/>
      <c r="S62" s="117" t="s">
        <v>101</v>
      </c>
      <c r="T62" s="117"/>
      <c r="U62" s="117"/>
      <c r="V62" s="117"/>
      <c r="W62" s="117"/>
      <c r="X62" s="117" t="s">
        <v>101</v>
      </c>
      <c r="Y62" s="117"/>
      <c r="Z62" s="117"/>
      <c r="AA62" s="117"/>
      <c r="AB62" s="117"/>
      <c r="AC62" s="117" t="s">
        <v>101</v>
      </c>
      <c r="AD62" s="117"/>
      <c r="AE62" s="117"/>
      <c r="AF62" s="282" t="s">
        <v>101</v>
      </c>
    </row>
    <row r="63" spans="1:32" ht="13.5" thickBot="1">
      <c r="A63" s="298"/>
      <c r="B63" s="116" t="s">
        <v>84</v>
      </c>
      <c r="C63" s="134"/>
      <c r="D63" s="102">
        <f t="shared" ref="D63:I63" si="64">D37*(1+$I$6*$B$7)*(1+$I$6)^($I$12-D12)</f>
        <v>-7043.5570514386245</v>
      </c>
      <c r="E63" s="102">
        <f t="shared" si="64"/>
        <v>-3313.0526826128612</v>
      </c>
      <c r="F63" s="102">
        <f t="shared" si="64"/>
        <v>-2550.5597262031865</v>
      </c>
      <c r="G63" s="102">
        <f t="shared" si="64"/>
        <v>-1948.6649453355164</v>
      </c>
      <c r="H63" s="102">
        <f t="shared" si="64"/>
        <v>-1484.012958533521</v>
      </c>
      <c r="I63" s="102">
        <f t="shared" si="64"/>
        <v>-889.87576347734307</v>
      </c>
      <c r="J63" s="102">
        <f>J37*(1+$N$6*$B$7)*(1+$N$6)^($N$12-J12)</f>
        <v>1881.1998777704348</v>
      </c>
      <c r="K63" s="102">
        <f>K37*(1+$N$6*$B$7)*(1+$N$6)^($N$12-K12)</f>
        <v>3581.4836405497726</v>
      </c>
      <c r="L63" s="102">
        <f>L37*(1+$N$6*$B$7)*(1+$N$6)^($N$12-L12)</f>
        <v>3882.9690488384053</v>
      </c>
      <c r="M63" s="102">
        <f>M37*(1+$N$6*$B$7)*(1+$N$6)^($N$12-M12)</f>
        <v>7156.0102404143254</v>
      </c>
      <c r="N63" s="102">
        <f>N37*(1+$N$6*$B$7)*(1+$N$6)^($N$12-N12)</f>
        <v>9614.6623045408396</v>
      </c>
      <c r="O63" s="102">
        <f>O37*(1+$S$6*$B$7)*(1+$S$6)^($S$12-O12)</f>
        <v>11888.853552088229</v>
      </c>
      <c r="P63" s="102">
        <f>P37*(1+$S$6*$B$7)*(1+$S$6)^($S$12-P12)</f>
        <v>11671.338612834687</v>
      </c>
      <c r="Q63" s="102">
        <f>Q37*(1+$S$6*$B$7)*(1+$S$6)^($S$12-Q12)</f>
        <v>12062.6832322101</v>
      </c>
      <c r="R63" s="102">
        <f>R37*(1+$S$6*$B$7)*(1+$S$6)^($S$12-R12)</f>
        <v>11954.248037659796</v>
      </c>
      <c r="S63" s="102">
        <f>S37*(1+$S$6*$B$7)*(1+$S$6)^($S$12-S12)</f>
        <v>11863.879586933159</v>
      </c>
      <c r="T63" s="102">
        <f>T37*(1+$X$6*$B$7)*(1+$X$6)^($X$12-T12)</f>
        <v>15079.046944405896</v>
      </c>
      <c r="U63" s="102">
        <f>U37*(1+$X$6*$B$7)*(1+$X$6)^($X$12-U12)</f>
        <v>14901.407208155528</v>
      </c>
      <c r="V63" s="102">
        <f>V37*(1+$X$6*$B$7)*(1+$X$6)^($X$12-V12)</f>
        <v>14628.827827365196</v>
      </c>
      <c r="W63" s="102">
        <f>W37*(1+$X$6*$B$7)*(1+$X$6)^($X$12-W12)</f>
        <v>14426.837958966738</v>
      </c>
      <c r="X63" s="102">
        <f>X37*(1+$X$6*$B$7)*(1+$X$6)^($X$12-X12)</f>
        <v>13763.662640358159</v>
      </c>
      <c r="Y63" s="102">
        <f>Y37*(1+$AC$6*$B$7)*(1+$AC$6)^($AC$12-Y12)</f>
        <v>16490.176005917659</v>
      </c>
      <c r="Z63" s="102">
        <f>Z37*(1+$AC$6*$B$7)*(1+$AC$6)^($AC$12-Z12)</f>
        <v>15981.740947456825</v>
      </c>
      <c r="AA63" s="102">
        <f>AA37*(1+$AC$6*$B$7)*(1+$AC$6)^($AC$12-AA12)</f>
        <v>15253.645119121928</v>
      </c>
      <c r="AB63" s="102">
        <f>AB37*(1+$AC$6*$B$7)*(1+$AC$6)^($AC$12-AB12)</f>
        <v>14421.150832171203</v>
      </c>
      <c r="AC63" s="102">
        <f>AC37*(1+$AC$6*$B$7)*(1+$AC$6)^($AC$12-AC12)</f>
        <v>14048.454341173307</v>
      </c>
      <c r="AD63" s="102">
        <f>AD37*(1+$AF$6*$B$7)*(1+$AF$6)^($AF$12-AD12)</f>
        <v>15679.496795114712</v>
      </c>
      <c r="AE63" s="102">
        <f>AE37*(1+$AF$6*$B$7)*(1+$AF$6)^($AF$12-AE12)</f>
        <v>15109.81451261998</v>
      </c>
      <c r="AF63" s="299">
        <f>AF37*(1+$AF$6*$B$7)*(1+$AF$6)^($AF$12-AF12)</f>
        <v>14653.108262229882</v>
      </c>
    </row>
    <row r="64" spans="1:32" ht="4.5" customHeight="1" thickBot="1">
      <c r="A64" s="279"/>
      <c r="B64" s="117"/>
      <c r="C64" s="117"/>
      <c r="D64" s="100"/>
      <c r="E64" s="100"/>
      <c r="F64" s="100"/>
      <c r="G64" s="100"/>
      <c r="H64" s="100"/>
      <c r="I64" s="20"/>
      <c r="J64" s="100"/>
      <c r="K64" s="100"/>
      <c r="L64" s="100"/>
      <c r="M64" s="100"/>
      <c r="N64" s="20"/>
      <c r="O64" s="100"/>
      <c r="P64" s="100"/>
      <c r="Q64" s="100"/>
      <c r="R64" s="100"/>
      <c r="S64" s="20"/>
      <c r="T64" s="100"/>
      <c r="U64" s="100"/>
      <c r="V64" s="100"/>
      <c r="W64" s="100"/>
      <c r="X64" s="20"/>
      <c r="Y64" s="100"/>
      <c r="Z64" s="100"/>
      <c r="AA64" s="100"/>
      <c r="AB64" s="100"/>
      <c r="AC64" s="20"/>
      <c r="AD64" s="100"/>
      <c r="AE64" s="100"/>
      <c r="AF64" s="300"/>
    </row>
    <row r="65" spans="1:32" ht="13.5" thickBot="1">
      <c r="A65" s="298"/>
      <c r="B65" s="116" t="s">
        <v>85</v>
      </c>
      <c r="C65" s="123">
        <f>Inputs!O128/1000</f>
        <v>143802.85904978559</v>
      </c>
      <c r="D65" s="100"/>
      <c r="E65" s="71"/>
      <c r="F65" s="71"/>
      <c r="G65" s="100"/>
      <c r="H65" s="70"/>
      <c r="I65" s="102">
        <f>-$C$65*(1+I6)^(I12-C12)</f>
        <v>-185341.63548420795</v>
      </c>
      <c r="J65" s="71"/>
      <c r="K65" s="71"/>
      <c r="L65" s="100"/>
      <c r="M65" s="70"/>
      <c r="N65" s="102">
        <f>-I57*(1+N6)^(N12-I12)</f>
        <v>-250274.11410931361</v>
      </c>
      <c r="O65" s="100"/>
      <c r="P65" s="71"/>
      <c r="Q65" s="100"/>
      <c r="R65" s="70"/>
      <c r="S65" s="102">
        <f>-N57*(1+S6)^(S12-N12)</f>
        <v>-276943.8505345849</v>
      </c>
      <c r="T65" s="71"/>
      <c r="U65" s="71"/>
      <c r="V65" s="71"/>
      <c r="W65" s="70"/>
      <c r="X65" s="102">
        <f>-S57*(1+X6)^(X12-S12)</f>
        <v>-268721.76229932514</v>
      </c>
      <c r="Y65" s="71"/>
      <c r="Z65" s="71"/>
      <c r="AA65" s="71"/>
      <c r="AB65" s="70"/>
      <c r="AC65" s="102">
        <f>-X57*(1+AC6)^(AC12-X12)</f>
        <v>-242058.89838034517</v>
      </c>
      <c r="AD65" s="71"/>
      <c r="AE65" s="70"/>
      <c r="AF65" s="299">
        <f>-AC57*(1+AF6)^(AF12-AC12)</f>
        <v>-188301.66747239174</v>
      </c>
    </row>
    <row r="66" spans="1:32" ht="4.5" customHeight="1" thickBot="1">
      <c r="A66" s="279"/>
      <c r="B66" s="35"/>
      <c r="C66" s="85"/>
      <c r="D66" s="100"/>
      <c r="E66" s="100"/>
      <c r="F66" s="100"/>
      <c r="G66" s="100"/>
      <c r="H66" s="100"/>
      <c r="I66" s="20"/>
      <c r="J66" s="100"/>
      <c r="K66" s="100"/>
      <c r="L66" s="100"/>
      <c r="M66" s="100"/>
      <c r="N66" s="20"/>
      <c r="O66" s="100"/>
      <c r="P66" s="100"/>
      <c r="Q66" s="100"/>
      <c r="R66" s="100"/>
      <c r="S66" s="20"/>
      <c r="T66" s="100"/>
      <c r="U66" s="100"/>
      <c r="V66" s="100"/>
      <c r="W66" s="100"/>
      <c r="X66" s="20"/>
      <c r="Y66" s="100"/>
      <c r="Z66" s="100"/>
      <c r="AA66" s="100"/>
      <c r="AB66" s="100"/>
      <c r="AC66" s="20"/>
      <c r="AD66" s="100"/>
      <c r="AE66" s="100"/>
      <c r="AF66" s="300"/>
    </row>
    <row r="67" spans="1:32" ht="13.5" thickBot="1">
      <c r="A67" s="279"/>
      <c r="B67" s="116" t="s">
        <v>62</v>
      </c>
      <c r="C67" s="85"/>
      <c r="D67" s="100"/>
      <c r="E67" s="71"/>
      <c r="F67" s="71"/>
      <c r="G67" s="100"/>
      <c r="H67" s="70"/>
      <c r="I67" s="102">
        <f>I45</f>
        <v>163849.36457550572</v>
      </c>
      <c r="J67" s="71"/>
      <c r="K67" s="71"/>
      <c r="L67" s="100"/>
      <c r="M67" s="70"/>
      <c r="N67" s="102">
        <f>N45</f>
        <v>185257.86821662457</v>
      </c>
      <c r="O67" s="100"/>
      <c r="P67" s="71"/>
      <c r="Q67" s="100"/>
      <c r="R67" s="70"/>
      <c r="S67" s="102">
        <f>S45</f>
        <v>183452.546207801</v>
      </c>
      <c r="T67" s="71"/>
      <c r="U67" s="71"/>
      <c r="V67" s="71"/>
      <c r="W67" s="70"/>
      <c r="X67" s="102">
        <f>X45</f>
        <v>172606.90695332526</v>
      </c>
      <c r="Y67" s="71"/>
      <c r="Z67" s="71"/>
      <c r="AA67" s="71"/>
      <c r="AB67" s="70"/>
      <c r="AC67" s="102">
        <f>AC45</f>
        <v>155660.62927098598</v>
      </c>
      <c r="AD67" s="71"/>
      <c r="AE67" s="70"/>
      <c r="AF67" s="299">
        <f>AF45</f>
        <v>142859.24790242699</v>
      </c>
    </row>
    <row r="68" spans="1:32" ht="6" customHeight="1" thickBot="1">
      <c r="A68" s="279"/>
      <c r="B68" s="35"/>
      <c r="C68" s="85"/>
      <c r="D68" s="100"/>
      <c r="E68" s="100"/>
      <c r="F68" s="100"/>
      <c r="G68" s="100"/>
      <c r="H68" s="100"/>
      <c r="I68" s="20"/>
      <c r="J68" s="100"/>
      <c r="K68" s="100"/>
      <c r="L68" s="100"/>
      <c r="M68" s="100"/>
      <c r="N68" s="20"/>
      <c r="O68" s="100"/>
      <c r="P68" s="100"/>
      <c r="Q68" s="100"/>
      <c r="R68" s="100"/>
      <c r="S68" s="20"/>
      <c r="T68" s="100"/>
      <c r="U68" s="100"/>
      <c r="V68" s="100"/>
      <c r="W68" s="100"/>
      <c r="X68" s="20"/>
      <c r="Y68" s="100"/>
      <c r="Z68" s="100"/>
      <c r="AA68" s="100"/>
      <c r="AB68" s="100"/>
      <c r="AC68" s="20"/>
      <c r="AD68" s="100"/>
      <c r="AE68" s="100"/>
      <c r="AF68" s="300"/>
    </row>
    <row r="69" spans="1:32" ht="13.5" thickBot="1">
      <c r="A69" s="279"/>
      <c r="B69" s="116" t="s">
        <v>86</v>
      </c>
      <c r="C69" s="85"/>
      <c r="D69" s="100"/>
      <c r="E69" s="71"/>
      <c r="F69" s="71"/>
      <c r="G69" s="100"/>
      <c r="H69" s="70"/>
      <c r="I69" s="102">
        <f>-SUM(D63:I68)</f>
        <v>38721.99403630328</v>
      </c>
      <c r="J69" s="71"/>
      <c r="K69" s="71"/>
      <c r="L69" s="100"/>
      <c r="M69" s="70"/>
      <c r="N69" s="102">
        <f>-SUM(J63:N68)</f>
        <v>38899.920780575252</v>
      </c>
      <c r="O69" s="100"/>
      <c r="P69" s="71"/>
      <c r="Q69" s="100"/>
      <c r="R69" s="70"/>
      <c r="S69" s="102">
        <f>-SUM(O63:S68)</f>
        <v>34050.301305057917</v>
      </c>
      <c r="T69" s="71"/>
      <c r="U69" s="71"/>
      <c r="V69" s="71"/>
      <c r="W69" s="70"/>
      <c r="X69" s="102">
        <f>-SUM(T63:X68)</f>
        <v>23315.072766748373</v>
      </c>
      <c r="Y69" s="71"/>
      <c r="Z69" s="71"/>
      <c r="AA69" s="71"/>
      <c r="AB69" s="70"/>
      <c r="AC69" s="102">
        <f>-SUM(Y63:AC68)</f>
        <v>10203.10186351827</v>
      </c>
      <c r="AD69" s="71"/>
      <c r="AE69" s="70"/>
      <c r="AF69" s="299">
        <f>-SUM(AD63:AF68)</f>
        <v>0</v>
      </c>
    </row>
    <row r="70" spans="1:32" s="32" customFormat="1" ht="13.5" thickBot="1">
      <c r="A70" s="301"/>
      <c r="B70" s="302" t="s">
        <v>55</v>
      </c>
      <c r="C70" s="302"/>
      <c r="D70" s="303"/>
      <c r="E70" s="303"/>
      <c r="F70" s="303"/>
      <c r="G70" s="304"/>
      <c r="H70" s="303"/>
      <c r="I70" s="303">
        <f>SUM(D63:I69)</f>
        <v>0</v>
      </c>
      <c r="J70" s="303"/>
      <c r="K70" s="303"/>
      <c r="L70" s="304"/>
      <c r="M70" s="303"/>
      <c r="N70" s="303">
        <f>SUM(J63:N69)</f>
        <v>0</v>
      </c>
      <c r="O70" s="304"/>
      <c r="P70" s="303"/>
      <c r="Q70" s="304"/>
      <c r="R70" s="304"/>
      <c r="S70" s="303">
        <f>SUM(O63:S69)</f>
        <v>0</v>
      </c>
      <c r="T70" s="304"/>
      <c r="U70" s="304"/>
      <c r="V70" s="304"/>
      <c r="W70" s="304"/>
      <c r="X70" s="303">
        <f>SUM(T63:X69)</f>
        <v>0</v>
      </c>
      <c r="Y70" s="304"/>
      <c r="Z70" s="304"/>
      <c r="AA70" s="304"/>
      <c r="AB70" s="304"/>
      <c r="AC70" s="303">
        <f>SUM(Y63:AC69)</f>
        <v>0</v>
      </c>
      <c r="AD70" s="304"/>
      <c r="AE70" s="304"/>
      <c r="AF70" s="305">
        <f>SUM(AD63:AF69)</f>
        <v>-1.7462298274040222E-10</v>
      </c>
    </row>
    <row r="73" spans="1:32" ht="23.25">
      <c r="B73" s="347" t="s">
        <v>136</v>
      </c>
      <c r="C73" s="348"/>
      <c r="D73" s="348"/>
      <c r="E73" s="348"/>
      <c r="F73" s="348"/>
      <c r="G73" s="348"/>
      <c r="H73" s="348"/>
      <c r="I73" s="348"/>
    </row>
    <row r="74" spans="1:32">
      <c r="B74" s="95" t="s">
        <v>137</v>
      </c>
      <c r="C74" s="348"/>
      <c r="D74" s="349">
        <f>+'Building Block Method'!C9</f>
        <v>-5701.0407426575011</v>
      </c>
      <c r="E74" s="349">
        <f>+'Building Block Method'!D9</f>
        <v>-8744.7479753137559</v>
      </c>
      <c r="F74" s="349">
        <f>+'Building Block Method'!E9</f>
        <v>-11369.157340983442</v>
      </c>
      <c r="G74" s="349">
        <f>+'Building Block Method'!F9</f>
        <v>-13650.91910375736</v>
      </c>
      <c r="H74" s="349">
        <f>+'Building Block Method'!G9</f>
        <v>-15663.197243216749</v>
      </c>
      <c r="I74" s="349">
        <f>+'Building Block Method'!H9</f>
        <v>-17229.723127601061</v>
      </c>
    </row>
    <row r="75" spans="1:32">
      <c r="B75" s="95" t="s">
        <v>138</v>
      </c>
      <c r="C75" s="348"/>
      <c r="D75" s="349">
        <f>-$C65/D$8</f>
        <v>-150015.14256073631</v>
      </c>
      <c r="E75" s="349">
        <f t="shared" ref="E75:I75" si="65">-$C65/E$8</f>
        <v>-156495.79671936011</v>
      </c>
      <c r="F75" s="349">
        <f t="shared" si="65"/>
        <v>-163256.41513763642</v>
      </c>
      <c r="G75" s="349">
        <f t="shared" si="65"/>
        <v>-170309.09227158231</v>
      </c>
      <c r="H75" s="349">
        <f t="shared" si="65"/>
        <v>-177666.44505771465</v>
      </c>
      <c r="I75" s="349">
        <f t="shared" si="65"/>
        <v>-185341.63548420792</v>
      </c>
    </row>
    <row r="76" spans="1:32">
      <c r="B76" s="95" t="s">
        <v>139</v>
      </c>
      <c r="C76" s="348"/>
      <c r="D76" s="349">
        <f>+D45</f>
        <v>118305.73674196731</v>
      </c>
      <c r="E76" s="349">
        <f t="shared" ref="E76:I76" si="66">+E45</f>
        <v>127725.56362083483</v>
      </c>
      <c r="F76" s="349">
        <f t="shared" si="66"/>
        <v>136928.64065173111</v>
      </c>
      <c r="G76" s="349">
        <f t="shared" si="66"/>
        <v>145969.93880033636</v>
      </c>
      <c r="H76" s="349">
        <f t="shared" si="66"/>
        <v>154941.69143091896</v>
      </c>
      <c r="I76" s="349">
        <f t="shared" si="66"/>
        <v>163849.36457550572</v>
      </c>
    </row>
    <row r="77" spans="1:32">
      <c r="B77" s="95" t="s">
        <v>140</v>
      </c>
      <c r="C77" s="348"/>
      <c r="D77" s="349"/>
      <c r="E77" s="349"/>
      <c r="F77" s="349"/>
      <c r="G77" s="349"/>
      <c r="H77" s="349"/>
      <c r="I77" s="349"/>
    </row>
    <row r="78" spans="1:32">
      <c r="B78" s="95" t="s">
        <v>141</v>
      </c>
      <c r="C78" s="348"/>
      <c r="D78" s="349"/>
      <c r="E78" s="349"/>
      <c r="F78" s="349"/>
      <c r="G78" s="349"/>
      <c r="H78" s="349"/>
      <c r="I78" s="349"/>
    </row>
    <row r="79" spans="1:32">
      <c r="B79" s="95" t="s">
        <v>142</v>
      </c>
      <c r="C79" s="350">
        <f>+C81-DAV!O35/1000</f>
        <v>38140.206074230213</v>
      </c>
      <c r="D79" s="349">
        <f>-SUM(D74:D78)</f>
        <v>37410.446561426492</v>
      </c>
      <c r="E79" s="349">
        <f t="shared" ref="E79:I79" si="67">-SUM(E74:E78)</f>
        <v>37514.981073839022</v>
      </c>
      <c r="F79" s="349">
        <f t="shared" si="67"/>
        <v>37696.931826888758</v>
      </c>
      <c r="G79" s="349">
        <f t="shared" si="67"/>
        <v>37990.072575003316</v>
      </c>
      <c r="H79" s="349">
        <f t="shared" si="67"/>
        <v>38387.950870012428</v>
      </c>
      <c r="I79" s="349">
        <f t="shared" si="67"/>
        <v>38721.994036303251</v>
      </c>
    </row>
    <row r="80" spans="1:32">
      <c r="C80" s="348"/>
      <c r="D80" s="349"/>
      <c r="E80" s="349"/>
      <c r="F80" s="349"/>
      <c r="G80" s="349"/>
      <c r="H80" s="349"/>
      <c r="I80" s="349"/>
    </row>
    <row r="81" spans="2:33">
      <c r="B81" s="95" t="s">
        <v>78</v>
      </c>
      <c r="C81" s="351">
        <f>+C65</f>
        <v>143802.85904978559</v>
      </c>
      <c r="D81" s="349">
        <f t="shared" ref="D81:I81" si="68">SUM(D76:D79)</f>
        <v>155716.1833033938</v>
      </c>
      <c r="E81" s="349">
        <f t="shared" si="68"/>
        <v>165240.54469467385</v>
      </c>
      <c r="F81" s="349">
        <f t="shared" si="68"/>
        <v>174625.57247861987</v>
      </c>
      <c r="G81" s="349">
        <f t="shared" si="68"/>
        <v>183960.01137533967</v>
      </c>
      <c r="H81" s="349">
        <f t="shared" si="68"/>
        <v>193329.64230093139</v>
      </c>
      <c r="I81" s="349">
        <f t="shared" si="68"/>
        <v>202571.35861180897</v>
      </c>
    </row>
    <row r="82" spans="2:33">
      <c r="C82" s="348"/>
      <c r="D82" s="349"/>
      <c r="E82" s="349"/>
      <c r="F82" s="349"/>
      <c r="G82" s="349"/>
      <c r="H82" s="349"/>
      <c r="I82" s="349"/>
    </row>
    <row r="83" spans="2:33">
      <c r="C83" s="348"/>
      <c r="D83" s="352"/>
      <c r="E83" s="352"/>
      <c r="F83" s="352"/>
      <c r="G83" s="348"/>
      <c r="H83" s="348"/>
      <c r="I83" s="348"/>
    </row>
    <row r="87" spans="2:33" s="321" customFormat="1">
      <c r="J87" s="172"/>
      <c r="K87" s="172"/>
      <c r="L87" s="172"/>
      <c r="M87" s="172"/>
      <c r="N87" s="172"/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  <c r="AA87" s="172"/>
      <c r="AB87" s="172"/>
      <c r="AC87" s="172"/>
      <c r="AD87" s="172"/>
      <c r="AE87" s="172"/>
      <c r="AF87" s="172"/>
      <c r="AG87" s="172"/>
    </row>
    <row r="88" spans="2:33" s="321" customFormat="1"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</row>
    <row r="89" spans="2:33" s="321" customFormat="1">
      <c r="J89" s="172"/>
      <c r="K89" s="172"/>
      <c r="L89" s="172"/>
      <c r="M89" s="172"/>
      <c r="N89" s="172"/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  <c r="AA89" s="172"/>
      <c r="AB89" s="172"/>
      <c r="AC89" s="172"/>
      <c r="AD89" s="172"/>
      <c r="AE89" s="172"/>
      <c r="AF89" s="172"/>
      <c r="AG89" s="172"/>
    </row>
    <row r="90" spans="2:33" s="321" customFormat="1">
      <c r="J90" s="172"/>
      <c r="K90" s="172"/>
      <c r="L90" s="172"/>
      <c r="M90" s="172"/>
      <c r="N90" s="172"/>
      <c r="O90" s="172"/>
      <c r="P90" s="172"/>
      <c r="Q90" s="172"/>
      <c r="R90" s="172"/>
      <c r="S90" s="172"/>
      <c r="T90" s="172"/>
      <c r="U90" s="172"/>
      <c r="V90" s="172"/>
      <c r="W90" s="172"/>
      <c r="X90" s="172"/>
      <c r="Y90" s="172"/>
      <c r="Z90" s="172"/>
      <c r="AA90" s="172"/>
      <c r="AB90" s="172"/>
      <c r="AC90" s="172"/>
      <c r="AD90" s="172"/>
      <c r="AE90" s="172"/>
      <c r="AF90" s="172"/>
      <c r="AG90" s="172"/>
    </row>
    <row r="91" spans="2:33" s="321" customFormat="1">
      <c r="J91" s="172"/>
      <c r="K91" s="172"/>
      <c r="L91" s="172"/>
      <c r="M91" s="172"/>
      <c r="N91" s="172"/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  <c r="AA91" s="172"/>
      <c r="AB91" s="172"/>
      <c r="AC91" s="172"/>
      <c r="AD91" s="172"/>
      <c r="AE91" s="172"/>
      <c r="AF91" s="172"/>
      <c r="AG91" s="172"/>
    </row>
  </sheetData>
  <mergeCells count="10">
    <mergeCell ref="A2:C2"/>
    <mergeCell ref="D2:E2"/>
    <mergeCell ref="A53:AF53"/>
    <mergeCell ref="A55:AF55"/>
    <mergeCell ref="A61:AF61"/>
    <mergeCell ref="A31:AF31"/>
    <mergeCell ref="A39:AF39"/>
    <mergeCell ref="A43:AF43"/>
    <mergeCell ref="A47:AF47"/>
    <mergeCell ref="J11:AF11"/>
  </mergeCells>
  <pageMargins left="0.70866141732283472" right="0.70866141732283472" top="0.74803149606299213" bottom="0.74803149606299213" header="0.31496062992125984" footer="0.31496062992125984"/>
  <pageSetup paperSize="8"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9"/>
  <dimension ref="A1:AI69"/>
  <sheetViews>
    <sheetView showGridLines="0" zoomScale="70" zoomScaleNormal="70" workbookViewId="0">
      <selection activeCell="U25" sqref="U25"/>
    </sheetView>
  </sheetViews>
  <sheetFormatPr defaultRowHeight="15"/>
  <cols>
    <col min="1" max="1" width="1.7109375" style="183" customWidth="1"/>
    <col min="2" max="2" width="31.42578125" style="183" customWidth="1"/>
    <col min="3" max="5" width="11.7109375" style="183" customWidth="1"/>
    <col min="6" max="6" width="11.7109375" style="184" customWidth="1"/>
    <col min="7" max="7" width="11.28515625" style="184" customWidth="1"/>
    <col min="8" max="10" width="0.42578125" style="184" customWidth="1"/>
    <col min="11" max="12" width="5.7109375" style="184" bestFit="1" customWidth="1"/>
    <col min="13" max="13" width="11.42578125" style="183" customWidth="1"/>
    <col min="14" max="15" width="11.7109375" style="183" customWidth="1"/>
    <col min="16" max="16" width="12.140625" style="203" customWidth="1"/>
    <col min="17" max="17" width="12.42578125" style="203" customWidth="1"/>
    <col min="18" max="18" width="12" style="203" bestFit="1" customWidth="1"/>
    <col min="19" max="20" width="11.5703125" style="203" bestFit="1" customWidth="1"/>
    <col min="21" max="21" width="11.5703125" style="203" customWidth="1"/>
    <col min="22" max="24" width="9.140625" style="183"/>
    <col min="25" max="25" width="12" style="183" customWidth="1"/>
    <col min="26" max="26" width="9.140625" style="183" customWidth="1"/>
    <col min="27" max="27" width="34" style="183" customWidth="1"/>
    <col min="28" max="16384" width="9.140625" style="183"/>
  </cols>
  <sheetData>
    <row r="1" spans="1:35" ht="16.149999999999999" customHeight="1">
      <c r="A1" s="191" t="s">
        <v>217</v>
      </c>
      <c r="B1" s="187"/>
      <c r="C1" s="187"/>
      <c r="D1" s="187"/>
      <c r="F1" s="183"/>
      <c r="G1" s="183"/>
      <c r="M1" s="203"/>
      <c r="N1" s="203"/>
      <c r="O1" s="203"/>
      <c r="V1" s="203"/>
    </row>
    <row r="2" spans="1:35" ht="16.149999999999999" customHeight="1">
      <c r="A2" s="192" t="s">
        <v>218</v>
      </c>
      <c r="B2" s="187"/>
      <c r="C2" s="187"/>
      <c r="D2" s="187"/>
      <c r="F2" s="183"/>
      <c r="G2" s="183"/>
      <c r="M2" s="203"/>
      <c r="N2" s="203"/>
      <c r="O2" s="203"/>
      <c r="T2" s="204"/>
      <c r="U2" s="204"/>
      <c r="V2" s="203"/>
      <c r="AA2" s="184"/>
      <c r="AB2" s="184"/>
      <c r="AC2" s="184"/>
    </row>
    <row r="3" spans="1:35" ht="16.149999999999999" customHeight="1">
      <c r="A3" s="187"/>
      <c r="B3" s="187"/>
      <c r="C3" s="187"/>
      <c r="D3" s="187"/>
      <c r="F3" s="183"/>
      <c r="G3" s="183"/>
      <c r="M3" s="203"/>
      <c r="N3" s="203"/>
      <c r="O3" s="203"/>
      <c r="T3" s="204"/>
      <c r="U3" s="204"/>
      <c r="V3" s="203"/>
      <c r="AA3" s="184"/>
      <c r="AB3" s="184"/>
      <c r="AC3" s="184"/>
      <c r="AI3" s="203"/>
    </row>
    <row r="4" spans="1:35">
      <c r="B4" s="201" t="s">
        <v>209</v>
      </c>
      <c r="M4" s="203"/>
      <c r="N4" s="203"/>
      <c r="O4" s="203"/>
      <c r="V4" s="203"/>
      <c r="AA4" s="184"/>
      <c r="AB4" s="184"/>
      <c r="AC4" s="184"/>
      <c r="AI4" s="203"/>
    </row>
    <row r="5" spans="1:35">
      <c r="B5" s="202" t="s">
        <v>111</v>
      </c>
      <c r="M5" s="205">
        <v>2014</v>
      </c>
      <c r="N5" s="205">
        <v>2015</v>
      </c>
      <c r="O5" s="205">
        <v>2016</v>
      </c>
      <c r="P5" s="205">
        <v>2017</v>
      </c>
      <c r="Q5" s="205">
        <v>2018</v>
      </c>
      <c r="R5" s="205">
        <v>2019</v>
      </c>
      <c r="S5" s="205">
        <v>2020</v>
      </c>
      <c r="T5" s="205">
        <v>2021</v>
      </c>
      <c r="U5" s="205">
        <v>2022</v>
      </c>
      <c r="V5" s="203"/>
      <c r="Z5" s="182" t="s">
        <v>145</v>
      </c>
      <c r="AA5" s="325"/>
      <c r="AB5" s="325"/>
      <c r="AC5" s="326"/>
      <c r="AD5" s="181"/>
      <c r="AE5" s="181"/>
    </row>
    <row r="6" spans="1:35">
      <c r="A6" s="185"/>
      <c r="B6" s="186" t="s">
        <v>158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1"/>
      <c r="N6" s="231"/>
      <c r="O6" s="231"/>
      <c r="P6" s="231"/>
      <c r="Q6" s="231"/>
      <c r="R6" s="231"/>
      <c r="S6" s="231"/>
      <c r="T6" s="231"/>
      <c r="U6" s="231"/>
      <c r="V6" s="222"/>
      <c r="Z6" s="209" t="s">
        <v>146</v>
      </c>
      <c r="AA6" s="325"/>
      <c r="AB6" s="327">
        <v>5</v>
      </c>
      <c r="AC6" s="326"/>
      <c r="AD6" s="181"/>
      <c r="AE6" s="181"/>
    </row>
    <row r="7" spans="1:35">
      <c r="B7" s="210"/>
      <c r="C7" s="210"/>
      <c r="D7" s="210"/>
      <c r="E7" s="210"/>
      <c r="F7" s="232"/>
      <c r="G7" s="233"/>
      <c r="H7" s="232"/>
      <c r="I7" s="232"/>
      <c r="J7" s="232"/>
      <c r="K7" s="232"/>
      <c r="L7" s="232"/>
      <c r="M7" s="234">
        <v>256</v>
      </c>
      <c r="N7" s="234">
        <v>258.5</v>
      </c>
      <c r="O7" s="234">
        <f>+'FE Financeability'!AB7</f>
        <v>3.0700000000000002E-2</v>
      </c>
      <c r="P7" s="234">
        <f>+'FE Financeability'!AB7</f>
        <v>3.0700000000000002E-2</v>
      </c>
      <c r="Q7" s="234">
        <f t="shared" ref="Q7:U7" si="0">+P7</f>
        <v>3.0700000000000002E-2</v>
      </c>
      <c r="R7" s="234">
        <f t="shared" si="0"/>
        <v>3.0700000000000002E-2</v>
      </c>
      <c r="S7" s="234">
        <f t="shared" si="0"/>
        <v>3.0700000000000002E-2</v>
      </c>
      <c r="T7" s="234">
        <f t="shared" si="0"/>
        <v>3.0700000000000002E-2</v>
      </c>
      <c r="U7" s="234">
        <f t="shared" si="0"/>
        <v>3.0700000000000002E-2</v>
      </c>
      <c r="V7" s="222"/>
      <c r="Z7" s="209" t="s">
        <v>147</v>
      </c>
      <c r="AA7" s="325"/>
      <c r="AB7" s="328">
        <v>3.0700000000000002E-2</v>
      </c>
      <c r="AC7" s="326"/>
      <c r="AD7" s="181"/>
      <c r="AE7" s="181"/>
    </row>
    <row r="8" spans="1:35">
      <c r="B8" s="210" t="s">
        <v>159</v>
      </c>
      <c r="C8" s="210"/>
      <c r="D8" s="210"/>
      <c r="E8" s="210"/>
      <c r="F8" s="232"/>
      <c r="G8" s="232"/>
      <c r="H8" s="232"/>
      <c r="I8" s="232"/>
      <c r="J8" s="232"/>
      <c r="K8" s="232"/>
      <c r="L8" s="232"/>
      <c r="M8" s="235">
        <v>1</v>
      </c>
      <c r="N8" s="235">
        <f>+N7/M7</f>
        <v>1.009765625</v>
      </c>
      <c r="O8" s="235">
        <f t="shared" ref="O8" si="1">N8*(1+O7)</f>
        <v>1.0407654296875</v>
      </c>
      <c r="P8" s="235">
        <f t="shared" ref="P8:U8" si="2">O8*(1+P7)</f>
        <v>1.0727169283789062</v>
      </c>
      <c r="Q8" s="235">
        <f t="shared" si="2"/>
        <v>1.1056493380801387</v>
      </c>
      <c r="R8" s="235">
        <f t="shared" si="2"/>
        <v>1.1395927727591988</v>
      </c>
      <c r="S8" s="235">
        <f t="shared" si="2"/>
        <v>1.1745782708829062</v>
      </c>
      <c r="T8" s="235">
        <f t="shared" si="2"/>
        <v>1.2106378237990114</v>
      </c>
      <c r="U8" s="235">
        <f t="shared" si="2"/>
        <v>1.2478044049896411</v>
      </c>
      <c r="V8" s="222"/>
      <c r="Z8" s="209" t="s">
        <v>148</v>
      </c>
      <c r="AA8" s="325"/>
      <c r="AB8" s="329">
        <v>0.2</v>
      </c>
      <c r="AC8" s="326"/>
      <c r="AD8" s="181"/>
      <c r="AE8" s="181"/>
    </row>
    <row r="9" spans="1:35">
      <c r="B9" s="210"/>
      <c r="C9" s="210"/>
      <c r="D9" s="210"/>
      <c r="E9" s="210"/>
      <c r="F9" s="232"/>
      <c r="G9" s="232"/>
      <c r="H9" s="232"/>
      <c r="I9" s="232"/>
      <c r="J9" s="232"/>
      <c r="K9" s="232"/>
      <c r="L9" s="232"/>
      <c r="M9" s="234"/>
      <c r="N9" s="235"/>
      <c r="O9" s="235"/>
      <c r="P9" s="235"/>
      <c r="Q9" s="235"/>
      <c r="R9" s="235"/>
      <c r="S9" s="235"/>
      <c r="T9" s="235"/>
      <c r="U9" s="235"/>
      <c r="V9" s="222"/>
      <c r="Z9" s="209" t="s">
        <v>149</v>
      </c>
      <c r="AA9" s="325"/>
      <c r="AB9" s="327">
        <v>2017</v>
      </c>
      <c r="AC9" s="326"/>
      <c r="AD9" s="181"/>
      <c r="AE9" s="181"/>
    </row>
    <row r="10" spans="1:35">
      <c r="B10" s="210" t="s">
        <v>160</v>
      </c>
      <c r="C10" s="210"/>
      <c r="D10" s="210"/>
      <c r="E10" s="210"/>
      <c r="F10" s="232"/>
      <c r="G10" s="232"/>
      <c r="H10" s="232"/>
      <c r="I10" s="232"/>
      <c r="J10" s="232"/>
      <c r="K10" s="232"/>
      <c r="L10" s="232"/>
      <c r="M10" s="234"/>
      <c r="N10" s="234"/>
      <c r="O10" s="234"/>
      <c r="P10" s="236">
        <f>+'GD17 Pi''s Calc - 40 yrs'!D33*P8</f>
        <v>19218.000651477891</v>
      </c>
      <c r="Q10" s="236">
        <f>+'GD17 Pi''s Calc - 40 yrs'!E33*Q8</f>
        <v>19802.479520388002</v>
      </c>
      <c r="R10" s="236">
        <f>+'GD17 Pi''s Calc - 40 yrs'!F33*R8</f>
        <v>21419.874028216105</v>
      </c>
      <c r="S10" s="236">
        <f>+'GD17 Pi''s Calc - 40 yrs'!G33*S8</f>
        <v>23176.622922959927</v>
      </c>
      <c r="T10" s="236">
        <f>+'GD17 Pi''s Calc - 40 yrs'!H33*T8</f>
        <v>25076.619028270245</v>
      </c>
      <c r="U10" s="236">
        <f>+'GD17 Pi''s Calc - 40 yrs'!I33*U8</f>
        <v>27118.446400558361</v>
      </c>
      <c r="V10" s="222"/>
      <c r="Z10" s="209" t="s">
        <v>150</v>
      </c>
      <c r="AA10" s="325"/>
      <c r="AB10" s="329">
        <v>1</v>
      </c>
      <c r="AC10" s="326"/>
      <c r="AE10" s="181"/>
    </row>
    <row r="11" spans="1:35">
      <c r="B11" s="210" t="s">
        <v>208</v>
      </c>
      <c r="C11" s="210" t="s">
        <v>111</v>
      </c>
      <c r="D11" s="210"/>
      <c r="E11" s="210"/>
      <c r="F11" s="232"/>
      <c r="G11" s="232"/>
      <c r="H11" s="232"/>
      <c r="I11" s="232"/>
      <c r="J11" s="232"/>
      <c r="K11" s="232"/>
      <c r="L11" s="232"/>
      <c r="M11" s="234"/>
      <c r="N11" s="234"/>
      <c r="O11" s="234"/>
      <c r="P11" s="236">
        <f>IF(C11=B4,5000,0)</f>
        <v>0</v>
      </c>
      <c r="Q11" s="236">
        <f>IF(C11=B4,5000,0)</f>
        <v>0</v>
      </c>
      <c r="R11" s="236">
        <f>IF(C11=B4,5000,0)</f>
        <v>0</v>
      </c>
      <c r="S11" s="236"/>
      <c r="T11" s="236"/>
      <c r="U11" s="236"/>
      <c r="V11" s="222"/>
      <c r="Z11" s="211" t="s">
        <v>151</v>
      </c>
      <c r="AA11" s="331"/>
      <c r="AB11" s="332">
        <v>1.4</v>
      </c>
      <c r="AC11" s="326"/>
      <c r="AD11" s="181"/>
      <c r="AE11" s="181"/>
    </row>
    <row r="12" spans="1:35">
      <c r="B12" s="210" t="s">
        <v>4</v>
      </c>
      <c r="C12" s="210"/>
      <c r="D12" s="210"/>
      <c r="E12" s="210"/>
      <c r="F12" s="232"/>
      <c r="G12" s="232"/>
      <c r="H12" s="232"/>
      <c r="I12" s="232"/>
      <c r="J12" s="232"/>
      <c r="K12" s="232"/>
      <c r="L12" s="232"/>
      <c r="M12" s="234"/>
      <c r="N12" s="234"/>
      <c r="O12" s="234"/>
      <c r="P12" s="236">
        <f>+'GD17 Pi''s Calc - 40 yrs'!D35*P8</f>
        <v>-6945.3661744646788</v>
      </c>
      <c r="Q12" s="236">
        <f>+'GD17 Pi''s Calc - 40 yrs'!E35*Q8</f>
        <v>-7111.7749374405548</v>
      </c>
      <c r="R12" s="236">
        <f>+'GD17 Pi''s Calc - 40 yrs'!F35*R8</f>
        <v>-7502.604560099041</v>
      </c>
      <c r="S12" s="236">
        <f>+'GD17 Pi''s Calc - 40 yrs'!G35*S8</f>
        <v>-7979.0445367358625</v>
      </c>
      <c r="T12" s="236">
        <f>+'GD17 Pi''s Calc - 40 yrs'!H35*T8</f>
        <v>-8553.7051796168635</v>
      </c>
      <c r="U12" s="236">
        <f>+'GD17 Pi''s Calc - 40 yrs'!I35*U8</f>
        <v>-9159.4517118495514</v>
      </c>
      <c r="V12" s="222"/>
      <c r="Z12" s="209"/>
      <c r="AA12" s="325"/>
      <c r="AB12" s="325"/>
      <c r="AC12" s="326"/>
      <c r="AD12" s="181"/>
      <c r="AE12" s="181"/>
      <c r="AI12" s="203"/>
    </row>
    <row r="13" spans="1:35" ht="17.25">
      <c r="B13" s="210" t="s">
        <v>161</v>
      </c>
      <c r="C13" s="210"/>
      <c r="D13" s="210"/>
      <c r="E13" s="210"/>
      <c r="F13" s="232"/>
      <c r="G13" s="232"/>
      <c r="H13" s="232"/>
      <c r="I13" s="232"/>
      <c r="J13" s="232"/>
      <c r="K13" s="232"/>
      <c r="L13" s="232"/>
      <c r="M13" s="234"/>
      <c r="N13" s="234"/>
      <c r="O13" s="234"/>
      <c r="P13" s="236"/>
      <c r="Q13" s="236"/>
      <c r="R13" s="236"/>
      <c r="S13" s="236"/>
      <c r="T13" s="236"/>
      <c r="U13" s="236"/>
      <c r="V13" s="222"/>
      <c r="Z13" s="182" t="s">
        <v>152</v>
      </c>
      <c r="AA13" s="325"/>
      <c r="AB13" s="333" t="s">
        <v>143</v>
      </c>
      <c r="AC13" s="326"/>
      <c r="AD13" s="181"/>
      <c r="AE13" s="181"/>
      <c r="AI13" s="203"/>
    </row>
    <row r="14" spans="1:35">
      <c r="B14" s="210" t="s">
        <v>162</v>
      </c>
      <c r="C14" s="210"/>
      <c r="D14" s="210"/>
      <c r="E14" s="210"/>
      <c r="F14" s="232"/>
      <c r="G14" s="232"/>
      <c r="H14" s="232"/>
      <c r="I14" s="232"/>
      <c r="J14" s="232"/>
      <c r="K14" s="232"/>
      <c r="L14" s="232"/>
      <c r="M14" s="234"/>
      <c r="N14" s="234"/>
      <c r="O14" s="234"/>
      <c r="P14" s="236">
        <f>-DAV!P29*P8/1000</f>
        <v>-4696.4833525496742</v>
      </c>
      <c r="Q14" s="236">
        <f>-DAV!Q29*Q8/1000</f>
        <v>-5303.251747118923</v>
      </c>
      <c r="R14" s="236">
        <f>-DAV!R29*R8/1000</f>
        <v>-5935.6276787587594</v>
      </c>
      <c r="S14" s="236">
        <f>-DAV!S29*S8/1000</f>
        <v>-6636.6135838575001</v>
      </c>
      <c r="T14" s="236">
        <f>-DAV!T29*T8/1000</f>
        <v>-7347.1607516407375</v>
      </c>
      <c r="U14" s="236">
        <f>-DAV!U29*U8/1000</f>
        <v>-7930.8744652514333</v>
      </c>
      <c r="V14" s="222"/>
      <c r="Z14" s="209" t="s">
        <v>153</v>
      </c>
      <c r="AA14" s="325"/>
      <c r="AB14" s="334">
        <v>0.55000000000000004</v>
      </c>
      <c r="AC14" s="330"/>
      <c r="AD14" s="181"/>
      <c r="AE14" s="181"/>
      <c r="AI14" s="203"/>
    </row>
    <row r="15" spans="1:35">
      <c r="B15" s="210" t="s">
        <v>163</v>
      </c>
      <c r="C15" s="210"/>
      <c r="D15" s="210"/>
      <c r="E15" s="210"/>
      <c r="F15" s="232"/>
      <c r="G15" s="232"/>
      <c r="H15" s="232"/>
      <c r="I15" s="232"/>
      <c r="J15" s="232"/>
      <c r="K15" s="232"/>
      <c r="L15" s="232"/>
      <c r="M15" s="234"/>
      <c r="N15" s="234"/>
      <c r="O15" s="234"/>
      <c r="P15" s="236">
        <f>(+'GD17 Pi''s Calc - 40 yrs'!D79-'GD17 Pi''s Calc - 40 yrs'!C79)*P8</f>
        <v>-782.82538303009471</v>
      </c>
      <c r="Q15" s="236">
        <f>(+'GD17 Pi''s Calc - 40 yrs'!E79-'GD17 Pi''s Calc - 40 yrs'!D79)*Q8</f>
        <v>115.57851445544451</v>
      </c>
      <c r="R15" s="236">
        <f>(+'GD17 Pi''s Calc - 40 yrs'!F79-'GD17 Pi''s Calc - 40 yrs'!E79)*R8</f>
        <v>207.34976317357265</v>
      </c>
      <c r="S15" s="236">
        <f>(+'GD17 Pi''s Calc - 40 yrs'!G79-'GD17 Pi''s Calc - 40 yrs'!F79)*S8</f>
        <v>344.316753045719</v>
      </c>
      <c r="T15" s="236">
        <f>(+'GD17 Pi''s Calc - 40 yrs'!H79-'GD17 Pi''s Calc - 40 yrs'!G79)*T8</f>
        <v>481.6865132066921</v>
      </c>
      <c r="U15" s="236">
        <f>(+'GD17 Pi''s Calc - 40 yrs'!I79-'GD17 Pi''s Calc - 40 yrs'!H79)*U8</f>
        <v>416.82053435437626</v>
      </c>
      <c r="V15" s="222"/>
      <c r="Z15" s="209" t="s">
        <v>154</v>
      </c>
      <c r="AA15" s="325"/>
      <c r="AB15" s="335">
        <v>5.6000000000000001E-2</v>
      </c>
      <c r="AC15" s="330"/>
      <c r="AD15" s="181"/>
      <c r="AE15" s="181"/>
      <c r="AI15" s="203"/>
    </row>
    <row r="16" spans="1:35">
      <c r="B16" s="210" t="s">
        <v>164</v>
      </c>
      <c r="C16" s="210"/>
      <c r="D16" s="210"/>
      <c r="E16" s="210"/>
      <c r="F16" s="232"/>
      <c r="G16" s="232"/>
      <c r="H16" s="232"/>
      <c r="I16" s="232"/>
      <c r="J16" s="232"/>
      <c r="K16" s="232"/>
      <c r="L16" s="232"/>
      <c r="M16" s="234"/>
      <c r="N16" s="234"/>
      <c r="O16" s="234"/>
      <c r="P16" s="236">
        <f t="shared" ref="P16:U16" si="3">-P47</f>
        <v>0</v>
      </c>
      <c r="Q16" s="236">
        <f t="shared" si="3"/>
        <v>0</v>
      </c>
      <c r="R16" s="236">
        <f t="shared" si="3"/>
        <v>-368.75079727529112</v>
      </c>
      <c r="S16" s="236">
        <f t="shared" si="3"/>
        <v>-392.29325562361322</v>
      </c>
      <c r="T16" s="236">
        <f t="shared" si="3"/>
        <v>-378.62128796292166</v>
      </c>
      <c r="U16" s="236">
        <f t="shared" si="3"/>
        <v>-389.92060825924722</v>
      </c>
      <c r="V16" s="222"/>
      <c r="Z16" s="211" t="s">
        <v>155</v>
      </c>
      <c r="AA16" s="331"/>
      <c r="AB16" s="336">
        <v>2018</v>
      </c>
      <c r="AC16" s="330" t="s">
        <v>156</v>
      </c>
      <c r="AD16" s="181"/>
      <c r="AE16" s="181"/>
      <c r="AI16" s="203"/>
    </row>
    <row r="17" spans="2:35" ht="15.75" thickBot="1">
      <c r="B17" s="237" t="s">
        <v>165</v>
      </c>
      <c r="C17" s="237"/>
      <c r="D17" s="237"/>
      <c r="E17" s="237"/>
      <c r="F17" s="238"/>
      <c r="G17" s="238"/>
      <c r="H17" s="238"/>
      <c r="I17" s="238"/>
      <c r="J17" s="238"/>
      <c r="K17" s="238"/>
      <c r="L17" s="238"/>
      <c r="M17" s="239"/>
      <c r="N17" s="239"/>
      <c r="O17" s="239"/>
      <c r="P17" s="240">
        <f t="shared" ref="P17:U17" si="4">SUM(P10:P16)</f>
        <v>6793.3257414334439</v>
      </c>
      <c r="Q17" s="240">
        <f t="shared" si="4"/>
        <v>7503.0313502839699</v>
      </c>
      <c r="R17" s="240">
        <f t="shared" si="4"/>
        <v>7820.2407552565874</v>
      </c>
      <c r="S17" s="240">
        <f t="shared" si="4"/>
        <v>8512.9882997886707</v>
      </c>
      <c r="T17" s="240">
        <f t="shared" si="4"/>
        <v>9278.818322256413</v>
      </c>
      <c r="U17" s="240">
        <f t="shared" si="4"/>
        <v>10055.020149552505</v>
      </c>
      <c r="V17" s="222"/>
      <c r="AD17" s="181"/>
      <c r="AE17" s="181"/>
      <c r="AI17" s="203"/>
    </row>
    <row r="18" spans="2:35">
      <c r="B18" s="210"/>
      <c r="C18" s="210"/>
      <c r="D18" s="210"/>
      <c r="E18" s="210"/>
      <c r="F18" s="232"/>
      <c r="G18" s="232"/>
      <c r="H18" s="232"/>
      <c r="I18" s="232"/>
      <c r="J18" s="232"/>
      <c r="K18" s="232"/>
      <c r="L18" s="232"/>
      <c r="M18" s="234"/>
      <c r="N18" s="234"/>
      <c r="O18" s="234"/>
      <c r="P18" s="234"/>
      <c r="Q18" s="234"/>
      <c r="R18" s="234"/>
      <c r="S18" s="234"/>
      <c r="T18" s="234"/>
      <c r="U18" s="234"/>
      <c r="V18" s="222"/>
      <c r="AD18" s="181"/>
      <c r="AE18" s="181"/>
      <c r="AI18" s="203"/>
    </row>
    <row r="19" spans="2:35" ht="15.75" thickBot="1">
      <c r="B19" s="241" t="s">
        <v>166</v>
      </c>
      <c r="C19" s="241"/>
      <c r="D19" s="241"/>
      <c r="E19" s="241"/>
      <c r="F19" s="242"/>
      <c r="G19" s="242"/>
      <c r="H19" s="242"/>
      <c r="I19" s="242"/>
      <c r="J19" s="242"/>
      <c r="K19" s="242"/>
      <c r="L19" s="242"/>
      <c r="M19" s="243"/>
      <c r="N19" s="243"/>
      <c r="O19" s="243"/>
      <c r="P19" s="243">
        <f t="shared" ref="P19:U19" si="5">P17/P49</f>
        <v>1.3810893394211567</v>
      </c>
      <c r="Q19" s="243">
        <f t="shared" si="5"/>
        <v>1.3775474325945805</v>
      </c>
      <c r="R19" s="243">
        <f t="shared" si="5"/>
        <v>1.3216696752838046</v>
      </c>
      <c r="S19" s="243">
        <f t="shared" si="5"/>
        <v>1.3306919828471682</v>
      </c>
      <c r="T19" s="243">
        <f t="shared" si="5"/>
        <v>1.3482534408526476</v>
      </c>
      <c r="U19" s="243">
        <f t="shared" si="5"/>
        <v>1.3649370105510608</v>
      </c>
      <c r="V19" s="222"/>
      <c r="Z19" s="181"/>
      <c r="AA19" s="326"/>
      <c r="AB19" s="326"/>
      <c r="AC19" s="326"/>
      <c r="AD19" s="181"/>
      <c r="AE19" s="181"/>
      <c r="AI19" s="203"/>
    </row>
    <row r="20" spans="2:35">
      <c r="B20" s="210"/>
      <c r="C20" s="210"/>
      <c r="D20" s="210"/>
      <c r="E20" s="210"/>
      <c r="F20" s="232"/>
      <c r="G20" s="232"/>
      <c r="H20" s="232"/>
      <c r="I20" s="232"/>
      <c r="J20" s="232"/>
      <c r="K20" s="232"/>
      <c r="L20" s="232"/>
      <c r="M20" s="234"/>
      <c r="N20" s="234"/>
      <c r="O20" s="234"/>
      <c r="P20" s="234"/>
      <c r="Q20" s="234"/>
      <c r="R20" s="234"/>
      <c r="S20" s="234"/>
      <c r="T20" s="234"/>
      <c r="U20" s="234"/>
      <c r="V20" s="222"/>
      <c r="Z20" s="212"/>
      <c r="AA20" s="337"/>
      <c r="AB20" s="337"/>
      <c r="AC20" s="337"/>
      <c r="AD20" s="181"/>
      <c r="AE20" s="181"/>
      <c r="AI20" s="203"/>
    </row>
    <row r="21" spans="2:35">
      <c r="B21" s="210" t="s">
        <v>167</v>
      </c>
      <c r="C21" s="210"/>
      <c r="D21" s="210"/>
      <c r="E21" s="210"/>
      <c r="F21" s="232"/>
      <c r="G21" s="232"/>
      <c r="H21" s="232"/>
      <c r="I21" s="232"/>
      <c r="J21" s="232"/>
      <c r="K21" s="232"/>
      <c r="L21" s="232"/>
      <c r="M21" s="234"/>
      <c r="N21" s="234"/>
      <c r="O21" s="234"/>
      <c r="P21" s="236">
        <f>P17/'FE Financeability'!$AB$11</f>
        <v>4852.3755295953169</v>
      </c>
      <c r="Q21" s="236">
        <f>Q17/'FE Financeability'!$AB$11</f>
        <v>5359.3081073456933</v>
      </c>
      <c r="R21" s="236">
        <f>R17/'FE Financeability'!$AB$11</f>
        <v>5585.8862537547056</v>
      </c>
      <c r="S21" s="236">
        <f>S17/'FE Financeability'!$AB$11</f>
        <v>6080.7059284204797</v>
      </c>
      <c r="T21" s="236">
        <f>T17/'FE Financeability'!$AB$11</f>
        <v>6627.7273730402958</v>
      </c>
      <c r="U21" s="236">
        <f>U17/'FE Financeability'!$AB$11</f>
        <v>7182.157249680361</v>
      </c>
      <c r="V21" s="222"/>
      <c r="Z21" s="318"/>
      <c r="AA21" s="337"/>
      <c r="AB21" s="220"/>
      <c r="AC21" s="220"/>
      <c r="AD21" s="212"/>
      <c r="AE21" s="181"/>
      <c r="AI21" s="203"/>
    </row>
    <row r="22" spans="2:35">
      <c r="B22" s="322" t="s">
        <v>168</v>
      </c>
      <c r="C22" s="322"/>
      <c r="D22" s="322"/>
      <c r="E22" s="322"/>
      <c r="F22" s="322"/>
      <c r="G22" s="322"/>
      <c r="H22" s="322"/>
      <c r="I22" s="322"/>
      <c r="J22" s="322"/>
      <c r="K22" s="322"/>
      <c r="L22" s="322"/>
      <c r="M22" s="323"/>
      <c r="N22" s="323"/>
      <c r="O22" s="323"/>
      <c r="P22" s="324">
        <f t="shared" ref="P22:U22" si="6">2*P21/IntFE-P41</f>
        <v>88456.257368380655</v>
      </c>
      <c r="Q22" s="324">
        <f t="shared" si="6"/>
        <v>95655.87641475354</v>
      </c>
      <c r="R22" s="324">
        <f t="shared" si="6"/>
        <v>95273.721388638849</v>
      </c>
      <c r="S22" s="324">
        <f t="shared" si="6"/>
        <v>104154.04310325875</v>
      </c>
      <c r="T22" s="324">
        <f t="shared" si="6"/>
        <v>114842.06788363396</v>
      </c>
      <c r="U22" s="324">
        <f t="shared" si="6"/>
        <v>125696.62117499804</v>
      </c>
      <c r="V22" s="222"/>
      <c r="Z22" s="212"/>
      <c r="AA22" s="337"/>
      <c r="AB22" s="337"/>
      <c r="AC22" s="337"/>
      <c r="AD22" s="212"/>
      <c r="AE22" s="181"/>
      <c r="AI22" s="203"/>
    </row>
    <row r="23" spans="2:35">
      <c r="B23" s="210"/>
      <c r="C23" s="210"/>
      <c r="D23" s="210"/>
      <c r="E23" s="210"/>
      <c r="F23" s="232"/>
      <c r="G23" s="232"/>
      <c r="H23" s="232"/>
      <c r="I23" s="232"/>
      <c r="J23" s="232"/>
      <c r="K23" s="232"/>
      <c r="L23" s="232"/>
      <c r="M23" s="234"/>
      <c r="N23" s="234"/>
      <c r="O23" s="234"/>
      <c r="P23" s="244"/>
      <c r="Q23" s="244"/>
      <c r="R23" s="244"/>
      <c r="S23" s="244"/>
      <c r="T23" s="244"/>
      <c r="U23" s="244"/>
      <c r="V23" s="222"/>
      <c r="Z23" s="307"/>
      <c r="AA23" s="307"/>
      <c r="AB23" s="307"/>
      <c r="AC23" s="212"/>
      <c r="AD23" s="212"/>
      <c r="AE23" s="181"/>
      <c r="AI23" s="203"/>
    </row>
    <row r="24" spans="2:35" ht="17.25">
      <c r="B24" s="187" t="s">
        <v>157</v>
      </c>
      <c r="C24" s="210"/>
      <c r="D24" s="210"/>
      <c r="E24" s="210"/>
      <c r="F24" s="232"/>
      <c r="G24" s="232"/>
      <c r="H24" s="232"/>
      <c r="I24" s="232"/>
      <c r="J24" s="232"/>
      <c r="K24" s="232"/>
      <c r="L24" s="232"/>
      <c r="M24" s="234"/>
      <c r="N24" s="234"/>
      <c r="O24" s="234"/>
      <c r="P24" s="244"/>
      <c r="Q24" s="244"/>
      <c r="R24" s="244"/>
      <c r="S24" s="244"/>
      <c r="T24" s="244"/>
      <c r="U24" s="244"/>
      <c r="V24" s="222"/>
      <c r="Z24" s="308"/>
      <c r="AA24" s="307"/>
      <c r="AB24" s="309"/>
      <c r="AC24" s="213"/>
      <c r="AD24" s="213"/>
      <c r="AE24" s="181"/>
      <c r="AI24" s="203"/>
    </row>
    <row r="25" spans="2:35" ht="17.25">
      <c r="B25" s="210" t="s">
        <v>160</v>
      </c>
      <c r="C25" s="210"/>
      <c r="D25" s="210"/>
      <c r="E25" s="210"/>
      <c r="F25" s="232"/>
      <c r="G25" s="232"/>
      <c r="H25" s="232"/>
      <c r="I25" s="232"/>
      <c r="J25" s="232"/>
      <c r="K25" s="232"/>
      <c r="L25" s="232"/>
      <c r="M25" s="234"/>
      <c r="N25" s="234"/>
      <c r="O25" s="234"/>
      <c r="P25" s="236">
        <f>P10+P11</f>
        <v>19218.000651477891</v>
      </c>
      <c r="Q25" s="236">
        <f t="shared" ref="Q25:U25" si="7">Q10+Q11</f>
        <v>19802.479520388002</v>
      </c>
      <c r="R25" s="236">
        <f t="shared" si="7"/>
        <v>21419.874028216105</v>
      </c>
      <c r="S25" s="236">
        <f t="shared" si="7"/>
        <v>23176.622922959927</v>
      </c>
      <c r="T25" s="236">
        <f t="shared" si="7"/>
        <v>25076.619028270245</v>
      </c>
      <c r="U25" s="236">
        <f t="shared" si="7"/>
        <v>27118.446400558361</v>
      </c>
      <c r="V25" s="222"/>
      <c r="Z25" s="307"/>
      <c r="AA25" s="310"/>
      <c r="AB25" s="310"/>
      <c r="AC25" s="214"/>
      <c r="AD25" s="214"/>
      <c r="AE25" s="181"/>
      <c r="AI25" s="203"/>
    </row>
    <row r="26" spans="2:35">
      <c r="B26" s="273" t="s">
        <v>219</v>
      </c>
      <c r="C26" s="210" t="s">
        <v>111</v>
      </c>
      <c r="P26" s="203">
        <f>IF(C26=B4,5000,0)</f>
        <v>0</v>
      </c>
      <c r="Q26" s="203">
        <f>IF(C26=B4,5000,0)</f>
        <v>0</v>
      </c>
      <c r="R26" s="203">
        <f>IF(C26=B4,5000,0)</f>
        <v>0</v>
      </c>
      <c r="V26" s="222"/>
      <c r="Z26" s="307"/>
      <c r="AA26" s="306"/>
      <c r="AB26" s="311"/>
      <c r="AC26" s="223"/>
      <c r="AD26" s="215"/>
      <c r="AE26" s="181"/>
      <c r="AI26" s="203"/>
    </row>
    <row r="27" spans="2:35">
      <c r="B27" s="210" t="s">
        <v>4</v>
      </c>
      <c r="C27" s="210"/>
      <c r="D27" s="210"/>
      <c r="E27" s="210"/>
      <c r="F27" s="232"/>
      <c r="G27" s="232"/>
      <c r="H27" s="232"/>
      <c r="I27" s="232"/>
      <c r="J27" s="232"/>
      <c r="K27" s="232"/>
      <c r="L27" s="232"/>
      <c r="M27" s="234"/>
      <c r="N27" s="234"/>
      <c r="O27" s="234"/>
      <c r="P27" s="236">
        <f t="shared" ref="P27:U27" si="8">+P12</f>
        <v>-6945.3661744646788</v>
      </c>
      <c r="Q27" s="236">
        <f t="shared" si="8"/>
        <v>-7111.7749374405548</v>
      </c>
      <c r="R27" s="236">
        <f t="shared" si="8"/>
        <v>-7502.604560099041</v>
      </c>
      <c r="S27" s="236">
        <f t="shared" si="8"/>
        <v>-7979.0445367358625</v>
      </c>
      <c r="T27" s="236">
        <f t="shared" si="8"/>
        <v>-8553.7051796168635</v>
      </c>
      <c r="U27" s="236">
        <f t="shared" si="8"/>
        <v>-9159.4517118495514</v>
      </c>
      <c r="V27" s="222"/>
      <c r="Z27" s="307"/>
      <c r="AA27" s="306"/>
      <c r="AB27" s="311"/>
      <c r="AC27" s="223"/>
      <c r="AD27" s="215"/>
      <c r="AE27" s="181"/>
    </row>
    <row r="28" spans="2:35">
      <c r="B28" s="210" t="s">
        <v>169</v>
      </c>
      <c r="C28" s="210"/>
      <c r="D28" s="210"/>
      <c r="E28" s="210"/>
      <c r="F28" s="232"/>
      <c r="G28" s="232"/>
      <c r="H28" s="232"/>
      <c r="I28" s="232"/>
      <c r="J28" s="232"/>
      <c r="K28" s="232"/>
      <c r="L28" s="232"/>
      <c r="M28" s="234"/>
      <c r="N28" s="234"/>
      <c r="O28" s="234"/>
      <c r="P28" s="236">
        <f t="shared" ref="P28:U28" si="9">-P49</f>
        <v>-4918.8170146043321</v>
      </c>
      <c r="Q28" s="236">
        <f t="shared" si="9"/>
        <v>-5446.659165958572</v>
      </c>
      <c r="R28" s="236">
        <f t="shared" si="9"/>
        <v>-5916.9404439708678</v>
      </c>
      <c r="S28" s="236">
        <f t="shared" si="9"/>
        <v>-6397.4145854355829</v>
      </c>
      <c r="T28" s="236">
        <f t="shared" si="9"/>
        <v>-6882.1024601935414</v>
      </c>
      <c r="U28" s="236">
        <f t="shared" si="9"/>
        <v>-7366.6550703999374</v>
      </c>
      <c r="V28" s="222"/>
      <c r="Z28" s="307"/>
      <c r="AA28" s="312"/>
      <c r="AB28" s="313"/>
      <c r="AC28" s="224"/>
      <c r="AD28" s="216"/>
      <c r="AE28" s="181"/>
    </row>
    <row r="29" spans="2:35">
      <c r="B29" s="210" t="s">
        <v>170</v>
      </c>
      <c r="C29" s="210"/>
      <c r="D29" s="210"/>
      <c r="E29" s="210"/>
      <c r="F29" s="232"/>
      <c r="G29" s="232"/>
      <c r="H29" s="232"/>
      <c r="I29" s="232"/>
      <c r="J29" s="232"/>
      <c r="K29" s="232"/>
      <c r="L29" s="232"/>
      <c r="M29" s="234"/>
      <c r="N29" s="234"/>
      <c r="O29" s="234"/>
      <c r="P29" s="236">
        <f>P14*'FE Financeability'!$AB$10</f>
        <v>-4696.4833525496742</v>
      </c>
      <c r="Q29" s="236">
        <f>Q14*'FE Financeability'!$AB$10</f>
        <v>-5303.251747118923</v>
      </c>
      <c r="R29" s="236">
        <f>R14*'FE Financeability'!$AB$10</f>
        <v>-5935.6276787587594</v>
      </c>
      <c r="S29" s="236">
        <f>S14*'FE Financeability'!$AB$10</f>
        <v>-6636.6135838575001</v>
      </c>
      <c r="T29" s="236">
        <f>T14*'FE Financeability'!$AB$10</f>
        <v>-7347.1607516407375</v>
      </c>
      <c r="U29" s="236">
        <f>U14*'FE Financeability'!$AB$10</f>
        <v>-7930.8744652514333</v>
      </c>
      <c r="V29" s="222"/>
      <c r="Z29" s="307"/>
      <c r="AA29" s="314"/>
      <c r="AB29" s="315"/>
      <c r="AC29" s="225"/>
      <c r="AD29" s="217"/>
      <c r="AE29" s="181"/>
    </row>
    <row r="30" spans="2:35">
      <c r="B30" s="210" t="s">
        <v>171</v>
      </c>
      <c r="C30" s="210"/>
      <c r="D30" s="210"/>
      <c r="E30" s="210"/>
      <c r="F30" s="232"/>
      <c r="G30" s="232"/>
      <c r="H30" s="232"/>
      <c r="I30" s="232"/>
      <c r="J30" s="232"/>
      <c r="K30" s="232"/>
      <c r="L30" s="232"/>
      <c r="M30" s="234"/>
      <c r="N30" s="234"/>
      <c r="O30" s="234"/>
      <c r="P30" s="236">
        <f t="shared" ref="P30:U30" si="10">IF(P5&lt;TaxYearFE,-SUM(P25:P29),0)</f>
        <v>-2657.3341098592064</v>
      </c>
      <c r="Q30" s="236">
        <f t="shared" si="10"/>
        <v>0</v>
      </c>
      <c r="R30" s="236">
        <f t="shared" si="10"/>
        <v>0</v>
      </c>
      <c r="S30" s="236">
        <f t="shared" si="10"/>
        <v>0</v>
      </c>
      <c r="T30" s="236">
        <f t="shared" si="10"/>
        <v>0</v>
      </c>
      <c r="U30" s="236">
        <f t="shared" si="10"/>
        <v>0</v>
      </c>
      <c r="V30" s="222"/>
      <c r="Z30" s="307"/>
      <c r="AA30" s="312"/>
      <c r="AB30" s="313"/>
      <c r="AC30" s="224"/>
      <c r="AD30" s="216"/>
      <c r="AE30" s="181"/>
    </row>
    <row r="31" spans="2:35">
      <c r="B31" s="245" t="s">
        <v>172</v>
      </c>
      <c r="C31" s="245"/>
      <c r="D31" s="245"/>
      <c r="E31" s="245"/>
      <c r="F31" s="246"/>
      <c r="G31" s="246"/>
      <c r="H31" s="246"/>
      <c r="I31" s="246"/>
      <c r="J31" s="246"/>
      <c r="K31" s="246"/>
      <c r="L31" s="246"/>
      <c r="M31" s="247"/>
      <c r="N31" s="247"/>
      <c r="O31" s="247"/>
      <c r="P31" s="248">
        <f t="shared" ref="P31:U31" si="11">SUM(P25:P30)</f>
        <v>0</v>
      </c>
      <c r="Q31" s="248">
        <f t="shared" si="11"/>
        <v>1940.7936698699532</v>
      </c>
      <c r="R31" s="248">
        <f t="shared" si="11"/>
        <v>2064.7013453874379</v>
      </c>
      <c r="S31" s="248">
        <f t="shared" si="11"/>
        <v>2163.5502169309812</v>
      </c>
      <c r="T31" s="248">
        <f t="shared" si="11"/>
        <v>2293.6506368191012</v>
      </c>
      <c r="U31" s="248">
        <f t="shared" si="11"/>
        <v>2661.4651530574365</v>
      </c>
      <c r="V31" s="222"/>
      <c r="Z31" s="307"/>
      <c r="AA31" s="312"/>
      <c r="AB31" s="312"/>
      <c r="AC31" s="226"/>
      <c r="AD31" s="218"/>
      <c r="AE31" s="181"/>
    </row>
    <row r="32" spans="2:35" ht="15.75" thickBot="1">
      <c r="B32" s="237" t="s">
        <v>173</v>
      </c>
      <c r="C32" s="237"/>
      <c r="D32" s="237"/>
      <c r="E32" s="237"/>
      <c r="F32" s="238"/>
      <c r="G32" s="238"/>
      <c r="H32" s="238"/>
      <c r="I32" s="238"/>
      <c r="J32" s="238"/>
      <c r="K32" s="238"/>
      <c r="L32" s="238"/>
      <c r="M32" s="239"/>
      <c r="N32" s="239"/>
      <c r="O32" s="239"/>
      <c r="P32" s="249">
        <f t="shared" ref="P32:U32" si="12">P31*P67</f>
        <v>0</v>
      </c>
      <c r="Q32" s="249">
        <f t="shared" si="12"/>
        <v>368.75079727529112</v>
      </c>
      <c r="R32" s="249">
        <f t="shared" si="12"/>
        <v>392.29325562361322</v>
      </c>
      <c r="S32" s="249">
        <f t="shared" si="12"/>
        <v>378.62128796292166</v>
      </c>
      <c r="T32" s="249">
        <f t="shared" si="12"/>
        <v>389.92060825924722</v>
      </c>
      <c r="U32" s="249">
        <f t="shared" si="12"/>
        <v>452.44907601976422</v>
      </c>
      <c r="V32" s="222"/>
      <c r="Z32" s="307"/>
      <c r="AA32" s="307"/>
      <c r="AB32" s="316"/>
      <c r="AC32" s="229"/>
      <c r="AD32" s="219"/>
      <c r="AE32" s="181"/>
    </row>
    <row r="33" spans="2:31">
      <c r="B33" s="210"/>
      <c r="C33" s="210"/>
      <c r="D33" s="210"/>
      <c r="E33" s="210"/>
      <c r="F33" s="232"/>
      <c r="G33" s="232"/>
      <c r="H33" s="232"/>
      <c r="I33" s="232"/>
      <c r="J33" s="232"/>
      <c r="K33" s="232"/>
      <c r="L33" s="232"/>
      <c r="M33" s="234"/>
      <c r="N33" s="234"/>
      <c r="O33" s="234"/>
      <c r="P33" s="234"/>
      <c r="Q33" s="234"/>
      <c r="R33" s="234"/>
      <c r="S33" s="234"/>
      <c r="T33" s="234"/>
      <c r="U33" s="234"/>
      <c r="V33" s="222"/>
      <c r="Z33" s="307"/>
      <c r="AA33" s="306"/>
      <c r="AB33" s="306"/>
      <c r="AC33" s="227"/>
      <c r="AD33" s="220"/>
      <c r="AE33" s="181"/>
    </row>
    <row r="34" spans="2:31">
      <c r="B34" s="187" t="s">
        <v>174</v>
      </c>
      <c r="C34" s="210"/>
      <c r="D34" s="210"/>
      <c r="E34" s="210"/>
      <c r="F34" s="232"/>
      <c r="G34" s="232"/>
      <c r="H34" s="232"/>
      <c r="I34" s="232"/>
      <c r="J34" s="232"/>
      <c r="K34" s="232"/>
      <c r="L34" s="232"/>
      <c r="M34" s="234"/>
      <c r="N34" s="234"/>
      <c r="O34" s="234"/>
      <c r="P34" s="234"/>
      <c r="Q34" s="234"/>
      <c r="R34" s="234"/>
      <c r="S34" s="234"/>
      <c r="T34" s="234"/>
      <c r="U34" s="234"/>
      <c r="V34" s="222"/>
      <c r="Z34" s="307"/>
      <c r="AA34" s="314"/>
      <c r="AB34" s="314"/>
      <c r="AC34" s="228"/>
      <c r="AD34" s="221"/>
      <c r="AE34" s="181"/>
    </row>
    <row r="35" spans="2:31">
      <c r="B35" s="210" t="s">
        <v>175</v>
      </c>
      <c r="C35" s="210"/>
      <c r="D35" s="210"/>
      <c r="E35" s="210"/>
      <c r="F35" s="232"/>
      <c r="G35" s="232"/>
      <c r="H35" s="232"/>
      <c r="I35" s="232"/>
      <c r="J35" s="232"/>
      <c r="K35" s="232"/>
      <c r="L35" s="232"/>
      <c r="M35" s="234"/>
      <c r="N35" s="234"/>
      <c r="O35" s="234"/>
      <c r="P35" s="250">
        <v>5.28E-2</v>
      </c>
      <c r="Q35" s="250"/>
      <c r="R35" s="250"/>
      <c r="S35" s="250"/>
      <c r="T35" s="250"/>
      <c r="U35" s="250"/>
      <c r="V35" s="222"/>
      <c r="Z35" s="307"/>
      <c r="AA35" s="306"/>
      <c r="AB35" s="306"/>
      <c r="AC35" s="227"/>
      <c r="AD35" s="220"/>
      <c r="AE35" s="181"/>
    </row>
    <row r="36" spans="2:31">
      <c r="B36" s="210" t="s">
        <v>176</v>
      </c>
      <c r="C36" s="210"/>
      <c r="D36" s="210"/>
      <c r="E36" s="210"/>
      <c r="F36" s="232"/>
      <c r="G36" s="232"/>
      <c r="H36" s="232"/>
      <c r="I36" s="232"/>
      <c r="J36" s="232"/>
      <c r="K36" s="232"/>
      <c r="L36" s="232"/>
      <c r="M36" s="234"/>
      <c r="N36" s="234"/>
      <c r="O36" s="234"/>
      <c r="P36" s="236">
        <f>(+P54-P41)*P35</f>
        <v>3665.2119273473013</v>
      </c>
      <c r="Q36" s="236">
        <f>+P36*(1+Q7)</f>
        <v>3777.7339335168631</v>
      </c>
      <c r="R36" s="236">
        <f>+Q36*(1+R7)</f>
        <v>3893.7103652758306</v>
      </c>
      <c r="S36" s="236">
        <f>+R36*(1+S7)</f>
        <v>4013.2472734897983</v>
      </c>
      <c r="T36" s="236">
        <f>+S36*(1+T7)</f>
        <v>4136.4539647859347</v>
      </c>
      <c r="U36" s="236">
        <f>+T36*(1+U7)</f>
        <v>4263.4431015048631</v>
      </c>
      <c r="V36" s="222"/>
      <c r="Z36" s="307"/>
      <c r="AA36" s="306"/>
      <c r="AB36" s="311"/>
      <c r="AC36" s="223"/>
      <c r="AD36" s="215"/>
      <c r="AE36" s="181"/>
    </row>
    <row r="37" spans="2:31">
      <c r="B37" s="210" t="s">
        <v>177</v>
      </c>
      <c r="C37" s="210"/>
      <c r="D37" s="210"/>
      <c r="E37" s="210"/>
      <c r="F37" s="232"/>
      <c r="G37" s="232"/>
      <c r="H37" s="232"/>
      <c r="I37" s="232"/>
      <c r="J37" s="232"/>
      <c r="K37" s="232"/>
      <c r="L37" s="232"/>
      <c r="M37" s="234"/>
      <c r="N37" s="234"/>
      <c r="O37" s="234"/>
      <c r="P37" s="236">
        <f>P36+(O37-O38)*(1+'FE Financeability'!$AB$7)*(1+$P$35)</f>
        <v>3665.2119273473013</v>
      </c>
      <c r="Q37" s="236">
        <f>Q36+(P37-P38)*(1+'FE Financeability'!$AB$7)*(1+$P$35)</f>
        <v>7754.9322187234166</v>
      </c>
      <c r="R37" s="236">
        <f>R36+(Q37-Q38)*(1+'FE Financeability'!$AB$7)*(1+$P$35)</f>
        <v>12308.749859191914</v>
      </c>
      <c r="S37" s="236">
        <f>S36+(R37-R38)*(1+'FE Financeability'!$AB$7)*(1+$P$35)</f>
        <v>17369.729737095993</v>
      </c>
      <c r="T37" s="236">
        <f>T36+(S37-S38)*(1+'FE Financeability'!$AB$7)*(1+$P$35)</f>
        <v>22984.711772044084</v>
      </c>
      <c r="U37" s="236">
        <f>U36+(T37-T38)*(1+'FE Financeability'!$AB$7)*(1+$P$35)</f>
        <v>29204.635604908639</v>
      </c>
      <c r="V37" s="222"/>
      <c r="Z37" s="307"/>
      <c r="AA37" s="306"/>
      <c r="AB37" s="316"/>
      <c r="AC37" s="229"/>
      <c r="AD37" s="219"/>
      <c r="AE37" s="181"/>
    </row>
    <row r="38" spans="2:31" ht="14.25" customHeight="1">
      <c r="B38" s="210" t="s">
        <v>178</v>
      </c>
      <c r="C38" s="210"/>
      <c r="D38" s="210"/>
      <c r="E38" s="210"/>
      <c r="F38" s="232"/>
      <c r="G38" s="232"/>
      <c r="H38" s="232"/>
      <c r="I38" s="232"/>
      <c r="J38" s="232"/>
      <c r="K38" s="232"/>
      <c r="L38" s="232"/>
      <c r="M38" s="234"/>
      <c r="N38" s="234"/>
      <c r="O38" s="234"/>
      <c r="P38" s="236">
        <f>IF(P5&lt;'FE Financeability'!$AB$9,0,MIN(MAX(0,P22-SUM(P41:P47)),P37))</f>
        <v>0</v>
      </c>
      <c r="Q38" s="236">
        <f>IF(Q5&lt;'FE Financeability'!$AB$9,0,MIN(MAX(0,Q22-SUM(Q41:Q47)),Q37))</f>
        <v>0</v>
      </c>
      <c r="R38" s="236">
        <f>IF(R5&lt;'FE Financeability'!$AB$9,0,MIN(MAX(0,R22-SUM(R41:R47)),R37))</f>
        <v>0</v>
      </c>
      <c r="S38" s="236">
        <f>IF(S5&lt;'FE Financeability'!$AB$9,0,MIN(MAX(0,S22-SUM(S41:S47)),S37))</f>
        <v>0</v>
      </c>
      <c r="T38" s="236">
        <f>IF(T5&lt;'FE Financeability'!$AB$9,0,MIN(MAX(0,T22-SUM(T41:T47)),T37))</f>
        <v>0</v>
      </c>
      <c r="U38" s="236">
        <f>IF(U5&lt;'FE Financeability'!$AB$9,0,MIN(MAX(0,U22-SUM(U41:U47)),U37))</f>
        <v>0</v>
      </c>
      <c r="V38" s="222"/>
      <c r="Z38" s="307"/>
      <c r="AA38" s="306"/>
      <c r="AB38" s="317"/>
      <c r="AC38" s="227"/>
      <c r="AD38" s="220"/>
      <c r="AE38" s="181"/>
    </row>
    <row r="39" spans="2:31">
      <c r="B39" s="210"/>
      <c r="C39" s="210"/>
      <c r="D39" s="210"/>
      <c r="E39" s="210"/>
      <c r="F39" s="232"/>
      <c r="G39" s="232"/>
      <c r="H39" s="232"/>
      <c r="I39" s="232"/>
      <c r="J39" s="232"/>
      <c r="K39" s="232"/>
      <c r="L39" s="232"/>
      <c r="M39" s="234"/>
      <c r="N39" s="234"/>
      <c r="O39" s="234"/>
      <c r="P39" s="236"/>
      <c r="Q39" s="236"/>
      <c r="R39" s="236"/>
      <c r="S39" s="236"/>
      <c r="T39" s="236"/>
      <c r="U39" s="236"/>
      <c r="V39" s="222"/>
      <c r="Z39" s="312"/>
      <c r="AA39" s="312"/>
      <c r="AB39" s="312"/>
      <c r="AC39" s="226"/>
      <c r="AD39" s="218"/>
      <c r="AE39" s="181"/>
    </row>
    <row r="40" spans="2:31">
      <c r="B40" s="187" t="s">
        <v>144</v>
      </c>
      <c r="C40" s="210"/>
      <c r="D40" s="210"/>
      <c r="E40" s="210"/>
      <c r="F40" s="232"/>
      <c r="G40" s="232"/>
      <c r="H40" s="232"/>
      <c r="I40" s="232"/>
      <c r="J40" s="232"/>
      <c r="K40" s="232"/>
      <c r="L40" s="232"/>
      <c r="M40" s="234"/>
      <c r="N40" s="234"/>
      <c r="O40" s="234"/>
      <c r="P40" s="236"/>
      <c r="Q40" s="236"/>
      <c r="R40" s="236"/>
      <c r="S40" s="236"/>
      <c r="T40" s="236"/>
      <c r="U40" s="236"/>
      <c r="V40" s="222"/>
      <c r="Z40" s="210"/>
      <c r="AA40" s="210"/>
      <c r="AB40" s="210"/>
      <c r="AC40" s="210"/>
    </row>
    <row r="41" spans="2:31">
      <c r="B41" s="210" t="s">
        <v>179</v>
      </c>
      <c r="C41" s="210"/>
      <c r="D41" s="210"/>
      <c r="E41" s="210"/>
      <c r="F41" s="232"/>
      <c r="G41" s="232"/>
      <c r="H41" s="232"/>
      <c r="I41" s="232"/>
      <c r="J41" s="232"/>
      <c r="K41" s="232"/>
      <c r="L41" s="232"/>
      <c r="M41" s="222"/>
      <c r="N41" s="222"/>
      <c r="O41" s="222"/>
      <c r="P41" s="251">
        <f>+'GD17 Pi''s Calc - 40 yrs'!C81*DebtFE*'FE Financeability'!P8</f>
        <v>84842.868688594943</v>
      </c>
      <c r="Q41" s="251">
        <f>+P50</f>
        <v>95747.984561878358</v>
      </c>
      <c r="R41" s="251">
        <f>+Q50</f>
        <v>104222.21624545778</v>
      </c>
      <c r="S41" s="251">
        <f>+R50</f>
        <v>113014.02576890124</v>
      </c>
      <c r="T41" s="251">
        <f>+S50</f>
        <v>121862.48115351946</v>
      </c>
      <c r="U41" s="251">
        <f>+T50</f>
        <v>130808.99488501485</v>
      </c>
      <c r="V41" s="222"/>
      <c r="Z41" s="210"/>
      <c r="AA41" s="210"/>
      <c r="AB41" s="210"/>
      <c r="AC41" s="210"/>
    </row>
    <row r="42" spans="2:31">
      <c r="B42" s="210" t="s">
        <v>160</v>
      </c>
      <c r="C42" s="210"/>
      <c r="D42" s="210"/>
      <c r="E42" s="210"/>
      <c r="F42" s="232"/>
      <c r="G42" s="232"/>
      <c r="H42" s="232"/>
      <c r="I42" s="232"/>
      <c r="J42" s="232"/>
      <c r="K42" s="232"/>
      <c r="L42" s="232"/>
      <c r="M42" s="222"/>
      <c r="N42" s="222"/>
      <c r="O42" s="222"/>
      <c r="P42" s="251">
        <f>-P10</f>
        <v>-19218.000651477891</v>
      </c>
      <c r="Q42" s="251">
        <f t="shared" ref="Q42:U42" si="13">-Q10</f>
        <v>-19802.479520388002</v>
      </c>
      <c r="R42" s="251">
        <f t="shared" si="13"/>
        <v>-21419.874028216105</v>
      </c>
      <c r="S42" s="251">
        <f t="shared" si="13"/>
        <v>-23176.622922959927</v>
      </c>
      <c r="T42" s="251">
        <f t="shared" si="13"/>
        <v>-25076.619028270245</v>
      </c>
      <c r="U42" s="251">
        <f t="shared" si="13"/>
        <v>-27118.446400558361</v>
      </c>
      <c r="V42" s="222"/>
      <c r="Z42" s="210"/>
      <c r="AA42" s="210"/>
      <c r="AB42" s="210"/>
      <c r="AC42" s="210"/>
    </row>
    <row r="43" spans="2:31">
      <c r="B43" s="273" t="s">
        <v>219</v>
      </c>
      <c r="C43" s="210" t="s">
        <v>111</v>
      </c>
      <c r="P43" s="203">
        <f>IF(C43=B4,-5000,0)</f>
        <v>0</v>
      </c>
      <c r="Q43" s="203">
        <f>IF(C43=B4,-5000,0)</f>
        <v>0</v>
      </c>
      <c r="R43" s="203">
        <f>IF(C43=B4,-5000,0)</f>
        <v>0</v>
      </c>
      <c r="V43" s="222"/>
      <c r="Z43" s="210"/>
      <c r="AA43" s="210"/>
      <c r="AB43" s="210"/>
      <c r="AC43" s="210"/>
    </row>
    <row r="44" spans="2:31">
      <c r="B44" s="210" t="s">
        <v>4</v>
      </c>
      <c r="C44" s="210"/>
      <c r="D44" s="210"/>
      <c r="E44" s="210"/>
      <c r="F44" s="232"/>
      <c r="G44" s="232"/>
      <c r="H44" s="232"/>
      <c r="I44" s="232"/>
      <c r="J44" s="232"/>
      <c r="K44" s="232"/>
      <c r="L44" s="232"/>
      <c r="M44" s="222"/>
      <c r="N44" s="222"/>
      <c r="O44" s="222"/>
      <c r="P44" s="251">
        <f t="shared" ref="P44:U44" si="14">-P27</f>
        <v>6945.3661744646788</v>
      </c>
      <c r="Q44" s="251">
        <f t="shared" si="14"/>
        <v>7111.7749374405548</v>
      </c>
      <c r="R44" s="251">
        <f t="shared" si="14"/>
        <v>7502.604560099041</v>
      </c>
      <c r="S44" s="251">
        <f t="shared" si="14"/>
        <v>7979.0445367358625</v>
      </c>
      <c r="T44" s="251">
        <f t="shared" si="14"/>
        <v>8553.7051796168635</v>
      </c>
      <c r="U44" s="251">
        <f t="shared" si="14"/>
        <v>9159.4517118495514</v>
      </c>
      <c r="V44" s="222"/>
    </row>
    <row r="45" spans="2:31">
      <c r="B45" s="210" t="s">
        <v>161</v>
      </c>
      <c r="C45" s="210"/>
      <c r="D45" s="210"/>
      <c r="E45" s="210"/>
      <c r="F45" s="232"/>
      <c r="G45" s="232"/>
      <c r="H45" s="232"/>
      <c r="I45" s="232"/>
      <c r="J45" s="232"/>
      <c r="K45" s="232"/>
      <c r="L45" s="232"/>
      <c r="M45" s="222"/>
      <c r="N45" s="222"/>
      <c r="O45" s="222"/>
      <c r="P45" s="251">
        <f t="shared" ref="P45:U45" si="15">+P13</f>
        <v>0</v>
      </c>
      <c r="Q45" s="251">
        <f t="shared" si="15"/>
        <v>0</v>
      </c>
      <c r="R45" s="251">
        <f t="shared" si="15"/>
        <v>0</v>
      </c>
      <c r="S45" s="251">
        <f t="shared" si="15"/>
        <v>0</v>
      </c>
      <c r="T45" s="251">
        <f t="shared" si="15"/>
        <v>0</v>
      </c>
      <c r="U45" s="251">
        <f t="shared" si="15"/>
        <v>0</v>
      </c>
      <c r="V45" s="222"/>
    </row>
    <row r="46" spans="2:31">
      <c r="B46" s="210" t="s">
        <v>180</v>
      </c>
      <c r="C46" s="210"/>
      <c r="D46" s="210"/>
      <c r="E46" s="210"/>
      <c r="F46" s="232"/>
      <c r="G46" s="232"/>
      <c r="H46" s="232"/>
      <c r="I46" s="232"/>
      <c r="J46" s="232"/>
      <c r="K46" s="232"/>
      <c r="L46" s="232"/>
      <c r="M46" s="222"/>
      <c r="N46" s="222"/>
      <c r="O46" s="222"/>
      <c r="P46" s="251">
        <f>+DAV!P14*'FE Financeability'!P8/1000</f>
        <v>18258.933335692302</v>
      </c>
      <c r="Q46" s="251">
        <f>+DAV!Q14*'FE Financeability'!Q8/1000</f>
        <v>15718.277100568308</v>
      </c>
      <c r="R46" s="251">
        <f>+DAV!R14*'FE Financeability'!R8/1000</f>
        <v>16423.387750314345</v>
      </c>
      <c r="S46" s="251">
        <f>+DAV!S14*'FE Financeability'!S8/1000</f>
        <v>17256.325929783085</v>
      </c>
      <c r="T46" s="251">
        <f>+DAV!T14*'FE Financeability'!T8/1000</f>
        <v>18208.703831992319</v>
      </c>
      <c r="U46" s="251">
        <f>+DAV!U14*'FE Financeability'!U8/1000</f>
        <v>19045.908253274734</v>
      </c>
      <c r="V46" s="222"/>
    </row>
    <row r="47" spans="2:31">
      <c r="B47" s="210" t="s">
        <v>164</v>
      </c>
      <c r="C47" s="210"/>
      <c r="D47" s="210"/>
      <c r="E47" s="210"/>
      <c r="F47" s="232"/>
      <c r="G47" s="232"/>
      <c r="H47" s="232"/>
      <c r="I47" s="232"/>
      <c r="J47" s="232"/>
      <c r="K47" s="232"/>
      <c r="L47" s="232"/>
      <c r="M47" s="222"/>
      <c r="N47" s="222"/>
      <c r="O47" s="222"/>
      <c r="P47" s="251">
        <f t="shared" ref="P47:U47" si="16">O32</f>
        <v>0</v>
      </c>
      <c r="Q47" s="251">
        <f t="shared" si="16"/>
        <v>0</v>
      </c>
      <c r="R47" s="251">
        <f t="shared" si="16"/>
        <v>368.75079727529112</v>
      </c>
      <c r="S47" s="251">
        <f t="shared" si="16"/>
        <v>392.29325562361322</v>
      </c>
      <c r="T47" s="251">
        <f t="shared" si="16"/>
        <v>378.62128796292166</v>
      </c>
      <c r="U47" s="251">
        <f t="shared" si="16"/>
        <v>389.92060825924722</v>
      </c>
      <c r="V47" s="222"/>
    </row>
    <row r="48" spans="2:31">
      <c r="B48" s="210" t="s">
        <v>174</v>
      </c>
      <c r="C48" s="210"/>
      <c r="D48" s="210"/>
      <c r="E48" s="210"/>
      <c r="F48" s="232"/>
      <c r="G48" s="232"/>
      <c r="H48" s="232"/>
      <c r="I48" s="232"/>
      <c r="J48" s="232"/>
      <c r="K48" s="232"/>
      <c r="L48" s="232"/>
      <c r="M48" s="222"/>
      <c r="N48" s="222"/>
      <c r="O48" s="222"/>
      <c r="P48" s="251">
        <f t="shared" ref="P48:U48" si="17">P38</f>
        <v>0</v>
      </c>
      <c r="Q48" s="251">
        <f t="shared" si="17"/>
        <v>0</v>
      </c>
      <c r="R48" s="251">
        <f t="shared" si="17"/>
        <v>0</v>
      </c>
      <c r="S48" s="251">
        <f t="shared" si="17"/>
        <v>0</v>
      </c>
      <c r="T48" s="251">
        <f t="shared" si="17"/>
        <v>0</v>
      </c>
      <c r="U48" s="251">
        <f t="shared" si="17"/>
        <v>0</v>
      </c>
      <c r="V48" s="222"/>
    </row>
    <row r="49" spans="2:22">
      <c r="B49" s="232" t="s">
        <v>169</v>
      </c>
      <c r="C49" s="232"/>
      <c r="D49" s="232"/>
      <c r="E49" s="232"/>
      <c r="F49" s="232"/>
      <c r="G49" s="232"/>
      <c r="H49" s="232"/>
      <c r="I49" s="232"/>
      <c r="J49" s="232"/>
      <c r="K49" s="232"/>
      <c r="L49" s="232"/>
      <c r="M49" s="234"/>
      <c r="N49" s="234"/>
      <c r="O49" s="234"/>
      <c r="P49" s="236">
        <f t="shared" ref="P49:U49" si="18">(P41+SUM(P42:P48)/2)*IntFE</f>
        <v>4918.8170146043321</v>
      </c>
      <c r="Q49" s="236">
        <f t="shared" si="18"/>
        <v>5446.659165958572</v>
      </c>
      <c r="R49" s="236">
        <f t="shared" si="18"/>
        <v>5916.9404439708678</v>
      </c>
      <c r="S49" s="236">
        <f t="shared" si="18"/>
        <v>6397.4145854355829</v>
      </c>
      <c r="T49" s="236">
        <f t="shared" si="18"/>
        <v>6882.1024601935414</v>
      </c>
      <c r="U49" s="236">
        <f t="shared" si="18"/>
        <v>7366.6550703999374</v>
      </c>
      <c r="V49" s="222"/>
    </row>
    <row r="50" spans="2:22" ht="15.75" thickBot="1">
      <c r="B50" s="237" t="s">
        <v>181</v>
      </c>
      <c r="C50" s="237"/>
      <c r="D50" s="237"/>
      <c r="E50" s="237"/>
      <c r="F50" s="238"/>
      <c r="G50" s="238"/>
      <c r="H50" s="238"/>
      <c r="I50" s="238"/>
      <c r="J50" s="238"/>
      <c r="K50" s="238"/>
      <c r="L50" s="238"/>
      <c r="M50" s="252"/>
      <c r="N50" s="252"/>
      <c r="O50" s="252"/>
      <c r="P50" s="253">
        <f t="shared" ref="P50:U50" si="19">SUM(P41:P49)</f>
        <v>95747.984561878358</v>
      </c>
      <c r="Q50" s="253">
        <f t="shared" si="19"/>
        <v>104222.21624545778</v>
      </c>
      <c r="R50" s="253">
        <f t="shared" si="19"/>
        <v>113014.02576890124</v>
      </c>
      <c r="S50" s="253">
        <f t="shared" si="19"/>
        <v>121862.48115351946</v>
      </c>
      <c r="T50" s="253">
        <f t="shared" si="19"/>
        <v>130808.99488501485</v>
      </c>
      <c r="U50" s="253">
        <f t="shared" si="19"/>
        <v>139652.48412823994</v>
      </c>
      <c r="V50" s="222"/>
    </row>
    <row r="51" spans="2:22">
      <c r="B51" s="210"/>
      <c r="C51" s="210"/>
      <c r="D51" s="210"/>
      <c r="E51" s="210"/>
      <c r="F51" s="232"/>
      <c r="G51" s="232"/>
      <c r="H51" s="232"/>
      <c r="I51" s="232"/>
      <c r="J51" s="232"/>
      <c r="K51" s="232"/>
      <c r="L51" s="232"/>
      <c r="M51" s="222"/>
      <c r="N51" s="222"/>
      <c r="O51" s="222"/>
      <c r="P51" s="251"/>
      <c r="Q51" s="251"/>
      <c r="R51" s="251"/>
      <c r="S51" s="251"/>
      <c r="T51" s="251"/>
      <c r="U51" s="251"/>
      <c r="V51" s="222"/>
    </row>
    <row r="52" spans="2:22">
      <c r="B52" s="210" t="s">
        <v>182</v>
      </c>
      <c r="C52" s="210"/>
      <c r="D52" s="210"/>
      <c r="E52" s="210"/>
      <c r="F52" s="232"/>
      <c r="G52" s="232"/>
      <c r="H52" s="232"/>
      <c r="I52" s="232"/>
      <c r="J52" s="232"/>
      <c r="K52" s="232"/>
      <c r="L52" s="232"/>
      <c r="M52" s="222"/>
      <c r="N52" s="222"/>
      <c r="O52" s="222"/>
      <c r="P52" s="251">
        <f t="shared" ref="P52:U52" si="20">AVERAGE(P50,P41)</f>
        <v>90295.426625236651</v>
      </c>
      <c r="Q52" s="251">
        <f t="shared" si="20"/>
        <v>99985.100403668068</v>
      </c>
      <c r="R52" s="251">
        <f t="shared" si="20"/>
        <v>108618.12100717951</v>
      </c>
      <c r="S52" s="251">
        <f t="shared" si="20"/>
        <v>117438.25346121035</v>
      </c>
      <c r="T52" s="251">
        <f t="shared" si="20"/>
        <v>126335.73801926716</v>
      </c>
      <c r="U52" s="251">
        <f t="shared" si="20"/>
        <v>135230.7395066274</v>
      </c>
      <c r="V52" s="222"/>
    </row>
    <row r="53" spans="2:22">
      <c r="B53" s="210"/>
      <c r="C53" s="210"/>
      <c r="D53" s="210"/>
      <c r="E53" s="210"/>
      <c r="F53" s="232"/>
      <c r="G53" s="232"/>
      <c r="H53" s="232"/>
      <c r="I53" s="232"/>
      <c r="J53" s="232"/>
      <c r="K53" s="232"/>
      <c r="L53" s="232"/>
      <c r="M53" s="222"/>
      <c r="N53" s="222"/>
      <c r="O53" s="222"/>
      <c r="P53" s="251"/>
      <c r="Q53" s="251"/>
      <c r="R53" s="251"/>
      <c r="S53" s="251"/>
      <c r="T53" s="251"/>
      <c r="U53" s="251"/>
      <c r="V53" s="222"/>
    </row>
    <row r="54" spans="2:22">
      <c r="B54" s="210" t="s">
        <v>183</v>
      </c>
      <c r="C54" s="210"/>
      <c r="D54" s="210"/>
      <c r="E54" s="210"/>
      <c r="F54" s="232"/>
      <c r="G54" s="232"/>
      <c r="H54" s="232"/>
      <c r="I54" s="232"/>
      <c r="J54" s="232"/>
      <c r="K54" s="232"/>
      <c r="L54" s="232"/>
      <c r="M54" s="222"/>
      <c r="N54" s="222"/>
      <c r="O54" s="222"/>
      <c r="P54" s="251">
        <f>+'GD17 Pi''s Calc - 40 yrs'!C81*'FE Financeability'!P8</f>
        <v>154259.7612519908</v>
      </c>
      <c r="Q54" s="251">
        <f>+'GD17 Pi''s Calc - 40 yrs'!D81*'FE Financeability'!Q8</f>
        <v>172167.4949977629</v>
      </c>
      <c r="R54" s="251">
        <f>+'GD17 Pi''s Calc - 40 yrs'!E81*'FE Financeability'!R8</f>
        <v>188306.93050084368</v>
      </c>
      <c r="S54" s="251">
        <f>+'GD17 Pi''s Calc - 40 yrs'!F81*'FE Financeability'!S8</f>
        <v>205111.40297387494</v>
      </c>
      <c r="T54" s="251">
        <f>+'GD17 Pi''s Calc - 40 yrs'!G81*'FE Financeability'!T8</f>
        <v>222708.94783748261</v>
      </c>
      <c r="U54" s="251">
        <f>+'GD17 Pi''s Calc - 40 yrs'!H81*'FE Financeability'!U8</f>
        <v>241237.57927817383</v>
      </c>
      <c r="V54" s="222"/>
    </row>
    <row r="55" spans="2:22">
      <c r="B55" s="210" t="s">
        <v>184</v>
      </c>
      <c r="C55" s="210"/>
      <c r="D55" s="210"/>
      <c r="E55" s="210"/>
      <c r="F55" s="232"/>
      <c r="G55" s="232"/>
      <c r="H55" s="232"/>
      <c r="I55" s="232"/>
      <c r="J55" s="232"/>
      <c r="K55" s="232"/>
      <c r="L55" s="232"/>
      <c r="M55" s="222"/>
      <c r="N55" s="222"/>
      <c r="O55" s="222"/>
      <c r="P55" s="251">
        <f>+'GD17 Pi''s Calc - 40 yrs'!D81*'FE Financeability'!P8</f>
        <v>167039.38585210333</v>
      </c>
      <c r="Q55" s="251">
        <f>+'GD17 Pi''s Calc - 40 yrs'!E81*'FE Financeability'!Q8</f>
        <v>182698.09886566771</v>
      </c>
      <c r="R55" s="251">
        <f>+'GD17 Pi''s Calc - 40 yrs'!F81*'FE Financeability'!R8</f>
        <v>199002.04033557285</v>
      </c>
      <c r="S55" s="251">
        <f>+'GD17 Pi''s Calc - 40 yrs'!G81*'FE Financeability'!S8</f>
        <v>216075.43207284622</v>
      </c>
      <c r="T55" s="251">
        <f>+'GD17 Pi''s Calc - 40 yrs'!H81*'FE Financeability'!T8</f>
        <v>234052.17743104088</v>
      </c>
      <c r="U55" s="251">
        <f>+'GD17 Pi''s Calc - 40 yrs'!I81*'FE Financeability'!U8</f>
        <v>252769.43360055151</v>
      </c>
      <c r="V55" s="222"/>
    </row>
    <row r="56" spans="2:22">
      <c r="B56" s="210" t="s">
        <v>129</v>
      </c>
      <c r="C56" s="210"/>
      <c r="D56" s="210"/>
      <c r="E56" s="210"/>
      <c r="F56" s="232"/>
      <c r="G56" s="232"/>
      <c r="H56" s="232"/>
      <c r="I56" s="232"/>
      <c r="J56" s="232"/>
      <c r="K56" s="232"/>
      <c r="L56" s="232"/>
      <c r="M56" s="222"/>
      <c r="N56" s="222"/>
      <c r="O56" s="222"/>
      <c r="P56" s="251">
        <f>AVERAGE(P54:P55)</f>
        <v>160649.57355204708</v>
      </c>
      <c r="Q56" s="251">
        <f t="shared" ref="Q56:U56" si="21">AVERAGE(Q54:Q55)</f>
        <v>177432.7969317153</v>
      </c>
      <c r="R56" s="251">
        <f t="shared" si="21"/>
        <v>193654.48541820826</v>
      </c>
      <c r="S56" s="251">
        <f t="shared" si="21"/>
        <v>210593.41752336058</v>
      </c>
      <c r="T56" s="251">
        <f t="shared" si="21"/>
        <v>228380.56263426173</v>
      </c>
      <c r="U56" s="251">
        <f t="shared" si="21"/>
        <v>247003.50643936265</v>
      </c>
      <c r="V56" s="222"/>
    </row>
    <row r="57" spans="2:22">
      <c r="B57" s="210" t="s">
        <v>185</v>
      </c>
      <c r="C57" s="210"/>
      <c r="D57" s="210"/>
      <c r="E57" s="210"/>
      <c r="F57" s="232"/>
      <c r="G57" s="232"/>
      <c r="H57" s="232"/>
      <c r="I57" s="232"/>
      <c r="J57" s="232"/>
      <c r="K57" s="232"/>
      <c r="L57" s="232"/>
      <c r="M57" s="222"/>
      <c r="N57" s="222"/>
      <c r="O57" s="222"/>
      <c r="P57" s="256">
        <f t="shared" ref="P57:U57" si="22">P17/P56</f>
        <v>4.2286609240407037E-2</v>
      </c>
      <c r="Q57" s="256">
        <f t="shared" si="22"/>
        <v>4.2286609240407218E-2</v>
      </c>
      <c r="R57" s="256">
        <f t="shared" si="22"/>
        <v>4.0382440604813864E-2</v>
      </c>
      <c r="S57" s="256">
        <f t="shared" si="22"/>
        <v>4.0423810012221048E-2</v>
      </c>
      <c r="T57" s="256">
        <f t="shared" si="22"/>
        <v>4.0628756734941159E-2</v>
      </c>
      <c r="U57" s="256">
        <f t="shared" si="22"/>
        <v>4.0708005706068515E-2</v>
      </c>
      <c r="V57" s="222"/>
    </row>
    <row r="58" spans="2:22" ht="15.75" thickBot="1">
      <c r="B58" s="237" t="s">
        <v>186</v>
      </c>
      <c r="C58" s="237"/>
      <c r="D58" s="237"/>
      <c r="E58" s="237"/>
      <c r="F58" s="238"/>
      <c r="G58" s="238"/>
      <c r="H58" s="238"/>
      <c r="I58" s="238"/>
      <c r="J58" s="238"/>
      <c r="K58" s="238"/>
      <c r="L58" s="238"/>
      <c r="M58" s="252"/>
      <c r="N58" s="252"/>
      <c r="O58" s="252"/>
      <c r="P58" s="257">
        <f t="shared" ref="P58:U58" si="23">P52/P56</f>
        <v>0.56206452733584655</v>
      </c>
      <c r="Q58" s="257">
        <f t="shared" si="23"/>
        <v>0.56350969004984552</v>
      </c>
      <c r="R58" s="257">
        <f t="shared" si="23"/>
        <v>0.56088616162239813</v>
      </c>
      <c r="S58" s="257">
        <f t="shared" si="23"/>
        <v>0.55765396108918375</v>
      </c>
      <c r="T58" s="257">
        <f t="shared" si="23"/>
        <v>0.55318078107017599</v>
      </c>
      <c r="U58" s="257">
        <f t="shared" si="23"/>
        <v>0.54748510033733244</v>
      </c>
      <c r="V58" s="222"/>
    </row>
    <row r="59" spans="2:22">
      <c r="B59" s="210"/>
      <c r="C59" s="210"/>
      <c r="D59" s="210"/>
      <c r="E59" s="210"/>
      <c r="F59" s="232"/>
      <c r="G59" s="232"/>
      <c r="H59" s="232"/>
      <c r="I59" s="232"/>
      <c r="J59" s="232"/>
      <c r="K59" s="232"/>
      <c r="L59" s="232"/>
      <c r="M59" s="222"/>
      <c r="N59" s="222"/>
      <c r="O59" s="222"/>
      <c r="P59" s="222"/>
      <c r="Q59" s="222"/>
      <c r="R59" s="222"/>
      <c r="S59" s="222"/>
      <c r="T59" s="222"/>
      <c r="U59" s="222"/>
      <c r="V59" s="222"/>
    </row>
    <row r="60" spans="2:22" ht="15.75" thickBot="1">
      <c r="B60" s="206" t="s">
        <v>210</v>
      </c>
      <c r="C60" s="206"/>
      <c r="D60" s="206"/>
      <c r="E60" s="206"/>
      <c r="F60" s="207"/>
      <c r="G60" s="207"/>
      <c r="H60" s="207"/>
      <c r="I60" s="207"/>
      <c r="J60" s="207"/>
      <c r="K60" s="207"/>
      <c r="L60" s="207"/>
      <c r="M60" s="208"/>
      <c r="N60" s="208"/>
      <c r="O60" s="208"/>
      <c r="P60" s="208"/>
      <c r="Q60" s="208"/>
      <c r="R60" s="208"/>
      <c r="S60" s="208"/>
      <c r="T60" s="208"/>
      <c r="U60" s="252"/>
      <c r="V60" s="222"/>
    </row>
    <row r="61" spans="2:22">
      <c r="B61" s="210" t="s">
        <v>212</v>
      </c>
      <c r="C61" s="210"/>
      <c r="D61" s="210"/>
      <c r="E61" s="210"/>
      <c r="F61" s="232"/>
      <c r="G61" s="232"/>
      <c r="H61" s="232"/>
      <c r="I61" s="232"/>
      <c r="J61" s="232"/>
      <c r="K61" s="232"/>
      <c r="L61" s="232"/>
      <c r="M61" s="222"/>
      <c r="N61" s="222"/>
      <c r="O61" s="222"/>
      <c r="P61" s="254">
        <f>(P10+P26+P12+P16-P49)/P52</f>
        <v>8.1441748904186068E-2</v>
      </c>
      <c r="Q61" s="254">
        <f t="shared" ref="Q61:U61" si="24">(Q10+Q26+Q12+Q16-Q49)/Q52</f>
        <v>7.2451249113544128E-2</v>
      </c>
      <c r="R61" s="254">
        <f t="shared" si="24"/>
        <v>7.0260635666552079E-2</v>
      </c>
      <c r="S61" s="254">
        <f t="shared" si="24"/>
        <v>7.1593967871311823E-2</v>
      </c>
      <c r="T61" s="254">
        <f t="shared" si="24"/>
        <v>7.3314093428451452E-2</v>
      </c>
      <c r="U61" s="254">
        <f t="shared" si="24"/>
        <v>7.5444525758506423E-2</v>
      </c>
      <c r="V61" s="222"/>
    </row>
    <row r="62" spans="2:22">
      <c r="B62" s="210" t="s">
        <v>211</v>
      </c>
      <c r="C62" s="210"/>
      <c r="D62" s="210"/>
      <c r="E62" s="210"/>
      <c r="F62" s="232"/>
      <c r="G62" s="232"/>
      <c r="H62" s="232"/>
      <c r="I62" s="232"/>
      <c r="J62" s="232"/>
      <c r="K62" s="232"/>
      <c r="L62" s="232"/>
      <c r="M62" s="222"/>
      <c r="N62" s="222"/>
      <c r="O62" s="222"/>
      <c r="P62" s="255">
        <f>SUM((P10+P26+P12+P16-P49)+P49)/P49</f>
        <v>2.4950378191697009</v>
      </c>
      <c r="Q62" s="255">
        <f t="shared" ref="Q62:U62" si="25">SUM((Q10+Q26+Q12+Q16-Q49)+Q49)/Q49</f>
        <v>2.3299979301557743</v>
      </c>
      <c r="R62" s="255">
        <f t="shared" si="25"/>
        <v>2.2897845261645631</v>
      </c>
      <c r="S62" s="255">
        <f t="shared" si="25"/>
        <v>2.3142606959233669</v>
      </c>
      <c r="T62" s="255">
        <f t="shared" si="25"/>
        <v>2.3458372865080017</v>
      </c>
      <c r="U62" s="255">
        <f t="shared" si="25"/>
        <v>2.3849459371382964</v>
      </c>
      <c r="V62" s="222"/>
    </row>
    <row r="63" spans="2:22">
      <c r="B63" s="210" t="s">
        <v>213</v>
      </c>
      <c r="C63" s="210"/>
      <c r="D63" s="210"/>
      <c r="E63" s="210"/>
      <c r="F63" s="232"/>
      <c r="G63" s="232"/>
      <c r="H63" s="232"/>
      <c r="I63" s="232"/>
      <c r="J63" s="232"/>
      <c r="K63" s="232"/>
      <c r="L63" s="232"/>
      <c r="M63" s="222"/>
      <c r="N63" s="222"/>
      <c r="O63" s="222"/>
      <c r="P63" s="222">
        <f>SUM((P10+P26+P12+P16-P49)-P38)/P46</f>
        <v>0.40275175593273804</v>
      </c>
      <c r="Q63" s="222">
        <f t="shared" ref="Q63:U63" si="26">SUM((Q10+Q26+Q12+Q16-Q49)-Q38)/Q46</f>
        <v>0.4608676492111824</v>
      </c>
      <c r="R63" s="222">
        <f t="shared" si="26"/>
        <v>0.46467746745642269</v>
      </c>
      <c r="S63" s="222">
        <f t="shared" si="26"/>
        <v>0.48723410645910048</v>
      </c>
      <c r="T63" s="222">
        <f t="shared" si="26"/>
        <v>0.50866828226528904</v>
      </c>
      <c r="U63" s="222">
        <f t="shared" si="26"/>
        <v>0.53567511059995943</v>
      </c>
      <c r="V63" s="222"/>
    </row>
    <row r="64" spans="2:22">
      <c r="B64" s="210" t="s">
        <v>214</v>
      </c>
      <c r="C64" s="210"/>
      <c r="D64" s="210"/>
      <c r="E64" s="210"/>
      <c r="F64" s="232"/>
      <c r="G64" s="232"/>
      <c r="H64" s="232"/>
      <c r="I64" s="232"/>
      <c r="J64" s="232"/>
      <c r="K64" s="232"/>
      <c r="L64" s="232"/>
      <c r="M64" s="222"/>
      <c r="N64" s="222"/>
      <c r="O64" s="222"/>
      <c r="P64" s="222">
        <f>(P10+P26+P12-P46+P50-P41+P16+P13)/P49</f>
        <v>0.99999999999999889</v>
      </c>
      <c r="Q64" s="222">
        <f t="shared" ref="Q64:U64" si="27">(Q10+Q26+Q12-Q46+Q50-Q41+Q16+Q13)/Q49</f>
        <v>0.99999999999999667</v>
      </c>
      <c r="R64" s="222">
        <f t="shared" si="27"/>
        <v>1.000000000000004</v>
      </c>
      <c r="S64" s="222">
        <f t="shared" si="27"/>
        <v>1.0000000000000018</v>
      </c>
      <c r="T64" s="222">
        <f t="shared" si="27"/>
        <v>0.99999999999999833</v>
      </c>
      <c r="U64" s="222">
        <f t="shared" si="27"/>
        <v>0.99999999999999956</v>
      </c>
    </row>
    <row r="65" spans="1:22" ht="15.75" thickBot="1"/>
    <row r="66" spans="1:22" ht="15.75" thickBot="1">
      <c r="B66" s="259" t="s">
        <v>215</v>
      </c>
      <c r="C66" s="266"/>
      <c r="D66" s="260"/>
      <c r="E66" s="260"/>
      <c r="F66" s="261"/>
      <c r="G66" s="261"/>
      <c r="H66" s="261"/>
      <c r="I66" s="261"/>
      <c r="J66" s="261"/>
      <c r="K66" s="261"/>
      <c r="L66" s="261"/>
      <c r="M66" s="260"/>
      <c r="N66" s="260"/>
      <c r="O66" s="260"/>
      <c r="P66" s="263">
        <v>0.19</v>
      </c>
      <c r="Q66" s="263">
        <v>0.19</v>
      </c>
      <c r="R66" s="265">
        <v>0.19</v>
      </c>
      <c r="S66" s="265">
        <v>0.17</v>
      </c>
      <c r="T66" s="265">
        <v>0.17</v>
      </c>
      <c r="U66" s="262">
        <v>0.17</v>
      </c>
    </row>
    <row r="67" spans="1:22" s="184" customFormat="1" ht="15.75" thickBot="1">
      <c r="B67" s="270" t="s">
        <v>216</v>
      </c>
      <c r="C67" s="271"/>
      <c r="D67" s="258"/>
      <c r="E67" s="258"/>
      <c r="F67" s="258"/>
      <c r="G67" s="258"/>
      <c r="H67" s="258"/>
      <c r="I67" s="258"/>
      <c r="J67" s="258"/>
      <c r="K67" s="258"/>
      <c r="L67" s="258"/>
      <c r="M67" s="258"/>
      <c r="N67" s="258"/>
      <c r="O67" s="258"/>
      <c r="P67" s="264">
        <v>0.1925</v>
      </c>
      <c r="Q67" s="264">
        <v>0.19</v>
      </c>
      <c r="R67" s="264">
        <v>0.19</v>
      </c>
      <c r="S67" s="264">
        <v>0.17499999999999999</v>
      </c>
      <c r="T67" s="264">
        <v>0.17</v>
      </c>
      <c r="U67" s="272">
        <v>0.17</v>
      </c>
    </row>
    <row r="68" spans="1:22">
      <c r="A68" s="267"/>
      <c r="B68" s="267"/>
      <c r="C68" s="267"/>
      <c r="D68" s="267"/>
      <c r="E68" s="267"/>
      <c r="F68" s="268"/>
      <c r="G68" s="268"/>
      <c r="H68" s="268"/>
      <c r="I68" s="268"/>
      <c r="J68" s="268"/>
      <c r="K68" s="268"/>
      <c r="L68" s="268"/>
      <c r="M68" s="267"/>
      <c r="N68" s="267"/>
      <c r="O68" s="267"/>
      <c r="P68" s="269"/>
      <c r="Q68" s="269"/>
      <c r="R68" s="269"/>
      <c r="S68" s="269"/>
      <c r="T68" s="269"/>
      <c r="U68" s="269"/>
      <c r="V68" s="267"/>
    </row>
    <row r="69" spans="1:22">
      <c r="A69" s="267"/>
      <c r="V69" s="267"/>
    </row>
  </sheetData>
  <dataValidations count="1">
    <dataValidation type="list" allowBlank="1" showInputMessage="1" showErrorMessage="1" sqref="C11 C26 C43">
      <formula1>$B$4:$B$5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2:I12"/>
  <sheetViews>
    <sheetView workbookViewId="0">
      <selection activeCell="E47" sqref="E47"/>
    </sheetView>
  </sheetViews>
  <sheetFormatPr defaultRowHeight="12.75"/>
  <cols>
    <col min="1" max="1" width="9.140625" style="188" customWidth="1"/>
    <col min="2" max="2" width="14.42578125" style="188" customWidth="1"/>
    <col min="3" max="16384" width="9.140625" style="188"/>
  </cols>
  <sheetData>
    <row r="2" spans="1:9">
      <c r="A2" s="189" t="s">
        <v>187</v>
      </c>
    </row>
    <row r="3" spans="1:9">
      <c r="A3" s="189"/>
    </row>
    <row r="4" spans="1:9" s="189" customFormat="1">
      <c r="A4" s="189" t="s">
        <v>188</v>
      </c>
      <c r="C4" s="338">
        <v>2017</v>
      </c>
      <c r="D4" s="338">
        <f>C4+1</f>
        <v>2018</v>
      </c>
      <c r="E4" s="338">
        <f t="shared" ref="E4:H4" si="0">D4+1</f>
        <v>2019</v>
      </c>
      <c r="F4" s="338">
        <f t="shared" si="0"/>
        <v>2020</v>
      </c>
      <c r="G4" s="338">
        <f t="shared" si="0"/>
        <v>2021</v>
      </c>
      <c r="H4" s="338">
        <f t="shared" si="0"/>
        <v>2022</v>
      </c>
      <c r="I4" s="338"/>
    </row>
    <row r="5" spans="1:9">
      <c r="A5" s="178" t="s">
        <v>189</v>
      </c>
      <c r="B5" s="178"/>
      <c r="C5" s="179">
        <v>0</v>
      </c>
      <c r="D5" s="179">
        <f>+C9</f>
        <v>-5701.0407426575011</v>
      </c>
      <c r="E5" s="179">
        <f>+D9</f>
        <v>-8744.7479753137559</v>
      </c>
      <c r="F5" s="179">
        <f>+E9</f>
        <v>-11369.157340983442</v>
      </c>
      <c r="G5" s="179">
        <f>+F9</f>
        <v>-13650.91910375736</v>
      </c>
      <c r="H5" s="179">
        <f>+G9</f>
        <v>-15663.197243216749</v>
      </c>
      <c r="I5" s="339"/>
    </row>
    <row r="6" spans="1:9">
      <c r="A6" s="178" t="s">
        <v>190</v>
      </c>
      <c r="B6" s="178"/>
      <c r="C6" s="180">
        <f>'GD17 Pi''s Calc - 40 yrs'!D37</f>
        <v>-5580.5019015833022</v>
      </c>
      <c r="D6" s="180">
        <f>'GD17 Pi''s Calc - 40 yrs'!E37</f>
        <v>-2738.2755213130877</v>
      </c>
      <c r="E6" s="180">
        <f>'GD17 Pi''s Calc - 40 yrs'!F37</f>
        <v>-2199.1349384652822</v>
      </c>
      <c r="F6" s="180">
        <f>'GD17 Pi''s Calc - 40 yrs'!G37</f>
        <v>-1752.7546648819825</v>
      </c>
      <c r="G6" s="180">
        <f>'GD17 Pi''s Calc - 40 yrs'!H37</f>
        <v>-1392.4808478632258</v>
      </c>
      <c r="H6" s="180">
        <f>'GD17 Pi''s Calc - 40 yrs'!I37</f>
        <v>-871.06084913600534</v>
      </c>
      <c r="I6" s="339"/>
    </row>
    <row r="7" spans="1:9">
      <c r="A7" s="178" t="s">
        <v>191</v>
      </c>
      <c r="B7" s="178"/>
      <c r="C7" s="180">
        <f>+C6*'GD17 Pi''s Calc - 40 yrs'!D6*'GD17 Pi''s Calc - 40 yrs'!$B7</f>
        <v>-120.53884107419934</v>
      </c>
      <c r="D7" s="180">
        <f>+D6*'GD17 Pi''s Calc - 40 yrs'!E6*'GD17 Pi''s Calc - 40 yrs'!$B7</f>
        <v>-59.146751260362699</v>
      </c>
      <c r="E7" s="180">
        <f>+E6*'GD17 Pi''s Calc - 40 yrs'!F6*'GD17 Pi''s Calc - 40 yrs'!$B7</f>
        <v>-47.5013146708501</v>
      </c>
      <c r="F7" s="180">
        <f>+F6*'GD17 Pi''s Calc - 40 yrs'!G6*'GD17 Pi''s Calc - 40 yrs'!$B7</f>
        <v>-37.859500761450825</v>
      </c>
      <c r="G7" s="180">
        <f>+G6*'GD17 Pi''s Calc - 40 yrs'!H6*'GD17 Pi''s Calc - 40 yrs'!$B7</f>
        <v>-30.077586313845678</v>
      </c>
      <c r="H7" s="180">
        <f>+H6*'GD17 Pi''s Calc - 40 yrs'!I6*'GD17 Pi''s Calc - 40 yrs'!$B7</f>
        <v>-18.814914341337715</v>
      </c>
      <c r="I7" s="339"/>
    </row>
    <row r="8" spans="1:9">
      <c r="A8" s="178" t="s">
        <v>192</v>
      </c>
      <c r="B8" s="178"/>
      <c r="C8" s="180">
        <f>+C5*'GD17 Pi''s Calc - 40 yrs'!D6</f>
        <v>0</v>
      </c>
      <c r="D8" s="180">
        <f>+D5*'GD17 Pi''s Calc - 40 yrs'!E6</f>
        <v>-246.28496008280408</v>
      </c>
      <c r="E8" s="180">
        <f>+E5*'GD17 Pi''s Calc - 40 yrs'!F6</f>
        <v>-377.7731125335543</v>
      </c>
      <c r="F8" s="180">
        <f>+F5*'GD17 Pi''s Calc - 40 yrs'!G6</f>
        <v>-491.14759713048471</v>
      </c>
      <c r="G8" s="180">
        <f>+G5*'GD17 Pi''s Calc - 40 yrs'!H6</f>
        <v>-589.71970528231793</v>
      </c>
      <c r="H8" s="180">
        <f>+H5*'GD17 Pi''s Calc - 40 yrs'!I6</f>
        <v>-676.65012090696359</v>
      </c>
      <c r="I8" s="339"/>
    </row>
    <row r="9" spans="1:9">
      <c r="A9" s="178" t="s">
        <v>193</v>
      </c>
      <c r="B9" s="178"/>
      <c r="C9" s="190">
        <f t="shared" ref="C9:H9" si="1">SUM(C5:C8)</f>
        <v>-5701.0407426575011</v>
      </c>
      <c r="D9" s="190">
        <f t="shared" si="1"/>
        <v>-8744.7479753137559</v>
      </c>
      <c r="E9" s="190">
        <f t="shared" si="1"/>
        <v>-11369.157340983442</v>
      </c>
      <c r="F9" s="190">
        <f t="shared" si="1"/>
        <v>-13650.91910375736</v>
      </c>
      <c r="G9" s="190">
        <f t="shared" si="1"/>
        <v>-15663.197243216749</v>
      </c>
      <c r="H9" s="190">
        <f t="shared" si="1"/>
        <v>-17229.723127601061</v>
      </c>
      <c r="I9" s="339"/>
    </row>
    <row r="10" spans="1:9">
      <c r="C10" s="339"/>
      <c r="D10" s="339"/>
      <c r="E10" s="339"/>
      <c r="F10" s="339"/>
      <c r="G10" s="339"/>
      <c r="H10" s="339"/>
      <c r="I10" s="339"/>
    </row>
    <row r="11" spans="1:9">
      <c r="C11" s="339"/>
      <c r="D11" s="339"/>
      <c r="E11" s="339"/>
      <c r="F11" s="339"/>
      <c r="G11" s="339"/>
      <c r="H11" s="339"/>
      <c r="I11" s="339"/>
    </row>
    <row r="12" spans="1:9">
      <c r="C12" s="339"/>
      <c r="D12" s="339"/>
      <c r="E12" s="339"/>
      <c r="F12" s="339"/>
      <c r="G12" s="339"/>
      <c r="H12" s="339"/>
      <c r="I12" s="3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Inputs</vt:lpstr>
      <vt:lpstr>DAV</vt:lpstr>
      <vt:lpstr>GD17 Pi's Calc - 30 yrs</vt:lpstr>
      <vt:lpstr>GD17 Pi's Calc - 40 yrs</vt:lpstr>
      <vt:lpstr>FE Financeability</vt:lpstr>
      <vt:lpstr>Building Block Method</vt:lpstr>
      <vt:lpstr>DebtFE</vt:lpstr>
      <vt:lpstr>IntFE</vt:lpstr>
      <vt:lpstr>'GD17 Pi''s Calc - 30 yrs'!Print_Area</vt:lpstr>
      <vt:lpstr>Inputs!Print_Area</vt:lpstr>
      <vt:lpstr>Inputs!Print_Titles</vt:lpstr>
      <vt:lpstr>'GD17 Pi''s Calc - 30 yrs'!RPI_12</vt:lpstr>
      <vt:lpstr>TaxYearFE</vt:lpstr>
    </vt:vector>
  </TitlesOfParts>
  <Company>DFP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Jonny Millar</dc:creator>
  <cp:lastModifiedBy>Paul Harland</cp:lastModifiedBy>
  <cp:lastPrinted>2016-03-14T15:47:07Z</cp:lastPrinted>
  <dcterms:created xsi:type="dcterms:W3CDTF">2015-10-30T11:13:08Z</dcterms:created>
  <dcterms:modified xsi:type="dcterms:W3CDTF">2017-03-23T12:17:34Z</dcterms:modified>
</cp:coreProperties>
</file>