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GD17" sheetId="1" r:id="rId1"/>
    <sheet name="Cost of new debt PNGL" sheetId="2" r:id="rId2"/>
    <sheet name="Cost of new debt FE" sheetId="3" r:id="rId3"/>
    <sheet name="Tax rate" sheetId="4" r:id="rId4"/>
  </sheets>
  <definedNames/>
  <calcPr fullCalcOnLoad="1"/>
</workbook>
</file>

<file path=xl/sharedStrings.xml><?xml version="1.0" encoding="utf-8"?>
<sst xmlns="http://schemas.openxmlformats.org/spreadsheetml/2006/main" count="95" uniqueCount="68">
  <si>
    <t>risk-free rate</t>
  </si>
  <si>
    <t>equity-risk premium</t>
  </si>
  <si>
    <t>gearing</t>
  </si>
  <si>
    <t>equity beta</t>
  </si>
  <si>
    <t>cost of debt</t>
  </si>
  <si>
    <t>debt beta</t>
  </si>
  <si>
    <t>vanilla WACC</t>
  </si>
  <si>
    <t>asset beta</t>
  </si>
  <si>
    <t>post-tax cost of equity</t>
  </si>
  <si>
    <t>PNGL</t>
  </si>
  <si>
    <t>FE</t>
  </si>
  <si>
    <t>tax</t>
  </si>
  <si>
    <t>pre-tax cost of equity</t>
  </si>
  <si>
    <t>Cost of debt</t>
  </si>
  <si>
    <t>WACC</t>
  </si>
  <si>
    <t>inflation</t>
  </si>
  <si>
    <t>real cost of debt</t>
  </si>
  <si>
    <t>nominal cost of debt</t>
  </si>
  <si>
    <t>weight for embedded debt</t>
  </si>
  <si>
    <t>weight for new debt</t>
  </si>
  <si>
    <t>current market rates</t>
  </si>
  <si>
    <t>forward rate adjustment</t>
  </si>
  <si>
    <t>illiquidity premium</t>
  </si>
  <si>
    <t>fees</t>
  </si>
  <si>
    <t>actual interest costs</t>
  </si>
  <si>
    <t>cost of embedded debt</t>
  </si>
  <si>
    <t>cost of new debt</t>
  </si>
  <si>
    <t>Total debt</t>
  </si>
  <si>
    <t>Weights</t>
  </si>
  <si>
    <t xml:space="preserve">Benchmark cost of new debt - nominal </t>
  </si>
  <si>
    <t>etc.</t>
  </si>
  <si>
    <t>Out-turn cost of new debt calculator - PNGL</t>
  </si>
  <si>
    <t>Weighted average cost of new debt - nominal</t>
  </si>
  <si>
    <t>Out-turn cost of new debt calculator - FE</t>
  </si>
  <si>
    <t>July 2017 bond</t>
  </si>
  <si>
    <t>September 2017 bond</t>
  </si>
  <si>
    <t>Debt raised after 1 January 2017 - dates / amounts</t>
  </si>
  <si>
    <t>Out-turn tax</t>
  </si>
  <si>
    <t>Tax rate</t>
  </si>
  <si>
    <t>GD17 FD</t>
  </si>
  <si>
    <t>&lt;--- entries into the pink cells come from Cost of new debt tabs</t>
  </si>
  <si>
    <t>&lt;--- entries into the purple cells come from Tax rate tab</t>
  </si>
  <si>
    <t>Sharing Factor</t>
  </si>
  <si>
    <t>GD17 FD - current market rate plus forward rate adj</t>
  </si>
  <si>
    <t>Outturn - Cost of new debt - nominal</t>
  </si>
  <si>
    <t>calculated pre-tax GD17 WACC</t>
  </si>
  <si>
    <t>cost of new debt benchmark, incl. 80:20 adjustment</t>
  </si>
  <si>
    <t>iBoxx Benchmark</t>
  </si>
  <si>
    <t>Fixed 1</t>
  </si>
  <si>
    <t>Variable 1</t>
  </si>
  <si>
    <t>Fixed 2</t>
  </si>
  <si>
    <t xml:space="preserve">Variable 2 </t>
  </si>
  <si>
    <t>average over year</t>
  </si>
  <si>
    <t>£</t>
  </si>
  <si>
    <t>Issue Date</t>
  </si>
  <si>
    <t>Tax year</t>
  </si>
  <si>
    <t>2016/17</t>
  </si>
  <si>
    <t>2017/18</t>
  </si>
  <si>
    <t>2018/19</t>
  </si>
  <si>
    <t>2019/20</t>
  </si>
  <si>
    <t>2020/21</t>
  </si>
  <si>
    <t>2021/22</t>
  </si>
  <si>
    <t>2022/23</t>
  </si>
  <si>
    <t>Gas year</t>
  </si>
  <si>
    <t>Out-turn*</t>
  </si>
  <si>
    <t>Average tax rate - Gas year</t>
  </si>
  <si>
    <t>Annex 15 - Rate of Return Adjustment Mechanism</t>
  </si>
  <si>
    <t>&lt;--- rounded to 2 decimal places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</si>
</sst>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.0000_-;\-* #,##0.0000_-;_-* &quot;-&quot;??_-;_-@_-"/>
    <numFmt numFmtId="175" formatCode="0.0000"/>
    <numFmt numFmtId="176" formatCode="0.000"/>
    <numFmt numFmtId="177" formatCode="0.0"/>
    <numFmt numFmtId="178" formatCode="_-* #,##0_-;\-* #,##0_-;_-* &quot;-&quot;??_-;_-@_-"/>
    <numFmt numFmtId="179" formatCode="_-* #,##0.000_-;\-* #,##0.000_-;_-* &quot;-&quot;???_-;_-@_-"/>
    <numFmt numFmtId="180" formatCode="0.00000"/>
    <numFmt numFmtId="181" formatCode="_-* #,##0.0_-;\-* #,##0.0_-;_-* &quot;-&quot;?_-;_-@_-"/>
    <numFmt numFmtId="182" formatCode="0.0%"/>
    <numFmt numFmtId="183" formatCode="0.0%_);\(0.0%\);\-\-"/>
    <numFmt numFmtId="184" formatCode="#,##0.0"/>
    <numFmt numFmtId="185" formatCode="#,##0.000"/>
    <numFmt numFmtId="186" formatCode="[$-809]dd\ mmmm\ yyyy"/>
    <numFmt numFmtId="187" formatCode="0.000%"/>
    <numFmt numFmtId="188" formatCode="_-* #,##0.00000_-;\-* #,##0.00000_-;_-* &quot;-&quot;??_-;_-@_-"/>
    <numFmt numFmtId="189" formatCode="mmm\-yyyy"/>
    <numFmt numFmtId="190" formatCode="yyyy"/>
    <numFmt numFmtId="191" formatCode="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2"/>
      <name val="Arial"/>
      <family val="2"/>
    </font>
    <font>
      <b/>
      <u val="single"/>
      <sz val="10"/>
      <color indexed="10"/>
      <name val="Arial"/>
      <family val="2"/>
    </font>
    <font>
      <sz val="2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0" fontId="1" fillId="0" borderId="0" xfId="0" applyFont="1" applyAlignment="1">
      <alignment/>
    </xf>
    <xf numFmtId="43" fontId="0" fillId="0" borderId="0" xfId="42" applyNumberFormat="1" applyFont="1" applyFill="1" applyAlignment="1">
      <alignment/>
    </xf>
    <xf numFmtId="0" fontId="4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0" xfId="42" applyNumberFormat="1" applyFont="1" applyAlignment="1">
      <alignment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49" fillId="0" borderId="0" xfId="0" applyFont="1" applyBorder="1" applyAlignment="1">
      <alignment horizontal="center" vertical="top"/>
    </xf>
    <xf numFmtId="3" fontId="47" fillId="0" borderId="0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9" fontId="47" fillId="0" borderId="0" xfId="59" applyFont="1" applyBorder="1" applyAlignment="1">
      <alignment horizontal="center" vertical="top"/>
    </xf>
    <xf numFmtId="0" fontId="47" fillId="0" borderId="0" xfId="0" applyFont="1" applyAlignment="1">
      <alignment horizontal="right" vertical="top"/>
    </xf>
    <xf numFmtId="0" fontId="49" fillId="0" borderId="11" xfId="0" applyFont="1" applyBorder="1" applyAlignment="1">
      <alignment horizontal="right" vertical="top"/>
    </xf>
    <xf numFmtId="183" fontId="47" fillId="0" borderId="0" xfId="0" applyNumberFormat="1" applyFont="1" applyBorder="1" applyAlignment="1">
      <alignment horizontal="right" vertical="top"/>
    </xf>
    <xf numFmtId="0" fontId="47" fillId="0" borderId="0" xfId="0" applyFont="1" applyBorder="1" applyAlignment="1">
      <alignment horizontal="right" vertical="top"/>
    </xf>
    <xf numFmtId="9" fontId="47" fillId="0" borderId="11" xfId="59" applyFont="1" applyBorder="1" applyAlignment="1">
      <alignment horizontal="right" vertical="top"/>
    </xf>
    <xf numFmtId="3" fontId="47" fillId="0" borderId="12" xfId="0" applyNumberFormat="1" applyFont="1" applyBorder="1" applyAlignment="1">
      <alignment horizontal="right" vertical="top"/>
    </xf>
    <xf numFmtId="9" fontId="47" fillId="0" borderId="10" xfId="59" applyFont="1" applyBorder="1" applyAlignment="1">
      <alignment horizontal="right" vertical="top"/>
    </xf>
    <xf numFmtId="9" fontId="47" fillId="0" borderId="0" xfId="59" applyFont="1" applyBorder="1" applyAlignment="1">
      <alignment horizontal="right" vertical="top"/>
    </xf>
    <xf numFmtId="43" fontId="0" fillId="11" borderId="0" xfId="42" applyFont="1" applyFill="1" applyAlignment="1">
      <alignment/>
    </xf>
    <xf numFmtId="43" fontId="0" fillId="11" borderId="0" xfId="0" applyNumberFormat="1" applyFill="1" applyAlignment="1">
      <alignment/>
    </xf>
    <xf numFmtId="185" fontId="47" fillId="0" borderId="0" xfId="0" applyNumberFormat="1" applyFont="1" applyAlignment="1">
      <alignment horizontal="right" vertical="top"/>
    </xf>
    <xf numFmtId="2" fontId="47" fillId="0" borderId="12" xfId="59" applyNumberFormat="1" applyFont="1" applyBorder="1" applyAlignment="1">
      <alignment horizontal="right" vertical="top"/>
    </xf>
    <xf numFmtId="2" fontId="47" fillId="0" borderId="0" xfId="0" applyNumberFormat="1" applyFont="1" applyAlignment="1">
      <alignment/>
    </xf>
    <xf numFmtId="43" fontId="0" fillId="7" borderId="0" xfId="42" applyNumberFormat="1" applyFont="1" applyFill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" fontId="47" fillId="3" borderId="0" xfId="0" applyNumberFormat="1" applyFont="1" applyFill="1" applyAlignment="1">
      <alignment/>
    </xf>
    <xf numFmtId="2" fontId="47" fillId="0" borderId="0" xfId="59" applyNumberFormat="1" applyFont="1" applyFill="1" applyBorder="1" applyAlignment="1">
      <alignment horizontal="right" vertical="top"/>
    </xf>
    <xf numFmtId="43" fontId="0" fillId="7" borderId="0" xfId="42" applyFont="1" applyFill="1" applyAlignment="1">
      <alignment/>
    </xf>
    <xf numFmtId="190" fontId="49" fillId="0" borderId="11" xfId="0" applyNumberFormat="1" applyFont="1" applyBorder="1" applyAlignment="1">
      <alignment horizontal="right" vertical="top"/>
    </xf>
    <xf numFmtId="0" fontId="47" fillId="0" borderId="0" xfId="0" applyFont="1" applyAlignment="1">
      <alignment vertical="top"/>
    </xf>
    <xf numFmtId="15" fontId="50" fillId="0" borderId="0" xfId="0" applyNumberFormat="1" applyFont="1" applyAlignment="1">
      <alignment horizontal="center" vertical="top"/>
    </xf>
    <xf numFmtId="1" fontId="47" fillId="0" borderId="0" xfId="0" applyNumberFormat="1" applyFont="1" applyFill="1" applyAlignment="1">
      <alignment horizontal="right" vertical="top"/>
    </xf>
    <xf numFmtId="0" fontId="47" fillId="0" borderId="0" xfId="0" applyFont="1" applyFill="1" applyAlignment="1">
      <alignment vertical="top"/>
    </xf>
    <xf numFmtId="3" fontId="47" fillId="0" borderId="0" xfId="0" applyNumberFormat="1" applyFont="1" applyFill="1" applyAlignment="1">
      <alignment horizontal="right" vertical="top"/>
    </xf>
    <xf numFmtId="3" fontId="47" fillId="0" borderId="11" xfId="0" applyNumberFormat="1" applyFont="1" applyFill="1" applyBorder="1" applyAlignment="1">
      <alignment horizontal="right" vertical="top"/>
    </xf>
    <xf numFmtId="191" fontId="47" fillId="0" borderId="0" xfId="0" applyNumberFormat="1" applyFont="1" applyAlignment="1">
      <alignment horizontal="right" vertical="top"/>
    </xf>
    <xf numFmtId="191" fontId="47" fillId="11" borderId="0" xfId="0" applyNumberFormat="1" applyFont="1" applyFill="1" applyBorder="1" applyAlignment="1">
      <alignment horizontal="right" vertical="top"/>
    </xf>
    <xf numFmtId="15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vertical="top"/>
    </xf>
    <xf numFmtId="0" fontId="7" fillId="0" borderId="0" xfId="0" applyFont="1" applyAlignment="1">
      <alignment/>
    </xf>
    <xf numFmtId="43" fontId="7" fillId="0" borderId="0" xfId="42" applyFont="1" applyFill="1" applyAlignment="1">
      <alignment/>
    </xf>
    <xf numFmtId="0" fontId="8" fillId="0" borderId="0" xfId="0" applyFont="1" applyAlignment="1">
      <alignment/>
    </xf>
    <xf numFmtId="0" fontId="47" fillId="0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18</xdr:row>
      <xdr:rowOff>47625</xdr:rowOff>
    </xdr:from>
    <xdr:ext cx="2647950" cy="1952625"/>
    <xdr:sp>
      <xdr:nvSpPr>
        <xdr:cNvPr id="1" name="TextBox 1"/>
        <xdr:cNvSpPr txBox="1">
          <a:spLocks noChangeArrowheads="1"/>
        </xdr:cNvSpPr>
      </xdr:nvSpPr>
      <xdr:spPr>
        <a:xfrm>
          <a:off x="7181850" y="3000375"/>
          <a:ext cx="26479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*Out-turn</a:t>
          </a:r>
          <a:r>
            <a:rPr lang="en-US" cap="none" sz="2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numbers are for illustrative purposes only.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0">
      <selection activeCell="E46" sqref="E46"/>
    </sheetView>
  </sheetViews>
  <sheetFormatPr defaultColWidth="8.8515625" defaultRowHeight="12.75"/>
  <cols>
    <col min="1" max="1" width="40.140625" style="0" customWidth="1"/>
    <col min="2" max="3" width="8.8515625" style="0" customWidth="1"/>
    <col min="4" max="4" width="9.28125" style="0" bestFit="1" customWidth="1"/>
    <col min="5" max="5" width="8.8515625" style="0" customWidth="1"/>
    <col min="6" max="6" width="9.28125" style="0" bestFit="1" customWidth="1"/>
  </cols>
  <sheetData>
    <row r="1" ht="15.75">
      <c r="A1" s="62" t="s">
        <v>66</v>
      </c>
    </row>
    <row r="3" spans="1:5" ht="12.75">
      <c r="A3" s="4" t="s">
        <v>13</v>
      </c>
      <c r="B3" s="4" t="s">
        <v>9</v>
      </c>
      <c r="C3" s="4"/>
      <c r="E3" s="4" t="s">
        <v>10</v>
      </c>
    </row>
    <row r="4" spans="2:6" ht="12.75">
      <c r="B4" s="4" t="s">
        <v>39</v>
      </c>
      <c r="C4" s="58" t="s">
        <v>64</v>
      </c>
      <c r="E4" s="4" t="str">
        <f>+B4</f>
        <v>GD17 FD</v>
      </c>
      <c r="F4" s="58" t="str">
        <f>+C4</f>
        <v>Out-turn*</v>
      </c>
    </row>
    <row r="5" spans="2:6" ht="12.75">
      <c r="B5" s="4"/>
      <c r="C5" s="4"/>
      <c r="E5" s="4"/>
      <c r="F5" s="4"/>
    </row>
    <row r="6" spans="1:6" ht="12.75">
      <c r="A6" t="s">
        <v>18</v>
      </c>
      <c r="B6" s="10">
        <v>0.1</v>
      </c>
      <c r="C6" s="17">
        <f>B6</f>
        <v>0.1</v>
      </c>
      <c r="E6" s="10">
        <v>0.4</v>
      </c>
      <c r="F6" s="18">
        <f>E6</f>
        <v>0.4</v>
      </c>
    </row>
    <row r="7" spans="1:6" ht="12.75">
      <c r="A7" t="s">
        <v>19</v>
      </c>
      <c r="B7" s="10">
        <f>1-B6</f>
        <v>0.9</v>
      </c>
      <c r="C7" s="17">
        <f>B7</f>
        <v>0.9</v>
      </c>
      <c r="E7" s="10">
        <f>1-E6</f>
        <v>0.6</v>
      </c>
      <c r="F7" s="18">
        <f>E7</f>
        <v>0.6</v>
      </c>
    </row>
    <row r="8" spans="2:6" ht="12.75">
      <c r="B8" s="1"/>
      <c r="C8" s="16"/>
      <c r="E8" s="4"/>
      <c r="F8" s="13"/>
    </row>
    <row r="9" spans="1:6" ht="12.75">
      <c r="A9" t="s">
        <v>24</v>
      </c>
      <c r="B9" s="1">
        <v>4.3</v>
      </c>
      <c r="C9" s="16">
        <f>B9</f>
        <v>4.3</v>
      </c>
      <c r="E9" s="1">
        <v>4.1</v>
      </c>
      <c r="F9" s="1">
        <f>E9</f>
        <v>4.1</v>
      </c>
    </row>
    <row r="10" spans="1:6" ht="12.75">
      <c r="A10" t="s">
        <v>23</v>
      </c>
      <c r="B10" s="1">
        <v>0.3</v>
      </c>
      <c r="C10" s="16">
        <v>0.3</v>
      </c>
      <c r="E10" s="1">
        <v>0.6</v>
      </c>
      <c r="F10" s="1">
        <f>E10</f>
        <v>0.6</v>
      </c>
    </row>
    <row r="11" spans="1:6" ht="12.75">
      <c r="A11" t="s">
        <v>25</v>
      </c>
      <c r="B11" s="15">
        <f>SUM(B9:B10)</f>
        <v>4.6</v>
      </c>
      <c r="C11" s="15">
        <f>SUM(C9:C10)</f>
        <v>4.6</v>
      </c>
      <c r="E11" s="15">
        <f>SUM(E9:E10)</f>
        <v>4.699999999999999</v>
      </c>
      <c r="F11" s="15">
        <f>SUM(F9:F10)</f>
        <v>4.699999999999999</v>
      </c>
    </row>
    <row r="12" spans="2:3" ht="12.75">
      <c r="B12" s="1"/>
      <c r="C12" s="1"/>
    </row>
    <row r="13" spans="1:6" ht="12.75">
      <c r="A13" t="s">
        <v>20</v>
      </c>
      <c r="B13" s="1">
        <v>4.4</v>
      </c>
      <c r="C13" s="1">
        <v>0</v>
      </c>
      <c r="E13" s="1">
        <v>4.4</v>
      </c>
      <c r="F13" s="1">
        <v>0</v>
      </c>
    </row>
    <row r="14" spans="1:6" ht="12.75">
      <c r="A14" t="s">
        <v>21</v>
      </c>
      <c r="B14" s="1">
        <v>0.4</v>
      </c>
      <c r="C14" s="1">
        <v>0</v>
      </c>
      <c r="E14" s="1">
        <v>0.8</v>
      </c>
      <c r="F14" s="1">
        <v>0</v>
      </c>
    </row>
    <row r="15" spans="1:8" ht="12.75">
      <c r="A15" t="s">
        <v>46</v>
      </c>
      <c r="B15" s="1">
        <v>0</v>
      </c>
      <c r="C15" s="41">
        <f>+'Cost of new debt PNGL'!E24</f>
        <v>3.12</v>
      </c>
      <c r="E15" s="1">
        <v>0</v>
      </c>
      <c r="F15" s="46">
        <f>+'Cost of new debt FE'!E24</f>
        <v>3.3999999999999995</v>
      </c>
      <c r="H15" t="s">
        <v>40</v>
      </c>
    </row>
    <row r="16" spans="1:6" ht="12.75">
      <c r="A16" t="s">
        <v>22</v>
      </c>
      <c r="B16" s="1">
        <v>0.4</v>
      </c>
      <c r="C16" s="1">
        <f>B16</f>
        <v>0.4</v>
      </c>
      <c r="E16" s="1">
        <v>0.4</v>
      </c>
      <c r="F16" s="1">
        <f>E16</f>
        <v>0.4</v>
      </c>
    </row>
    <row r="17" spans="1:6" ht="12.75">
      <c r="A17" t="s">
        <v>23</v>
      </c>
      <c r="B17" s="1">
        <v>0.4</v>
      </c>
      <c r="C17" s="1">
        <f>B17</f>
        <v>0.4</v>
      </c>
      <c r="E17" s="1">
        <v>0.6</v>
      </c>
      <c r="F17" s="1">
        <v>0.6</v>
      </c>
    </row>
    <row r="18" spans="1:6" ht="12.75">
      <c r="A18" t="s">
        <v>26</v>
      </c>
      <c r="B18" s="15">
        <f>B13+B14+B16+B17</f>
        <v>5.600000000000001</v>
      </c>
      <c r="C18" s="15">
        <f>C15+C16+C17</f>
        <v>3.92</v>
      </c>
      <c r="E18" s="15">
        <f>E13+E14+E16+E17</f>
        <v>6.2</v>
      </c>
      <c r="F18" s="15">
        <f>F15+F16+F17</f>
        <v>4.3999999999999995</v>
      </c>
    </row>
    <row r="19" spans="2:3" ht="12.75">
      <c r="B19" s="1"/>
      <c r="C19" s="1"/>
    </row>
    <row r="20" spans="1:6" ht="12.75">
      <c r="A20" t="s">
        <v>17</v>
      </c>
      <c r="B20" s="1">
        <f>B11*B6+B18*B7</f>
        <v>5.500000000000002</v>
      </c>
      <c r="C20" s="1">
        <f>C11*C6+C18*C7</f>
        <v>3.988</v>
      </c>
      <c r="E20" s="1">
        <f>E11*E6+E18*E7</f>
        <v>5.6</v>
      </c>
      <c r="F20" s="1">
        <f>F11*F6+F18*F7</f>
        <v>4.52</v>
      </c>
    </row>
    <row r="21" spans="2:3" ht="12.75">
      <c r="B21" s="1"/>
      <c r="C21" s="1"/>
    </row>
    <row r="22" spans="1:6" ht="12.75">
      <c r="A22" t="s">
        <v>15</v>
      </c>
      <c r="B22" s="1">
        <v>3.07</v>
      </c>
      <c r="C22" s="1">
        <f>B22</f>
        <v>3.07</v>
      </c>
      <c r="E22" s="1">
        <v>3.07</v>
      </c>
      <c r="F22" s="2">
        <f>E22</f>
        <v>3.07</v>
      </c>
    </row>
    <row r="23" spans="2:5" ht="12.75">
      <c r="B23" s="1"/>
      <c r="C23" s="1"/>
      <c r="E23" s="1"/>
    </row>
    <row r="24" spans="1:6" ht="12.75">
      <c r="A24" t="s">
        <v>16</v>
      </c>
      <c r="B24" s="1">
        <f>100*((1+B20/100)/(1+B22/100)-1)</f>
        <v>2.3576210342485693</v>
      </c>
      <c r="C24" s="1">
        <f>100*((1+C20/100)/(1+C22/100)-1)</f>
        <v>0.8906568351605637</v>
      </c>
      <c r="E24" s="1">
        <f>100*((1+E20/100)/(1+E22/100)-1)</f>
        <v>2.454642475987212</v>
      </c>
      <c r="F24" s="1">
        <f>100*((1+F20/100)/(1+F22/100)-1)</f>
        <v>1.406810905210043</v>
      </c>
    </row>
    <row r="25" spans="2:3" ht="12.75">
      <c r="B25" s="1"/>
      <c r="C25" s="1"/>
    </row>
    <row r="26" spans="2:3" ht="12.75">
      <c r="B26" s="1"/>
      <c r="C26" s="1"/>
    </row>
    <row r="27" spans="1:9" ht="12.75">
      <c r="A27" s="4" t="s">
        <v>14</v>
      </c>
      <c r="B27" s="14" t="s">
        <v>9</v>
      </c>
      <c r="C27" s="14"/>
      <c r="E27" s="4" t="s">
        <v>10</v>
      </c>
      <c r="I27" s="4"/>
    </row>
    <row r="28" spans="2:9" ht="12.75">
      <c r="B28" s="4" t="str">
        <f>+B4</f>
        <v>GD17 FD</v>
      </c>
      <c r="C28" s="4" t="str">
        <f>+C4</f>
        <v>Out-turn*</v>
      </c>
      <c r="D28" s="4"/>
      <c r="E28" s="4" t="str">
        <f>+E4</f>
        <v>GD17 FD</v>
      </c>
      <c r="F28" s="4" t="str">
        <f>+F4</f>
        <v>Out-turn*</v>
      </c>
      <c r="I28" s="4"/>
    </row>
    <row r="29" spans="1:6" ht="12.75">
      <c r="A29" s="4"/>
      <c r="B29" s="1"/>
      <c r="C29" s="1"/>
      <c r="F29" s="4"/>
    </row>
    <row r="30" spans="1:6" ht="12.75">
      <c r="A30" t="s">
        <v>2</v>
      </c>
      <c r="B30" s="1">
        <v>0.55</v>
      </c>
      <c r="C30" s="1">
        <f>B30</f>
        <v>0.55</v>
      </c>
      <c r="D30" s="5"/>
      <c r="E30" s="2">
        <v>0.55</v>
      </c>
      <c r="F30" s="2">
        <v>0.55</v>
      </c>
    </row>
    <row r="31" spans="2:9" ht="12.75">
      <c r="B31" s="1"/>
      <c r="C31" s="1"/>
      <c r="I31" s="5"/>
    </row>
    <row r="32" spans="1:6" ht="12.75">
      <c r="A32" t="s">
        <v>0</v>
      </c>
      <c r="B32" s="1">
        <v>1.25</v>
      </c>
      <c r="C32" s="1">
        <f>B32</f>
        <v>1.25</v>
      </c>
      <c r="D32" s="1"/>
      <c r="E32" s="1">
        <v>1.25</v>
      </c>
      <c r="F32" s="1">
        <v>1.25</v>
      </c>
    </row>
    <row r="33" spans="1:9" ht="12.75">
      <c r="A33" t="s">
        <v>1</v>
      </c>
      <c r="B33" s="1">
        <v>5.25</v>
      </c>
      <c r="C33" s="1">
        <f>B33</f>
        <v>5.25</v>
      </c>
      <c r="D33" s="1"/>
      <c r="E33" s="1">
        <v>5.25</v>
      </c>
      <c r="F33" s="1">
        <v>5.25</v>
      </c>
      <c r="I33" s="1"/>
    </row>
    <row r="34" spans="1:9" ht="12.75">
      <c r="A34" t="s">
        <v>5</v>
      </c>
      <c r="B34" s="3">
        <v>0.1</v>
      </c>
      <c r="C34" s="1">
        <f>B34</f>
        <v>0.1</v>
      </c>
      <c r="D34" s="3"/>
      <c r="E34" s="3">
        <v>0.1</v>
      </c>
      <c r="F34" s="3">
        <v>0.1</v>
      </c>
      <c r="I34" s="1"/>
    </row>
    <row r="35" spans="1:9" ht="12.75">
      <c r="A35" t="s">
        <v>7</v>
      </c>
      <c r="B35" s="7">
        <v>0.4</v>
      </c>
      <c r="C35" s="7">
        <f>B35</f>
        <v>0.4</v>
      </c>
      <c r="D35" s="12"/>
      <c r="E35" s="8">
        <v>0.4</v>
      </c>
      <c r="F35" s="8">
        <v>0.4</v>
      </c>
      <c r="I35" s="3"/>
    </row>
    <row r="36" spans="1:9" ht="12.75">
      <c r="A36" t="s">
        <v>3</v>
      </c>
      <c r="B36" s="19">
        <f>B35/(1-B30)-B34*B30/(1-B30)</f>
        <v>0.7666666666666668</v>
      </c>
      <c r="C36" s="1">
        <f>C35/(1-C30)-C34*C30/(1-C30)</f>
        <v>0.7666666666666668</v>
      </c>
      <c r="D36" s="1"/>
      <c r="E36" s="1">
        <f>E35/(1-E30)-E34*E30/(1-E30)</f>
        <v>0.7666666666666668</v>
      </c>
      <c r="F36" s="1">
        <f>F35/(1-F30)-F34*F30/(1-F30)</f>
        <v>0.7666666666666668</v>
      </c>
      <c r="I36" s="8"/>
    </row>
    <row r="37" spans="2:9" ht="12.75">
      <c r="B37" s="1"/>
      <c r="C37" s="1"/>
      <c r="D37" s="1"/>
      <c r="E37" s="1"/>
      <c r="F37" s="1"/>
      <c r="I37" s="1"/>
    </row>
    <row r="38" spans="1:9" ht="12.75">
      <c r="A38" t="s">
        <v>8</v>
      </c>
      <c r="B38" s="1">
        <f>B32+B33*B36</f>
        <v>5.275000000000001</v>
      </c>
      <c r="C38" s="1">
        <f>C32+C33*C36</f>
        <v>5.275000000000001</v>
      </c>
      <c r="D38" s="10"/>
      <c r="E38" s="19">
        <f>E32+E33*E36</f>
        <v>5.275000000000001</v>
      </c>
      <c r="F38" s="19">
        <f>F32+F33*F36</f>
        <v>5.275000000000001</v>
      </c>
      <c r="I38" s="1"/>
    </row>
    <row r="39" spans="1:9" ht="12.75">
      <c r="A39" t="s">
        <v>12</v>
      </c>
      <c r="B39" s="1">
        <f>B38/(1-B43)</f>
        <v>6.593750000000001</v>
      </c>
      <c r="C39" s="1">
        <f>C38/(1-C43)</f>
        <v>6.479017400204709</v>
      </c>
      <c r="D39" s="11"/>
      <c r="E39" s="2">
        <f>E38/(1-E43)</f>
        <v>6.593750000000001</v>
      </c>
      <c r="F39" s="2">
        <f>F38/(1-F43)</f>
        <v>6.479017400204709</v>
      </c>
      <c r="I39" s="10"/>
    </row>
    <row r="40" spans="2:9" ht="12.75">
      <c r="B40" s="1"/>
      <c r="C40" s="1"/>
      <c r="D40" s="9"/>
      <c r="E40" s="9"/>
      <c r="F40" s="9"/>
      <c r="I40" s="11"/>
    </row>
    <row r="41" spans="1:6" ht="12.75">
      <c r="A41" t="s">
        <v>4</v>
      </c>
      <c r="B41" s="1">
        <f>B24</f>
        <v>2.3576210342485693</v>
      </c>
      <c r="C41" s="1">
        <f>C24</f>
        <v>0.8906568351605637</v>
      </c>
      <c r="D41" s="1"/>
      <c r="E41" s="1">
        <f>E24</f>
        <v>2.454642475987212</v>
      </c>
      <c r="F41" s="1">
        <f>F24</f>
        <v>1.406810905210043</v>
      </c>
    </row>
    <row r="42" spans="2:9" ht="12.75">
      <c r="B42" s="1"/>
      <c r="C42" s="1"/>
      <c r="D42" s="1"/>
      <c r="E42" s="1"/>
      <c r="F42" s="1"/>
      <c r="I42" s="1"/>
    </row>
    <row r="43" spans="1:8" ht="12.75">
      <c r="A43" t="s">
        <v>11</v>
      </c>
      <c r="B43" s="1">
        <v>0.2</v>
      </c>
      <c r="C43" s="36">
        <f>+'Tax rate'!H10</f>
        <v>0.18583333333333332</v>
      </c>
      <c r="D43" s="11"/>
      <c r="E43" s="2">
        <v>0.2</v>
      </c>
      <c r="F43" s="37">
        <f>+'Tax rate'!H10</f>
        <v>0.18583333333333332</v>
      </c>
      <c r="H43" t="s">
        <v>41</v>
      </c>
    </row>
    <row r="44" spans="2:9" ht="12.75">
      <c r="B44" s="1"/>
      <c r="C44" s="1"/>
      <c r="D44" s="1"/>
      <c r="E44" s="1"/>
      <c r="F44" s="1"/>
      <c r="G44" s="11"/>
      <c r="H44" s="11"/>
      <c r="I44" s="11"/>
    </row>
    <row r="45" spans="1:6" ht="12.75">
      <c r="A45" t="s">
        <v>6</v>
      </c>
      <c r="B45" s="1">
        <f>B41*$B30+(1-$B30)*(B32+B36*B33)</f>
        <v>3.670441568836713</v>
      </c>
      <c r="C45" s="1">
        <f>C41*$B30+(1-$B30)*(C32+C36*C33)</f>
        <v>2.8636112593383105</v>
      </c>
      <c r="D45" s="2"/>
      <c r="E45" s="2">
        <f>E41*$B30+(1-$B30)*(E32+E36*E33)</f>
        <v>3.723803361792967</v>
      </c>
      <c r="F45" s="2">
        <f>F41*$B30+(1-$B30)*(F32+F36*F33)</f>
        <v>3.147495997865524</v>
      </c>
    </row>
    <row r="46" spans="1:8" ht="15">
      <c r="A46" s="60" t="s">
        <v>45</v>
      </c>
      <c r="B46" s="61">
        <f>ROUND((B30*B41+(1-B30)*B38/(1-B43)),2)</f>
        <v>4.26</v>
      </c>
      <c r="C46" s="61">
        <f>ROUND((C30*C41+(1-C30)*C38/(1-C43)),2)</f>
        <v>3.41</v>
      </c>
      <c r="D46" s="61"/>
      <c r="E46" s="61">
        <f>ROUND((E30*E41+(1-E30)*E38/(1-E43)),2)</f>
        <v>4.32</v>
      </c>
      <c r="F46" s="61">
        <f>ROUND((F30*F41+(1-F30)*F38/(1-F43)),2)</f>
        <v>3.69</v>
      </c>
      <c r="H46" t="s">
        <v>67</v>
      </c>
    </row>
    <row r="47" spans="2:6" ht="12.75">
      <c r="B47" s="2"/>
      <c r="C47" s="2"/>
      <c r="D47" s="2"/>
      <c r="E47" s="2"/>
      <c r="F47" s="2"/>
    </row>
    <row r="49" ht="12.75">
      <c r="A49" s="6"/>
    </row>
    <row r="50" ht="12.75">
      <c r="A50" s="6"/>
    </row>
    <row r="52" spans="2:6" ht="12.75">
      <c r="B52" s="9"/>
      <c r="C52" s="9"/>
      <c r="D52" s="9"/>
      <c r="E52" s="9"/>
      <c r="F52" s="9"/>
    </row>
    <row r="54" ht="12.75">
      <c r="A54" s="6"/>
    </row>
    <row r="56" ht="12.75">
      <c r="A56" s="6"/>
    </row>
    <row r="57" ht="12.75">
      <c r="A57" s="6"/>
    </row>
    <row r="58" ht="12.75">
      <c r="A58" s="6"/>
    </row>
  </sheetData>
  <sheetProtection/>
  <printOptions/>
  <pageMargins left="0.75" right="0.75" top="1" bottom="1" header="0.5" footer="0.5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44.8515625" style="0" customWidth="1"/>
    <col min="2" max="2" width="17.00390625" style="0" customWidth="1"/>
    <col min="3" max="3" width="15.421875" style="0" bestFit="1" customWidth="1"/>
    <col min="4" max="4" width="15.8515625" style="0" bestFit="1" customWidth="1"/>
  </cols>
  <sheetData>
    <row r="1" spans="1:10" ht="12.75">
      <c r="A1" s="4" t="s">
        <v>31</v>
      </c>
      <c r="B1" s="4"/>
      <c r="E1" s="49">
        <v>42736</v>
      </c>
      <c r="F1" s="49">
        <f>E2+1</f>
        <v>43101</v>
      </c>
      <c r="G1" s="49">
        <f>F2+1</f>
        <v>43466</v>
      </c>
      <c r="H1" s="49">
        <f>G2+1</f>
        <v>43831</v>
      </c>
      <c r="I1" s="49">
        <f>H2+1</f>
        <v>44197</v>
      </c>
      <c r="J1" s="49">
        <f>I2+1</f>
        <v>44562</v>
      </c>
    </row>
    <row r="2" spans="5:10" ht="12.75">
      <c r="E2" s="49">
        <f aca="true" t="shared" si="0" ref="E2:J2">EOMONTH(E1,11)</f>
        <v>43100</v>
      </c>
      <c r="F2" s="49">
        <f t="shared" si="0"/>
        <v>43465</v>
      </c>
      <c r="G2" s="49">
        <f t="shared" si="0"/>
        <v>43830</v>
      </c>
      <c r="H2" s="49">
        <f t="shared" si="0"/>
        <v>44196</v>
      </c>
      <c r="I2" s="49">
        <f t="shared" si="0"/>
        <v>44561</v>
      </c>
      <c r="J2" s="49">
        <f t="shared" si="0"/>
        <v>44926</v>
      </c>
    </row>
    <row r="3" spans="1:11" s="20" customFormat="1" ht="12.75">
      <c r="A3" s="23" t="s">
        <v>36</v>
      </c>
      <c r="B3" s="23" t="s">
        <v>53</v>
      </c>
      <c r="C3" s="48" t="s">
        <v>54</v>
      </c>
      <c r="D3" s="21" t="s">
        <v>47</v>
      </c>
      <c r="E3" s="47">
        <f aca="true" t="shared" si="1" ref="E3:J3">+E1</f>
        <v>42736</v>
      </c>
      <c r="F3" s="47">
        <f t="shared" si="1"/>
        <v>43101</v>
      </c>
      <c r="G3" s="47">
        <f t="shared" si="1"/>
        <v>43466</v>
      </c>
      <c r="H3" s="47">
        <f t="shared" si="1"/>
        <v>43831</v>
      </c>
      <c r="I3" s="47">
        <f t="shared" si="1"/>
        <v>44197</v>
      </c>
      <c r="J3" s="47">
        <f t="shared" si="1"/>
        <v>44562</v>
      </c>
      <c r="K3" s="24"/>
    </row>
    <row r="4" spans="1:11" s="20" customFormat="1" ht="12.75">
      <c r="A4" s="21" t="s">
        <v>48</v>
      </c>
      <c r="B4" s="51">
        <v>100000</v>
      </c>
      <c r="C4" s="56">
        <v>42917</v>
      </c>
      <c r="D4" s="51">
        <v>2.7</v>
      </c>
      <c r="E4" s="50">
        <f>$B4*IF($C4&gt;E$2,0,IF($C4&lt;=E$1,1,(E$2-$C4+1)/(E$2-E$1+1)))</f>
        <v>50410.95890410959</v>
      </c>
      <c r="F4" s="50">
        <f>$B4*IF($C4&gt;F$2,0,IF($C4&lt;=F$1,1,(F$2-$C4+1)/(F$2-F$1+1)))</f>
        <v>100000</v>
      </c>
      <c r="G4" s="50">
        <f aca="true" t="shared" si="2" ref="G4:J5">$B4*IF($C4&gt;G$2,0,IF($C4&lt;=G$1,1,(G$2-$C4+1)/(G$2-G$1+1)))</f>
        <v>100000</v>
      </c>
      <c r="H4" s="50">
        <f t="shared" si="2"/>
        <v>100000</v>
      </c>
      <c r="I4" s="50">
        <f t="shared" si="2"/>
        <v>100000</v>
      </c>
      <c r="J4" s="50">
        <f t="shared" si="2"/>
        <v>100000</v>
      </c>
      <c r="K4" s="25"/>
    </row>
    <row r="5" spans="1:11" s="20" customFormat="1" ht="12.75">
      <c r="A5" s="21" t="s">
        <v>50</v>
      </c>
      <c r="B5" s="51"/>
      <c r="C5" s="56"/>
      <c r="D5" s="51">
        <v>2.7</v>
      </c>
      <c r="E5" s="50">
        <f>$B5*IF($C5&gt;E$2,0,IF($C5&lt;=E$1,1,(E$2-$C5+1)/(E$2-E$1+1)))</f>
        <v>0</v>
      </c>
      <c r="F5" s="50">
        <f>$B5*IF($C5&gt;F$2,0,IF($C5&lt;=F$1,1,(F$2-$C5+1)/(F$2-F$1+1)))</f>
        <v>0</v>
      </c>
      <c r="G5" s="50">
        <f t="shared" si="2"/>
        <v>0</v>
      </c>
      <c r="H5" s="50">
        <f t="shared" si="2"/>
        <v>0</v>
      </c>
      <c r="I5" s="50">
        <f t="shared" si="2"/>
        <v>0</v>
      </c>
      <c r="J5" s="50">
        <f t="shared" si="2"/>
        <v>0</v>
      </c>
      <c r="K5" s="25"/>
    </row>
    <row r="6" spans="1:11" s="20" customFormat="1" ht="12.75">
      <c r="A6" s="21" t="s">
        <v>49</v>
      </c>
      <c r="B6" s="63" t="s">
        <v>52</v>
      </c>
      <c r="C6" s="63"/>
      <c r="D6" s="51">
        <v>2.7</v>
      </c>
      <c r="E6" s="52"/>
      <c r="F6" s="52">
        <v>60000</v>
      </c>
      <c r="G6" s="52">
        <v>65000</v>
      </c>
      <c r="H6" s="52">
        <v>70000</v>
      </c>
      <c r="I6" s="52">
        <v>70000</v>
      </c>
      <c r="J6" s="52">
        <v>70000</v>
      </c>
      <c r="K6" s="25"/>
    </row>
    <row r="7" spans="1:11" s="20" customFormat="1" ht="12.75">
      <c r="A7" s="21" t="s">
        <v>51</v>
      </c>
      <c r="B7" s="63" t="s">
        <v>52</v>
      </c>
      <c r="C7" s="63"/>
      <c r="D7" s="51"/>
      <c r="E7" s="53"/>
      <c r="F7" s="52"/>
      <c r="G7" s="52"/>
      <c r="H7" s="52"/>
      <c r="I7" s="52"/>
      <c r="J7" s="52"/>
      <c r="K7" s="25"/>
    </row>
    <row r="8" spans="1:11" s="20" customFormat="1" ht="12.75">
      <c r="A8" s="21" t="s">
        <v>27</v>
      </c>
      <c r="B8" s="21"/>
      <c r="C8" s="21"/>
      <c r="D8" s="21"/>
      <c r="E8" s="33">
        <f aca="true" t="shared" si="3" ref="E8:J8">SUM(E4:E7)</f>
        <v>50410.95890410959</v>
      </c>
      <c r="F8" s="33">
        <f t="shared" si="3"/>
        <v>160000</v>
      </c>
      <c r="G8" s="33">
        <f t="shared" si="3"/>
        <v>165000</v>
      </c>
      <c r="H8" s="33">
        <f t="shared" si="3"/>
        <v>170000</v>
      </c>
      <c r="I8" s="33">
        <f t="shared" si="3"/>
        <v>170000</v>
      </c>
      <c r="J8" s="33">
        <f t="shared" si="3"/>
        <v>170000</v>
      </c>
      <c r="K8" s="25"/>
    </row>
    <row r="9" spans="1:11" s="20" customFormat="1" ht="12.75">
      <c r="A9" s="21"/>
      <c r="B9" s="21"/>
      <c r="C9" s="21"/>
      <c r="D9" s="21"/>
      <c r="E9" s="28"/>
      <c r="F9" s="28"/>
      <c r="G9" s="28"/>
      <c r="H9" s="28"/>
      <c r="I9" s="28"/>
      <c r="J9" s="28"/>
      <c r="K9" s="22"/>
    </row>
    <row r="10" spans="1:11" s="20" customFormat="1" ht="12.75">
      <c r="A10" s="23" t="s">
        <v>28</v>
      </c>
      <c r="B10" s="23"/>
      <c r="C10" s="21"/>
      <c r="D10" s="21"/>
      <c r="E10" s="29"/>
      <c r="F10" s="29"/>
      <c r="G10" s="29"/>
      <c r="H10" s="29"/>
      <c r="I10" s="29"/>
      <c r="J10" s="29"/>
      <c r="K10" s="24"/>
    </row>
    <row r="11" spans="1:11" s="20" customFormat="1" ht="12.75" customHeight="1">
      <c r="A11" s="21" t="s">
        <v>34</v>
      </c>
      <c r="B11" s="21"/>
      <c r="C11" s="21"/>
      <c r="D11" s="21"/>
      <c r="E11" s="34">
        <f aca="true" t="shared" si="4" ref="E11:J11">IF(E$8=0,0,E4/E$8)</f>
        <v>1</v>
      </c>
      <c r="F11" s="34">
        <f t="shared" si="4"/>
        <v>0.625</v>
      </c>
      <c r="G11" s="34">
        <f t="shared" si="4"/>
        <v>0.6060606060606061</v>
      </c>
      <c r="H11" s="34">
        <f t="shared" si="4"/>
        <v>0.5882352941176471</v>
      </c>
      <c r="I11" s="34">
        <f t="shared" si="4"/>
        <v>0.5882352941176471</v>
      </c>
      <c r="J11" s="34">
        <f t="shared" si="4"/>
        <v>0.5882352941176471</v>
      </c>
      <c r="K11" s="27"/>
    </row>
    <row r="12" spans="1:11" s="20" customFormat="1" ht="12.75" customHeight="1">
      <c r="A12" s="21" t="s">
        <v>35</v>
      </c>
      <c r="B12" s="21"/>
      <c r="C12" s="21"/>
      <c r="D12" s="21"/>
      <c r="E12" s="35">
        <f aca="true" t="shared" si="5" ref="E12:J12">IF(E$8=0,0,E5/E$8)</f>
        <v>0</v>
      </c>
      <c r="F12" s="35">
        <f t="shared" si="5"/>
        <v>0</v>
      </c>
      <c r="G12" s="35">
        <f t="shared" si="5"/>
        <v>0</v>
      </c>
      <c r="H12" s="35">
        <f t="shared" si="5"/>
        <v>0</v>
      </c>
      <c r="I12" s="35">
        <f t="shared" si="5"/>
        <v>0</v>
      </c>
      <c r="J12" s="35">
        <f t="shared" si="5"/>
        <v>0</v>
      </c>
      <c r="K12" s="27"/>
    </row>
    <row r="13" spans="1:11" s="20" customFormat="1" ht="12.75" customHeight="1">
      <c r="A13" s="21" t="s">
        <v>30</v>
      </c>
      <c r="B13" s="21"/>
      <c r="C13" s="21"/>
      <c r="D13" s="21"/>
      <c r="E13" s="35">
        <f aca="true" t="shared" si="6" ref="E13:J13">IF(E$8=0,0,E6/E$8)</f>
        <v>0</v>
      </c>
      <c r="F13" s="35">
        <f t="shared" si="6"/>
        <v>0.375</v>
      </c>
      <c r="G13" s="35">
        <f t="shared" si="6"/>
        <v>0.3939393939393939</v>
      </c>
      <c r="H13" s="35">
        <f t="shared" si="6"/>
        <v>0.4117647058823529</v>
      </c>
      <c r="I13" s="35">
        <f t="shared" si="6"/>
        <v>0.4117647058823529</v>
      </c>
      <c r="J13" s="35">
        <f t="shared" si="6"/>
        <v>0.4117647058823529</v>
      </c>
      <c r="K13" s="27"/>
    </row>
    <row r="14" spans="1:11" s="20" customFormat="1" ht="12.75">
      <c r="A14" s="21" t="s">
        <v>30</v>
      </c>
      <c r="B14" s="21"/>
      <c r="C14" s="21"/>
      <c r="D14" s="21"/>
      <c r="E14" s="32">
        <f aca="true" t="shared" si="7" ref="E14:J14">IF(E$8=0,0,E7/E$8)</f>
        <v>0</v>
      </c>
      <c r="F14" s="32">
        <f t="shared" si="7"/>
        <v>0</v>
      </c>
      <c r="G14" s="32">
        <f t="shared" si="7"/>
        <v>0</v>
      </c>
      <c r="H14" s="32">
        <f t="shared" si="7"/>
        <v>0</v>
      </c>
      <c r="I14" s="32">
        <f t="shared" si="7"/>
        <v>0</v>
      </c>
      <c r="J14" s="32">
        <f t="shared" si="7"/>
        <v>0</v>
      </c>
      <c r="K14" s="27"/>
    </row>
    <row r="15" spans="1:11" s="20" customFormat="1" ht="12.75">
      <c r="A15" s="21"/>
      <c r="B15" s="21"/>
      <c r="C15" s="21"/>
      <c r="D15" s="21"/>
      <c r="E15" s="28"/>
      <c r="F15" s="28"/>
      <c r="G15" s="28"/>
      <c r="H15" s="28"/>
      <c r="I15" s="28"/>
      <c r="J15" s="28"/>
      <c r="K15" s="22"/>
    </row>
    <row r="16" spans="1:11" s="20" customFormat="1" ht="12.75">
      <c r="A16" s="21" t="s">
        <v>29</v>
      </c>
      <c r="B16" s="21"/>
      <c r="C16" s="21"/>
      <c r="D16" s="21"/>
      <c r="E16" s="39">
        <f aca="true" t="shared" si="8" ref="E16:J16">SUMPRODUCT($D4:$D7,E11:E14)</f>
        <v>2.7</v>
      </c>
      <c r="F16" s="39">
        <f t="shared" si="8"/>
        <v>2.7</v>
      </c>
      <c r="G16" s="39">
        <f t="shared" si="8"/>
        <v>2.7</v>
      </c>
      <c r="H16" s="39">
        <f t="shared" si="8"/>
        <v>2.7</v>
      </c>
      <c r="I16" s="39">
        <f t="shared" si="8"/>
        <v>2.7</v>
      </c>
      <c r="J16" s="39">
        <f t="shared" si="8"/>
        <v>2.7</v>
      </c>
      <c r="K16" s="24"/>
    </row>
    <row r="17" spans="1:11" s="20" customFormat="1" ht="12.75">
      <c r="A17" s="21"/>
      <c r="B17" s="21"/>
      <c r="C17" s="21"/>
      <c r="D17" s="21"/>
      <c r="E17" s="30"/>
      <c r="F17" s="30"/>
      <c r="G17" s="30"/>
      <c r="H17" s="30"/>
      <c r="I17" s="30"/>
      <c r="J17" s="30"/>
      <c r="K17" s="24"/>
    </row>
    <row r="18" spans="1:11" s="20" customFormat="1" ht="12.75">
      <c r="A18" s="21" t="s">
        <v>32</v>
      </c>
      <c r="B18" s="21"/>
      <c r="C18" s="21"/>
      <c r="D18" s="21"/>
      <c r="E18" s="45">
        <f>SUMPRODUCT(E16:J16,E8:J8)/SUM(E8:J8)</f>
        <v>2.7</v>
      </c>
      <c r="F18" s="31"/>
      <c r="G18" s="31"/>
      <c r="H18" s="31"/>
      <c r="I18" s="31"/>
      <c r="J18" s="31"/>
      <c r="K18" s="26"/>
    </row>
    <row r="19" spans="1:11" s="20" customFormat="1" ht="12.75">
      <c r="A19" s="21"/>
      <c r="B19" s="21"/>
      <c r="C19" s="21"/>
      <c r="D19" s="21"/>
      <c r="E19" s="28"/>
      <c r="F19" s="26"/>
      <c r="G19" s="26"/>
      <c r="H19" s="26"/>
      <c r="I19" s="26"/>
      <c r="J19" s="26"/>
      <c r="K19" s="26"/>
    </row>
    <row r="20" spans="1:5" ht="12.75">
      <c r="A20" s="21" t="s">
        <v>43</v>
      </c>
      <c r="B20" s="21"/>
      <c r="E20" s="40">
        <f>+'GD17'!B13+'GD17'!B14</f>
        <v>4.800000000000001</v>
      </c>
    </row>
    <row r="21" ht="12.75">
      <c r="E21" s="42"/>
    </row>
    <row r="22" spans="1:5" ht="12.75">
      <c r="A22" t="s">
        <v>42</v>
      </c>
      <c r="E22" s="43">
        <v>0.8</v>
      </c>
    </row>
    <row r="23" ht="12.75">
      <c r="E23" s="40"/>
    </row>
    <row r="24" spans="1:5" ht="12.75">
      <c r="A24" t="s">
        <v>44</v>
      </c>
      <c r="E24" s="44">
        <f>(+E18-E20)*E22+E20</f>
        <v>3.12</v>
      </c>
    </row>
    <row r="27" ht="15">
      <c r="A27" s="57"/>
    </row>
    <row r="28" ht="15">
      <c r="A28" s="57"/>
    </row>
  </sheetData>
  <sheetProtection/>
  <mergeCells count="2">
    <mergeCell ref="B6:C6"/>
    <mergeCell ref="B7:C7"/>
  </mergeCells>
  <printOptions/>
  <pageMargins left="0.75" right="0.75" top="1" bottom="1" header="0.5" footer="0.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4.8515625" style="0" customWidth="1"/>
    <col min="2" max="2" width="17.00390625" style="0" customWidth="1"/>
    <col min="3" max="3" width="15.421875" style="0" bestFit="1" customWidth="1"/>
    <col min="4" max="4" width="15.8515625" style="0" bestFit="1" customWidth="1"/>
  </cols>
  <sheetData>
    <row r="1" spans="1:10" ht="12.75">
      <c r="A1" s="4" t="s">
        <v>33</v>
      </c>
      <c r="B1" s="4"/>
      <c r="E1" s="49">
        <v>42736</v>
      </c>
      <c r="F1" s="49">
        <f>E2+1</f>
        <v>43101</v>
      </c>
      <c r="G1" s="49">
        <f>F2+1</f>
        <v>43466</v>
      </c>
      <c r="H1" s="49">
        <f>G2+1</f>
        <v>43831</v>
      </c>
      <c r="I1" s="49">
        <f>H2+1</f>
        <v>44197</v>
      </c>
      <c r="J1" s="49">
        <f>I2+1</f>
        <v>44562</v>
      </c>
    </row>
    <row r="2" spans="5:10" ht="12.75">
      <c r="E2" s="49">
        <f aca="true" t="shared" si="0" ref="E2:J2">EOMONTH(E1,11)</f>
        <v>43100</v>
      </c>
      <c r="F2" s="49">
        <f t="shared" si="0"/>
        <v>43465</v>
      </c>
      <c r="G2" s="49">
        <f t="shared" si="0"/>
        <v>43830</v>
      </c>
      <c r="H2" s="49">
        <f t="shared" si="0"/>
        <v>44196</v>
      </c>
      <c r="I2" s="49">
        <f t="shared" si="0"/>
        <v>44561</v>
      </c>
      <c r="J2" s="49">
        <f t="shared" si="0"/>
        <v>44926</v>
      </c>
    </row>
    <row r="3" spans="1:11" s="20" customFormat="1" ht="12.75">
      <c r="A3" s="23" t="s">
        <v>36</v>
      </c>
      <c r="B3" s="23" t="s">
        <v>53</v>
      </c>
      <c r="C3" s="48" t="s">
        <v>54</v>
      </c>
      <c r="D3" s="21" t="s">
        <v>47</v>
      </c>
      <c r="E3" s="47">
        <f aca="true" t="shared" si="1" ref="E3:J3">+E1</f>
        <v>42736</v>
      </c>
      <c r="F3" s="47">
        <f t="shared" si="1"/>
        <v>43101</v>
      </c>
      <c r="G3" s="47">
        <f t="shared" si="1"/>
        <v>43466</v>
      </c>
      <c r="H3" s="47">
        <f t="shared" si="1"/>
        <v>43831</v>
      </c>
      <c r="I3" s="47">
        <f t="shared" si="1"/>
        <v>44197</v>
      </c>
      <c r="J3" s="47">
        <f t="shared" si="1"/>
        <v>44562</v>
      </c>
      <c r="K3" s="24"/>
    </row>
    <row r="4" spans="1:11" s="20" customFormat="1" ht="12.75">
      <c r="A4" s="21" t="s">
        <v>48</v>
      </c>
      <c r="B4" s="51">
        <v>100000</v>
      </c>
      <c r="C4" s="56">
        <v>43647</v>
      </c>
      <c r="D4" s="51">
        <v>2.95</v>
      </c>
      <c r="E4" s="50">
        <f>$B4*IF($C4&gt;E$2,0,IF($C4&lt;=E$1,1,(E$2-$C4+1)/(E$2-E$1+1)))</f>
        <v>0</v>
      </c>
      <c r="F4" s="50">
        <f>$B4*IF($C4&gt;F$2,0,IF($C4&lt;=F$1,1,(F$2-$C4+1)/(F$2-F$1+1)))</f>
        <v>0</v>
      </c>
      <c r="G4" s="50">
        <f aca="true" t="shared" si="2" ref="G4:J5">$B4*IF($C4&gt;G$2,0,IF($C4&lt;=G$1,1,(G$2-$C4+1)/(G$2-G$1+1)))</f>
        <v>50410.95890410959</v>
      </c>
      <c r="H4" s="50">
        <f t="shared" si="2"/>
        <v>100000</v>
      </c>
      <c r="I4" s="50">
        <f t="shared" si="2"/>
        <v>100000</v>
      </c>
      <c r="J4" s="50">
        <f t="shared" si="2"/>
        <v>100000</v>
      </c>
      <c r="K4" s="25"/>
    </row>
    <row r="5" spans="1:11" s="20" customFormat="1" ht="12.75">
      <c r="A5" s="21" t="s">
        <v>50</v>
      </c>
      <c r="B5" s="51"/>
      <c r="C5" s="56"/>
      <c r="D5" s="51"/>
      <c r="E5" s="50">
        <f>$B5*IF($C5&gt;E$2,0,IF($C5&lt;=E$1,1,(E$2-$C5+1)/(E$2-E$1+1)))</f>
        <v>0</v>
      </c>
      <c r="F5" s="50">
        <f>$B5*IF($C5&gt;F$2,0,IF($C5&lt;=F$1,1,(F$2-$C5+1)/(F$2-F$1+1)))</f>
        <v>0</v>
      </c>
      <c r="G5" s="50">
        <f t="shared" si="2"/>
        <v>0</v>
      </c>
      <c r="H5" s="50">
        <f t="shared" si="2"/>
        <v>0</v>
      </c>
      <c r="I5" s="50">
        <f t="shared" si="2"/>
        <v>0</v>
      </c>
      <c r="J5" s="50">
        <f t="shared" si="2"/>
        <v>0</v>
      </c>
      <c r="K5" s="25"/>
    </row>
    <row r="6" spans="1:11" s="20" customFormat="1" ht="12.75">
      <c r="A6" s="21" t="s">
        <v>49</v>
      </c>
      <c r="B6" s="63" t="s">
        <v>52</v>
      </c>
      <c r="C6" s="63"/>
      <c r="D6" s="51">
        <v>2.95</v>
      </c>
      <c r="E6" s="52"/>
      <c r="F6" s="52"/>
      <c r="G6" s="52"/>
      <c r="H6" s="52">
        <v>50000</v>
      </c>
      <c r="I6" s="52">
        <v>55000</v>
      </c>
      <c r="J6" s="52">
        <v>60000</v>
      </c>
      <c r="K6" s="25"/>
    </row>
    <row r="7" spans="1:11" s="20" customFormat="1" ht="12.75">
      <c r="A7" s="21" t="s">
        <v>51</v>
      </c>
      <c r="B7" s="63" t="s">
        <v>52</v>
      </c>
      <c r="C7" s="63"/>
      <c r="D7" s="51"/>
      <c r="E7" s="53"/>
      <c r="F7" s="52"/>
      <c r="G7" s="52"/>
      <c r="H7" s="52"/>
      <c r="I7" s="52"/>
      <c r="J7" s="52"/>
      <c r="K7" s="25"/>
    </row>
    <row r="8" spans="1:11" s="20" customFormat="1" ht="12.75">
      <c r="A8" s="21" t="s">
        <v>27</v>
      </c>
      <c r="B8" s="21"/>
      <c r="C8" s="21"/>
      <c r="D8" s="21"/>
      <c r="E8" s="33">
        <f aca="true" t="shared" si="3" ref="E8:J8">SUM(E4:E7)</f>
        <v>0</v>
      </c>
      <c r="F8" s="33">
        <f t="shared" si="3"/>
        <v>0</v>
      </c>
      <c r="G8" s="33">
        <f t="shared" si="3"/>
        <v>50410.95890410959</v>
      </c>
      <c r="H8" s="33">
        <f t="shared" si="3"/>
        <v>150000</v>
      </c>
      <c r="I8" s="33">
        <f t="shared" si="3"/>
        <v>155000</v>
      </c>
      <c r="J8" s="33">
        <f t="shared" si="3"/>
        <v>160000</v>
      </c>
      <c r="K8" s="25"/>
    </row>
    <row r="9" spans="1:11" s="20" customFormat="1" ht="12.75">
      <c r="A9" s="21"/>
      <c r="B9" s="21"/>
      <c r="C9" s="21"/>
      <c r="D9" s="21"/>
      <c r="E9" s="28"/>
      <c r="F9" s="28"/>
      <c r="G9" s="28"/>
      <c r="H9" s="28"/>
      <c r="I9" s="28"/>
      <c r="J9" s="28"/>
      <c r="K9" s="22"/>
    </row>
    <row r="10" spans="1:11" s="20" customFormat="1" ht="12.75">
      <c r="A10" s="23" t="s">
        <v>28</v>
      </c>
      <c r="B10" s="23"/>
      <c r="C10" s="21"/>
      <c r="D10" s="21"/>
      <c r="E10" s="29"/>
      <c r="F10" s="29"/>
      <c r="G10" s="29"/>
      <c r="H10" s="29"/>
      <c r="I10" s="29"/>
      <c r="J10" s="29"/>
      <c r="K10" s="24"/>
    </row>
    <row r="11" spans="1:11" s="20" customFormat="1" ht="12.75" customHeight="1">
      <c r="A11" s="21" t="s">
        <v>34</v>
      </c>
      <c r="B11" s="21"/>
      <c r="C11" s="21"/>
      <c r="D11" s="21"/>
      <c r="E11" s="34">
        <f aca="true" t="shared" si="4" ref="E11:J14">IF(E$8=0,0,E4/E$8)</f>
        <v>0</v>
      </c>
      <c r="F11" s="34">
        <f t="shared" si="4"/>
        <v>0</v>
      </c>
      <c r="G11" s="34">
        <f t="shared" si="4"/>
        <v>1</v>
      </c>
      <c r="H11" s="34">
        <f t="shared" si="4"/>
        <v>0.6666666666666666</v>
      </c>
      <c r="I11" s="34">
        <f t="shared" si="4"/>
        <v>0.6451612903225806</v>
      </c>
      <c r="J11" s="34">
        <f t="shared" si="4"/>
        <v>0.625</v>
      </c>
      <c r="K11" s="27"/>
    </row>
    <row r="12" spans="1:11" s="20" customFormat="1" ht="12.75" customHeight="1">
      <c r="A12" s="21" t="s">
        <v>35</v>
      </c>
      <c r="B12" s="21"/>
      <c r="C12" s="21"/>
      <c r="D12" s="21"/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27"/>
    </row>
    <row r="13" spans="1:11" s="20" customFormat="1" ht="12.75" customHeight="1">
      <c r="A13" s="21" t="s">
        <v>30</v>
      </c>
      <c r="B13" s="21"/>
      <c r="C13" s="21"/>
      <c r="D13" s="21"/>
      <c r="E13" s="35">
        <f t="shared" si="4"/>
        <v>0</v>
      </c>
      <c r="F13" s="35">
        <f t="shared" si="4"/>
        <v>0</v>
      </c>
      <c r="G13" s="35">
        <f t="shared" si="4"/>
        <v>0</v>
      </c>
      <c r="H13" s="35">
        <f t="shared" si="4"/>
        <v>0.3333333333333333</v>
      </c>
      <c r="I13" s="35">
        <f t="shared" si="4"/>
        <v>0.3548387096774194</v>
      </c>
      <c r="J13" s="35">
        <f t="shared" si="4"/>
        <v>0.375</v>
      </c>
      <c r="K13" s="27"/>
    </row>
    <row r="14" spans="1:11" s="20" customFormat="1" ht="12.75">
      <c r="A14" s="21" t="s">
        <v>30</v>
      </c>
      <c r="B14" s="21"/>
      <c r="C14" s="21"/>
      <c r="D14" s="21"/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27"/>
    </row>
    <row r="15" spans="1:11" s="20" customFormat="1" ht="12.75">
      <c r="A15" s="21"/>
      <c r="B15" s="21"/>
      <c r="C15" s="21"/>
      <c r="D15" s="21"/>
      <c r="E15" s="28"/>
      <c r="F15" s="28"/>
      <c r="G15" s="28"/>
      <c r="H15" s="28"/>
      <c r="I15" s="28"/>
      <c r="J15" s="28"/>
      <c r="K15" s="22"/>
    </row>
    <row r="16" spans="1:11" s="20" customFormat="1" ht="12.75">
      <c r="A16" s="21" t="s">
        <v>29</v>
      </c>
      <c r="B16" s="21"/>
      <c r="C16" s="21"/>
      <c r="D16" s="21"/>
      <c r="E16" s="39">
        <f aca="true" t="shared" si="5" ref="E16:J16">SUMPRODUCT($D4:$D7,E11:E14)</f>
        <v>0</v>
      </c>
      <c r="F16" s="39">
        <f t="shared" si="5"/>
        <v>0</v>
      </c>
      <c r="G16" s="39">
        <f t="shared" si="5"/>
        <v>2.95</v>
      </c>
      <c r="H16" s="39">
        <f t="shared" si="5"/>
        <v>2.95</v>
      </c>
      <c r="I16" s="39">
        <f t="shared" si="5"/>
        <v>2.95</v>
      </c>
      <c r="J16" s="39">
        <f t="shared" si="5"/>
        <v>2.95</v>
      </c>
      <c r="K16" s="24"/>
    </row>
    <row r="17" spans="1:11" s="20" customFormat="1" ht="12.75">
      <c r="A17" s="21"/>
      <c r="B17" s="21"/>
      <c r="C17" s="21"/>
      <c r="D17" s="21"/>
      <c r="E17" s="30"/>
      <c r="F17" s="30"/>
      <c r="G17" s="30"/>
      <c r="H17" s="30"/>
      <c r="I17" s="30"/>
      <c r="J17" s="30"/>
      <c r="K17" s="24"/>
    </row>
    <row r="18" spans="1:11" s="20" customFormat="1" ht="12.75">
      <c r="A18" s="21" t="s">
        <v>32</v>
      </c>
      <c r="B18" s="21"/>
      <c r="C18" s="21"/>
      <c r="D18" s="21"/>
      <c r="E18" s="45">
        <f>SUMPRODUCT(E16:J16,E8:J8)/SUM(E8:J8)</f>
        <v>2.9499999999999997</v>
      </c>
      <c r="F18" s="31"/>
      <c r="G18" s="31"/>
      <c r="H18" s="31"/>
      <c r="I18" s="31"/>
      <c r="J18" s="31"/>
      <c r="K18" s="26"/>
    </row>
    <row r="19" spans="1:11" s="20" customFormat="1" ht="12.75">
      <c r="A19" s="21"/>
      <c r="B19" s="21"/>
      <c r="C19" s="21"/>
      <c r="D19" s="21"/>
      <c r="E19" s="28"/>
      <c r="F19" s="26"/>
      <c r="G19" s="26"/>
      <c r="H19" s="26"/>
      <c r="I19" s="26"/>
      <c r="J19" s="26"/>
      <c r="K19" s="26"/>
    </row>
    <row r="20" spans="1:5" ht="12.75">
      <c r="A20" s="21" t="s">
        <v>43</v>
      </c>
      <c r="B20" s="21"/>
      <c r="E20" s="40">
        <f>+'GD17'!E13+'GD17'!E14</f>
        <v>5.2</v>
      </c>
    </row>
    <row r="21" ht="12.75">
      <c r="E21" s="42"/>
    </row>
    <row r="22" spans="1:5" ht="12.75">
      <c r="A22" t="s">
        <v>42</v>
      </c>
      <c r="E22" s="43">
        <v>0.8</v>
      </c>
    </row>
    <row r="23" ht="12.75">
      <c r="E23" s="40"/>
    </row>
    <row r="24" spans="1:5" ht="12.75">
      <c r="A24" t="s">
        <v>44</v>
      </c>
      <c r="E24" s="44">
        <f>(+E18-E20)*E22+E20</f>
        <v>3.3999999999999995</v>
      </c>
    </row>
  </sheetData>
  <sheetProtection/>
  <mergeCells count="2">
    <mergeCell ref="B6:C6"/>
    <mergeCell ref="B7:C7"/>
  </mergeCells>
  <printOptions/>
  <pageMargins left="0.75" right="0.75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35.421875" style="0" customWidth="1"/>
  </cols>
  <sheetData>
    <row r="1" ht="12.75">
      <c r="A1" s="4" t="s">
        <v>37</v>
      </c>
    </row>
    <row r="3" spans="1:8" s="20" customFormat="1" ht="12.75">
      <c r="A3" s="59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29" t="s">
        <v>62</v>
      </c>
    </row>
    <row r="4" spans="1:8" s="20" customFormat="1" ht="12.75">
      <c r="A4" s="21" t="s">
        <v>38</v>
      </c>
      <c r="B4" s="38">
        <v>0.2</v>
      </c>
      <c r="C4" s="38">
        <v>0.19</v>
      </c>
      <c r="D4" s="38">
        <v>0.19</v>
      </c>
      <c r="E4" s="38">
        <v>0.19</v>
      </c>
      <c r="F4" s="38">
        <v>0.18</v>
      </c>
      <c r="G4" s="38">
        <v>0.18</v>
      </c>
      <c r="H4" s="38">
        <v>0.18</v>
      </c>
    </row>
    <row r="5" spans="1:8" s="20" customFormat="1" ht="12.75">
      <c r="A5" s="21"/>
      <c r="B5" s="38"/>
      <c r="C5" s="38"/>
      <c r="D5" s="38"/>
      <c r="E5" s="38"/>
      <c r="F5" s="38"/>
      <c r="G5" s="38"/>
      <c r="H5" s="25"/>
    </row>
    <row r="6" spans="1:8" s="20" customFormat="1" ht="12.75">
      <c r="A6" s="59" t="s">
        <v>63</v>
      </c>
      <c r="B6" s="38"/>
      <c r="C6" s="29">
        <v>2017</v>
      </c>
      <c r="D6" s="29">
        <v>2018</v>
      </c>
      <c r="E6" s="29">
        <v>2019</v>
      </c>
      <c r="F6" s="29">
        <v>2020</v>
      </c>
      <c r="G6" s="29">
        <v>2021</v>
      </c>
      <c r="H6" s="29">
        <v>2022</v>
      </c>
    </row>
    <row r="7" spans="1:8" s="20" customFormat="1" ht="12.75">
      <c r="A7" s="48" t="s">
        <v>38</v>
      </c>
      <c r="B7" s="38"/>
      <c r="C7" s="54">
        <f aca="true" t="shared" si="0" ref="C7:H7">+B4/4+C4/4*3</f>
        <v>0.1925</v>
      </c>
      <c r="D7" s="54">
        <f t="shared" si="0"/>
        <v>0.19</v>
      </c>
      <c r="E7" s="54">
        <f t="shared" si="0"/>
        <v>0.19</v>
      </c>
      <c r="F7" s="54">
        <f t="shared" si="0"/>
        <v>0.1825</v>
      </c>
      <c r="G7" s="54">
        <f t="shared" si="0"/>
        <v>0.18</v>
      </c>
      <c r="H7" s="54">
        <f t="shared" si="0"/>
        <v>0.18</v>
      </c>
    </row>
    <row r="8" spans="1:8" s="20" customFormat="1" ht="12.75">
      <c r="A8" s="21"/>
      <c r="B8" s="38"/>
      <c r="C8" s="38"/>
      <c r="D8" s="38"/>
      <c r="E8" s="38"/>
      <c r="F8" s="38"/>
      <c r="G8" s="38"/>
      <c r="H8" s="25"/>
    </row>
    <row r="9" spans="1:8" s="20" customFormat="1" ht="12.75">
      <c r="A9" s="21"/>
      <c r="B9" s="30"/>
      <c r="C9" s="30"/>
      <c r="D9" s="30"/>
      <c r="E9" s="30"/>
      <c r="F9" s="30"/>
      <c r="G9" s="30"/>
      <c r="H9" s="24"/>
    </row>
    <row r="10" spans="1:8" s="20" customFormat="1" ht="12.75">
      <c r="A10" s="48" t="s">
        <v>65</v>
      </c>
      <c r="C10" s="31"/>
      <c r="D10" s="31"/>
      <c r="E10" s="31"/>
      <c r="F10" s="31"/>
      <c r="G10" s="31"/>
      <c r="H10" s="55">
        <f>AVERAGE(C7:H7)</f>
        <v>0.18583333333333332</v>
      </c>
    </row>
    <row r="11" spans="1:8" s="20" customFormat="1" ht="12.75">
      <c r="A11" s="21"/>
      <c r="B11" s="26"/>
      <c r="C11" s="26"/>
      <c r="D11" s="26"/>
      <c r="E11" s="26"/>
      <c r="F11" s="26"/>
      <c r="G11" s="26"/>
      <c r="H11" s="26"/>
    </row>
  </sheetData>
  <sheetProtection/>
  <printOptions/>
  <pageMargins left="0.75" right="0.75" top="1" bottom="1" header="0.5" footer="0.5"/>
  <pageSetup fitToHeight="1" fitToWidth="1" horizontalDpi="2400" verticalDpi="2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2016-07-28T16:17:50Z</dcterms:created>
  <dcterms:modified xsi:type="dcterms:W3CDTF">2016-09-15T10:08:20Z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