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295" tabRatio="906" activeTab="10"/>
  </bookViews>
  <sheets>
    <sheet name="Assumptions" sheetId="39" r:id="rId1"/>
    <sheet name="Inputs" sheetId="34" r:id="rId2"/>
    <sheet name="Calc1" sheetId="24" r:id="rId3"/>
    <sheet name="Calc2" sheetId="32" r:id="rId4"/>
    <sheet name="Acct depreciation" sheetId="38" r:id="rId5"/>
    <sheet name="RAB&amp;Return" sheetId="37" r:id="rId6"/>
    <sheet name="Bt" sheetId="33" r:id="rId7"/>
    <sheet name="P&amp;L" sheetId="30" r:id="rId8"/>
    <sheet name="Cash flow" sheetId="28" r:id="rId9"/>
    <sheet name="Balance sheet" sheetId="36" r:id="rId10"/>
    <sheet name="Ratios" sheetId="35" r:id="rId11"/>
  </sheets>
  <externalReferences>
    <externalReference r:id="rId12"/>
  </externalReferences>
  <definedNames>
    <definedName name="_xlnm._FilterDatabase" localSheetId="4" hidden="1">'Acct depreciation'!$A$3:$J$3</definedName>
    <definedName name="Years">Inputs!$B$5:$J$5</definedName>
  </definedNames>
  <calcPr calcId="125725"/>
  <customWorkbookViews>
    <customWorkbookView name="Colin Walker - Personal View" guid="{5DBAA0F8-2D4C-4DEE-9709-5E6FDA1FF673}" mergeInterval="0" personalView="1" maximized="1" xWindow="1" yWindow="1" windowWidth="1676" windowHeight="774" activeSheetId="1"/>
  </customWorkbookViews>
</workbook>
</file>

<file path=xl/calcChain.xml><?xml version="1.0" encoding="utf-8"?>
<calcChain xmlns="http://schemas.openxmlformats.org/spreadsheetml/2006/main">
  <c r="I27" i="33"/>
  <c r="H27"/>
  <c r="G27"/>
  <c r="F27"/>
  <c r="E27"/>
  <c r="D27"/>
  <c r="C27"/>
  <c r="B27"/>
  <c r="B11" i="24"/>
  <c r="F189" l="1"/>
  <c r="E189"/>
  <c r="D189"/>
  <c r="C189"/>
  <c r="B189"/>
  <c r="C21" i="30" l="1"/>
  <c r="D21"/>
  <c r="E21"/>
  <c r="F21"/>
  <c r="B21"/>
  <c r="C98" i="37" l="1"/>
  <c r="D98"/>
  <c r="E98"/>
  <c r="F98"/>
  <c r="G98"/>
  <c r="H98"/>
  <c r="I98"/>
  <c r="B98"/>
  <c r="I89"/>
  <c r="I21" i="33" s="1"/>
  <c r="H89" i="37"/>
  <c r="H21" i="33" s="1"/>
  <c r="G89" i="37"/>
  <c r="G21" i="33" s="1"/>
  <c r="F89" i="37"/>
  <c r="F21" i="33" s="1"/>
  <c r="E89" i="37"/>
  <c r="E21" i="33" s="1"/>
  <c r="D89" i="37"/>
  <c r="D21" i="33" s="1"/>
  <c r="C89" i="37"/>
  <c r="C21" i="33" s="1"/>
  <c r="B89" i="37"/>
  <c r="B21" i="33" s="1"/>
  <c r="O79" i="37"/>
  <c r="O80" s="1"/>
  <c r="P80" l="1"/>
  <c r="K89" s="1"/>
  <c r="K21" i="33" s="1"/>
  <c r="J89" i="37"/>
  <c r="J21" i="33" s="1"/>
  <c r="O81" i="37"/>
  <c r="O82" l="1"/>
  <c r="J98" s="1"/>
  <c r="P79"/>
  <c r="P81" l="1"/>
  <c r="P82" s="1"/>
  <c r="K98" s="1"/>
  <c r="C15" i="28" l="1"/>
  <c r="D15"/>
  <c r="E15"/>
  <c r="F15"/>
  <c r="B15"/>
  <c r="P72" i="37"/>
  <c r="O72"/>
  <c r="N72"/>
  <c r="M72"/>
  <c r="L72"/>
  <c r="C97"/>
  <c r="D97"/>
  <c r="E97"/>
  <c r="F97"/>
  <c r="B97"/>
  <c r="C57" i="24" l="1"/>
  <c r="C26" i="32" s="1"/>
  <c r="D57" i="24"/>
  <c r="D26" i="32" s="1"/>
  <c r="E57" i="24"/>
  <c r="E26" i="32" s="1"/>
  <c r="C58" i="24"/>
  <c r="C29" i="32" s="1"/>
  <c r="D58" i="24"/>
  <c r="D29" i="32" s="1"/>
  <c r="E58" i="24"/>
  <c r="E29" i="32" s="1"/>
  <c r="B58" i="24"/>
  <c r="B29" i="32" s="1"/>
  <c r="B57" i="24"/>
  <c r="B26" i="32" s="1"/>
  <c r="C17" i="36" l="1"/>
  <c r="D17"/>
  <c r="E17"/>
  <c r="B17"/>
  <c r="C168" i="24"/>
  <c r="C84" i="32" s="1"/>
  <c r="G17" i="36" s="1"/>
  <c r="D168" i="24"/>
  <c r="D84" i="32" s="1"/>
  <c r="H17" i="36" s="1"/>
  <c r="E168" i="24"/>
  <c r="E84" i="32" s="1"/>
  <c r="I17" i="36" s="1"/>
  <c r="F168" i="24"/>
  <c r="F84" i="32" s="1"/>
  <c r="J17" i="36" s="1"/>
  <c r="G168" i="24"/>
  <c r="G84" i="32" s="1"/>
  <c r="K17" i="36" s="1"/>
  <c r="B168" i="24"/>
  <c r="B84" i="32" s="1"/>
  <c r="F17" i="36" s="1"/>
  <c r="K19" i="28"/>
  <c r="J19"/>
  <c r="I19"/>
  <c r="H19"/>
  <c r="G19"/>
  <c r="F19"/>
  <c r="C19"/>
  <c r="D19"/>
  <c r="E19"/>
  <c r="B20"/>
  <c r="H20" l="1"/>
  <c r="G20"/>
  <c r="I20"/>
  <c r="E20"/>
  <c r="C20"/>
  <c r="F20"/>
  <c r="D20"/>
  <c r="K20"/>
  <c r="J20"/>
  <c r="F6" l="1"/>
  <c r="G6"/>
  <c r="H6"/>
  <c r="I6"/>
  <c r="J6"/>
  <c r="K6"/>
  <c r="K78" i="24" l="1"/>
  <c r="J78"/>
  <c r="I78"/>
  <c r="H78"/>
  <c r="G78"/>
  <c r="F78"/>
  <c r="G181"/>
  <c r="F181"/>
  <c r="E181"/>
  <c r="D181"/>
  <c r="C181"/>
  <c r="B181"/>
  <c r="G180"/>
  <c r="F180"/>
  <c r="E180"/>
  <c r="D180"/>
  <c r="C180"/>
  <c r="B180"/>
  <c r="G179"/>
  <c r="F179"/>
  <c r="E179"/>
  <c r="D179"/>
  <c r="C179"/>
  <c r="B179"/>
  <c r="G178"/>
  <c r="F178"/>
  <c r="E178"/>
  <c r="D178"/>
  <c r="C178"/>
  <c r="B178"/>
  <c r="G175"/>
  <c r="F175"/>
  <c r="E175"/>
  <c r="D175"/>
  <c r="C175"/>
  <c r="B175"/>
  <c r="G174"/>
  <c r="F174"/>
  <c r="E174"/>
  <c r="D174"/>
  <c r="C174"/>
  <c r="B174"/>
  <c r="G173"/>
  <c r="F173"/>
  <c r="E173"/>
  <c r="D173"/>
  <c r="C173"/>
  <c r="B173"/>
  <c r="G172"/>
  <c r="F172"/>
  <c r="E172"/>
  <c r="D172"/>
  <c r="C172"/>
  <c r="B172"/>
  <c r="G169"/>
  <c r="F169"/>
  <c r="E169"/>
  <c r="D169"/>
  <c r="C169"/>
  <c r="B169"/>
  <c r="G167"/>
  <c r="F167"/>
  <c r="E167"/>
  <c r="D167"/>
  <c r="C167"/>
  <c r="B167"/>
  <c r="G164"/>
  <c r="F164"/>
  <c r="E164"/>
  <c r="D164"/>
  <c r="C164"/>
  <c r="B164"/>
  <c r="G163"/>
  <c r="F163"/>
  <c r="E163"/>
  <c r="D163"/>
  <c r="C163"/>
  <c r="B163"/>
  <c r="G162"/>
  <c r="F162"/>
  <c r="E162"/>
  <c r="D162"/>
  <c r="C162"/>
  <c r="B162"/>
  <c r="B158"/>
  <c r="C159"/>
  <c r="D159"/>
  <c r="E159"/>
  <c r="F159"/>
  <c r="G159"/>
  <c r="B159"/>
  <c r="C23" i="36"/>
  <c r="D23"/>
  <c r="E23"/>
  <c r="B23"/>
  <c r="B19" i="28"/>
  <c r="D14"/>
  <c r="D16" s="1"/>
  <c r="E14"/>
  <c r="E16" s="1"/>
  <c r="C14"/>
  <c r="C16" s="1"/>
  <c r="B14"/>
  <c r="B16" s="1"/>
  <c r="B21"/>
  <c r="B18"/>
  <c r="B10"/>
  <c r="C10"/>
  <c r="D10"/>
  <c r="E10"/>
  <c r="B11"/>
  <c r="C11"/>
  <c r="D11"/>
  <c r="E11"/>
  <c r="C9"/>
  <c r="D9"/>
  <c r="E9"/>
  <c r="B9"/>
  <c r="C5" i="36" l="1"/>
  <c r="D5"/>
  <c r="E5"/>
  <c r="C6"/>
  <c r="D6"/>
  <c r="E6"/>
  <c r="C9"/>
  <c r="D9"/>
  <c r="E9"/>
  <c r="C10"/>
  <c r="D10"/>
  <c r="E10"/>
  <c r="C11"/>
  <c r="D11"/>
  <c r="E11"/>
  <c r="C12"/>
  <c r="D12"/>
  <c r="E12"/>
  <c r="C13"/>
  <c r="D13"/>
  <c r="E13"/>
  <c r="C16"/>
  <c r="D16"/>
  <c r="E16"/>
  <c r="C18"/>
  <c r="D18"/>
  <c r="E18"/>
  <c r="C22"/>
  <c r="D22"/>
  <c r="E22"/>
  <c r="C24"/>
  <c r="D24"/>
  <c r="E24"/>
  <c r="C25"/>
  <c r="D25"/>
  <c r="E25"/>
  <c r="C28"/>
  <c r="D28"/>
  <c r="E28"/>
  <c r="C29"/>
  <c r="D29"/>
  <c r="E29"/>
  <c r="C30"/>
  <c r="D30"/>
  <c r="E30"/>
  <c r="C31"/>
  <c r="D31"/>
  <c r="E31"/>
  <c r="C32"/>
  <c r="D32"/>
  <c r="E32"/>
  <c r="B29"/>
  <c r="B30"/>
  <c r="B31"/>
  <c r="B32"/>
  <c r="B25"/>
  <c r="B24"/>
  <c r="B28"/>
  <c r="B22"/>
  <c r="B18"/>
  <c r="B19"/>
  <c r="B16"/>
  <c r="B10"/>
  <c r="B11"/>
  <c r="B12"/>
  <c r="B13"/>
  <c r="B9"/>
  <c r="B6"/>
  <c r="B5"/>
  <c r="B8" i="28"/>
  <c r="C6"/>
  <c r="D6"/>
  <c r="E6"/>
  <c r="B6"/>
  <c r="C7" i="36" l="1"/>
  <c r="D7"/>
  <c r="C14"/>
  <c r="C26"/>
  <c r="B7"/>
  <c r="D26"/>
  <c r="E7"/>
  <c r="D14"/>
  <c r="B14"/>
  <c r="B20"/>
  <c r="B33"/>
  <c r="E14"/>
  <c r="E8" i="28"/>
  <c r="D18"/>
  <c r="D8"/>
  <c r="E26" i="36"/>
  <c r="E18" i="28"/>
  <c r="D33" i="36"/>
  <c r="C33"/>
  <c r="E33"/>
  <c r="C18" i="28"/>
  <c r="C8"/>
  <c r="B26" i="36"/>
  <c r="B36" l="1"/>
  <c r="C81" i="24"/>
  <c r="C6" i="30" s="1"/>
  <c r="D81" i="24"/>
  <c r="D6" i="30" s="1"/>
  <c r="E81" i="24"/>
  <c r="E6" i="30" s="1"/>
  <c r="B81" i="24"/>
  <c r="B6" i="30" s="1"/>
  <c r="K133" i="38" l="1"/>
  <c r="L133" s="1"/>
  <c r="K132"/>
  <c r="L132" s="1"/>
  <c r="I135"/>
  <c r="K5"/>
  <c r="K7"/>
  <c r="L7" s="1"/>
  <c r="M7" s="1"/>
  <c r="K8"/>
  <c r="L8" s="1"/>
  <c r="M8" s="1"/>
  <c r="K9"/>
  <c r="L9" s="1"/>
  <c r="M9" s="1"/>
  <c r="K10"/>
  <c r="L10" s="1"/>
  <c r="M10" s="1"/>
  <c r="K11"/>
  <c r="L11" s="1"/>
  <c r="M11" s="1"/>
  <c r="K12"/>
  <c r="L12" s="1"/>
  <c r="M12" s="1"/>
  <c r="K13"/>
  <c r="L13" s="1"/>
  <c r="M13" s="1"/>
  <c r="K14"/>
  <c r="L14" s="1"/>
  <c r="M14" s="1"/>
  <c r="K15"/>
  <c r="L15" s="1"/>
  <c r="M15" s="1"/>
  <c r="K16"/>
  <c r="L16" s="1"/>
  <c r="M16" s="1"/>
  <c r="K17"/>
  <c r="L17" s="1"/>
  <c r="M17" s="1"/>
  <c r="K18"/>
  <c r="L18" s="1"/>
  <c r="M18" s="1"/>
  <c r="K19"/>
  <c r="L19" s="1"/>
  <c r="M19" s="1"/>
  <c r="K20"/>
  <c r="L20" s="1"/>
  <c r="M20" s="1"/>
  <c r="K21"/>
  <c r="L21" s="1"/>
  <c r="M21" s="1"/>
  <c r="K22"/>
  <c r="L22" s="1"/>
  <c r="M22" s="1"/>
  <c r="K23"/>
  <c r="L23" s="1"/>
  <c r="M23" s="1"/>
  <c r="K24"/>
  <c r="L24" s="1"/>
  <c r="M24" s="1"/>
  <c r="K25"/>
  <c r="L25" s="1"/>
  <c r="M25" s="1"/>
  <c r="K26"/>
  <c r="L26" s="1"/>
  <c r="M26" s="1"/>
  <c r="K27"/>
  <c r="L27" s="1"/>
  <c r="M27" s="1"/>
  <c r="N27" s="1"/>
  <c r="K28"/>
  <c r="L28" s="1"/>
  <c r="M28" s="1"/>
  <c r="K29"/>
  <c r="L29" s="1"/>
  <c r="K30"/>
  <c r="L30" s="1"/>
  <c r="K31"/>
  <c r="L31" s="1"/>
  <c r="M31" s="1"/>
  <c r="K32"/>
  <c r="L32" s="1"/>
  <c r="K33"/>
  <c r="L33" s="1"/>
  <c r="K34"/>
  <c r="L34" s="1"/>
  <c r="K35"/>
  <c r="L35" s="1"/>
  <c r="K36"/>
  <c r="L36" s="1"/>
  <c r="K37"/>
  <c r="L37" s="1"/>
  <c r="M37" s="1"/>
  <c r="K38"/>
  <c r="L38" s="1"/>
  <c r="K39"/>
  <c r="L39" s="1"/>
  <c r="M39" s="1"/>
  <c r="K40"/>
  <c r="L40" s="1"/>
  <c r="K41"/>
  <c r="L41" s="1"/>
  <c r="M41" s="1"/>
  <c r="K42"/>
  <c r="L42" s="1"/>
  <c r="K43"/>
  <c r="L43" s="1"/>
  <c r="M43" s="1"/>
  <c r="K44"/>
  <c r="L44" s="1"/>
  <c r="K45"/>
  <c r="L45" s="1"/>
  <c r="M45" s="1"/>
  <c r="K46"/>
  <c r="L46" s="1"/>
  <c r="K47"/>
  <c r="L47" s="1"/>
  <c r="M47" s="1"/>
  <c r="K48"/>
  <c r="L48" s="1"/>
  <c r="K49"/>
  <c r="L49" s="1"/>
  <c r="M49" s="1"/>
  <c r="K50"/>
  <c r="L50" s="1"/>
  <c r="K51"/>
  <c r="L51" s="1"/>
  <c r="M51" s="1"/>
  <c r="K52"/>
  <c r="L52" s="1"/>
  <c r="K53"/>
  <c r="L53" s="1"/>
  <c r="K54"/>
  <c r="L54" s="1"/>
  <c r="M54" s="1"/>
  <c r="N54" s="1"/>
  <c r="K55"/>
  <c r="L55" s="1"/>
  <c r="M55" s="1"/>
  <c r="N55" s="1"/>
  <c r="K56"/>
  <c r="L56" s="1"/>
  <c r="K57"/>
  <c r="L57" s="1"/>
  <c r="M57" s="1"/>
  <c r="K58"/>
  <c r="L58" s="1"/>
  <c r="M58" s="1"/>
  <c r="N58" s="1"/>
  <c r="K59"/>
  <c r="L59" s="1"/>
  <c r="M59" s="1"/>
  <c r="N59" s="1"/>
  <c r="K60"/>
  <c r="L60" s="1"/>
  <c r="K61"/>
  <c r="L61" s="1"/>
  <c r="K62"/>
  <c r="L62" s="1"/>
  <c r="M62" s="1"/>
  <c r="N62" s="1"/>
  <c r="K63"/>
  <c r="L63" s="1"/>
  <c r="M63" s="1"/>
  <c r="N63" s="1"/>
  <c r="K64"/>
  <c r="L64" s="1"/>
  <c r="K65"/>
  <c r="L65" s="1"/>
  <c r="M65" s="1"/>
  <c r="K66"/>
  <c r="L66" s="1"/>
  <c r="M66" s="1"/>
  <c r="N66" s="1"/>
  <c r="K67"/>
  <c r="L67" s="1"/>
  <c r="M67" s="1"/>
  <c r="N67" s="1"/>
  <c r="K68"/>
  <c r="L68" s="1"/>
  <c r="M68" s="1"/>
  <c r="K69"/>
  <c r="L69" s="1"/>
  <c r="M69" s="1"/>
  <c r="K70"/>
  <c r="L70" s="1"/>
  <c r="M70" s="1"/>
  <c r="K71"/>
  <c r="L71" s="1"/>
  <c r="M71" s="1"/>
  <c r="K72"/>
  <c r="L72" s="1"/>
  <c r="M72" s="1"/>
  <c r="K73"/>
  <c r="L73" s="1"/>
  <c r="M73" s="1"/>
  <c r="K74"/>
  <c r="L74" s="1"/>
  <c r="M74" s="1"/>
  <c r="K75"/>
  <c r="L75" s="1"/>
  <c r="M75" s="1"/>
  <c r="K76"/>
  <c r="L76" s="1"/>
  <c r="M76" s="1"/>
  <c r="K77"/>
  <c r="L77" s="1"/>
  <c r="M77" s="1"/>
  <c r="K78"/>
  <c r="L78" s="1"/>
  <c r="M78" s="1"/>
  <c r="K79"/>
  <c r="L79" s="1"/>
  <c r="M79" s="1"/>
  <c r="N79" s="1"/>
  <c r="O79" s="1"/>
  <c r="K80"/>
  <c r="L80" s="1"/>
  <c r="K81"/>
  <c r="L81" s="1"/>
  <c r="M81" s="1"/>
  <c r="K82"/>
  <c r="L82" s="1"/>
  <c r="K83"/>
  <c r="L83" s="1"/>
  <c r="M83" s="1"/>
  <c r="K84"/>
  <c r="L84" s="1"/>
  <c r="K85"/>
  <c r="L85" s="1"/>
  <c r="M85" s="1"/>
  <c r="N85" s="1"/>
  <c r="O85" s="1"/>
  <c r="K86"/>
  <c r="L86" s="1"/>
  <c r="K87"/>
  <c r="L87" s="1"/>
  <c r="M87" s="1"/>
  <c r="K88"/>
  <c r="L88" s="1"/>
  <c r="K89"/>
  <c r="L89" s="1"/>
  <c r="M89" s="1"/>
  <c r="K90"/>
  <c r="L90" s="1"/>
  <c r="M90" s="1"/>
  <c r="K91"/>
  <c r="L91" s="1"/>
  <c r="M91" s="1"/>
  <c r="K92"/>
  <c r="L92" s="1"/>
  <c r="M92" s="1"/>
  <c r="K93"/>
  <c r="L93" s="1"/>
  <c r="M93" s="1"/>
  <c r="K94"/>
  <c r="L94" s="1"/>
  <c r="M94" s="1"/>
  <c r="K95"/>
  <c r="L95" s="1"/>
  <c r="M95" s="1"/>
  <c r="K96"/>
  <c r="L96" s="1"/>
  <c r="M96" s="1"/>
  <c r="K97"/>
  <c r="L97" s="1"/>
  <c r="M97" s="1"/>
  <c r="K98"/>
  <c r="L98" s="1"/>
  <c r="M98" s="1"/>
  <c r="K99"/>
  <c r="L99" s="1"/>
  <c r="M99" s="1"/>
  <c r="K100"/>
  <c r="L100" s="1"/>
  <c r="M100" s="1"/>
  <c r="K101"/>
  <c r="L101" s="1"/>
  <c r="M101" s="1"/>
  <c r="K102"/>
  <c r="L102" s="1"/>
  <c r="M102" s="1"/>
  <c r="K103"/>
  <c r="L103" s="1"/>
  <c r="M103" s="1"/>
  <c r="K104"/>
  <c r="L104" s="1"/>
  <c r="M104" s="1"/>
  <c r="K105"/>
  <c r="L105" s="1"/>
  <c r="M105" s="1"/>
  <c r="K106"/>
  <c r="L106" s="1"/>
  <c r="M106" s="1"/>
  <c r="K107"/>
  <c r="L107" s="1"/>
  <c r="M107" s="1"/>
  <c r="K108"/>
  <c r="L108" s="1"/>
  <c r="M108" s="1"/>
  <c r="K109"/>
  <c r="L109" s="1"/>
  <c r="M109" s="1"/>
  <c r="K110"/>
  <c r="L110" s="1"/>
  <c r="M110" s="1"/>
  <c r="K111"/>
  <c r="L111" s="1"/>
  <c r="M111" s="1"/>
  <c r="K112"/>
  <c r="L112" s="1"/>
  <c r="M112" s="1"/>
  <c r="K113"/>
  <c r="L113" s="1"/>
  <c r="M113" s="1"/>
  <c r="K114"/>
  <c r="L114" s="1"/>
  <c r="M114" s="1"/>
  <c r="K115"/>
  <c r="L115" s="1"/>
  <c r="M115" s="1"/>
  <c r="K116"/>
  <c r="L116" s="1"/>
  <c r="M116" s="1"/>
  <c r="K117"/>
  <c r="L117" s="1"/>
  <c r="M117" s="1"/>
  <c r="K118"/>
  <c r="L118" s="1"/>
  <c r="M118" s="1"/>
  <c r="K119"/>
  <c r="L119" s="1"/>
  <c r="M119" s="1"/>
  <c r="K120"/>
  <c r="L120" s="1"/>
  <c r="M120" s="1"/>
  <c r="K121"/>
  <c r="L121" s="1"/>
  <c r="M121" s="1"/>
  <c r="K122"/>
  <c r="L122" s="1"/>
  <c r="M122" s="1"/>
  <c r="K123"/>
  <c r="L123" s="1"/>
  <c r="M123" s="1"/>
  <c r="K124"/>
  <c r="L124" s="1"/>
  <c r="M124" s="1"/>
  <c r="K125"/>
  <c r="L125" s="1"/>
  <c r="M125" s="1"/>
  <c r="K126"/>
  <c r="L126" s="1"/>
  <c r="M126" s="1"/>
  <c r="K127"/>
  <c r="L127" s="1"/>
  <c r="M127" s="1"/>
  <c r="K128"/>
  <c r="L128" s="1"/>
  <c r="M128" s="1"/>
  <c r="K129"/>
  <c r="L129" s="1"/>
  <c r="M129" s="1"/>
  <c r="K6"/>
  <c r="L6" s="1"/>
  <c r="M6" s="1"/>
  <c r="J131"/>
  <c r="J135" s="1"/>
  <c r="H131"/>
  <c r="K131" s="1"/>
  <c r="L131" s="1"/>
  <c r="M133" l="1"/>
  <c r="N133" s="1"/>
  <c r="M132"/>
  <c r="N132" s="1"/>
  <c r="M131"/>
  <c r="N131" s="1"/>
  <c r="K135"/>
  <c r="M35"/>
  <c r="N35" s="1"/>
  <c r="H135"/>
  <c r="M60"/>
  <c r="N60" s="1"/>
  <c r="O60" s="1"/>
  <c r="P60" s="1"/>
  <c r="M52"/>
  <c r="N52" s="1"/>
  <c r="O52" s="1"/>
  <c r="P52" s="1"/>
  <c r="N25"/>
  <c r="M56"/>
  <c r="N56" s="1"/>
  <c r="M53"/>
  <c r="N53" s="1"/>
  <c r="O53" s="1"/>
  <c r="P53" s="1"/>
  <c r="M64"/>
  <c r="N64" s="1"/>
  <c r="M61"/>
  <c r="N61" s="1"/>
  <c r="O61" s="1"/>
  <c r="P61" s="1"/>
  <c r="N83"/>
  <c r="O83" s="1"/>
  <c r="N81"/>
  <c r="O81" s="1"/>
  <c r="N65"/>
  <c r="N57"/>
  <c r="O57" s="1"/>
  <c r="P57" s="1"/>
  <c r="N31"/>
  <c r="O31" s="1"/>
  <c r="P31" s="1"/>
  <c r="N23"/>
  <c r="O23" s="1"/>
  <c r="P23" s="1"/>
  <c r="L5"/>
  <c r="L135" s="1"/>
  <c r="M82"/>
  <c r="N82" s="1"/>
  <c r="O67"/>
  <c r="P67"/>
  <c r="O65"/>
  <c r="P65" s="1"/>
  <c r="O63"/>
  <c r="P63" s="1"/>
  <c r="O59"/>
  <c r="P59" s="1"/>
  <c r="O55"/>
  <c r="P55" s="1"/>
  <c r="N128"/>
  <c r="N126"/>
  <c r="N124"/>
  <c r="N122"/>
  <c r="N120"/>
  <c r="N118"/>
  <c r="N116"/>
  <c r="N114"/>
  <c r="P85"/>
  <c r="M80"/>
  <c r="N80" s="1"/>
  <c r="N87"/>
  <c r="M86"/>
  <c r="N86" s="1"/>
  <c r="O66"/>
  <c r="P66" s="1"/>
  <c r="O62"/>
  <c r="P62" s="1"/>
  <c r="O58"/>
  <c r="P58" s="1"/>
  <c r="O54"/>
  <c r="P54" s="1"/>
  <c r="N129"/>
  <c r="N127"/>
  <c r="N125"/>
  <c r="N123"/>
  <c r="N121"/>
  <c r="N119"/>
  <c r="N117"/>
  <c r="N115"/>
  <c r="N113"/>
  <c r="N112"/>
  <c r="N111"/>
  <c r="N110"/>
  <c r="N109"/>
  <c r="N108"/>
  <c r="N107"/>
  <c r="N106"/>
  <c r="N105"/>
  <c r="N104"/>
  <c r="N103"/>
  <c r="N102"/>
  <c r="N101"/>
  <c r="N100"/>
  <c r="N99"/>
  <c r="N98"/>
  <c r="N97"/>
  <c r="N96"/>
  <c r="N95"/>
  <c r="N94"/>
  <c r="N93"/>
  <c r="N92"/>
  <c r="N91"/>
  <c r="N90"/>
  <c r="N89"/>
  <c r="M88"/>
  <c r="N88" s="1"/>
  <c r="M84"/>
  <c r="N84" s="1"/>
  <c r="P79"/>
  <c r="M50"/>
  <c r="N50" s="1"/>
  <c r="M48"/>
  <c r="N48" s="1"/>
  <c r="M46"/>
  <c r="N46" s="1"/>
  <c r="M44"/>
  <c r="N44" s="1"/>
  <c r="M42"/>
  <c r="N42" s="1"/>
  <c r="M40"/>
  <c r="N40" s="1"/>
  <c r="M38"/>
  <c r="N38" s="1"/>
  <c r="M36"/>
  <c r="N36" s="1"/>
  <c r="M29"/>
  <c r="N29" s="1"/>
  <c r="N78"/>
  <c r="N77"/>
  <c r="N76"/>
  <c r="N75"/>
  <c r="N74"/>
  <c r="N73"/>
  <c r="N72"/>
  <c r="N71"/>
  <c r="N70"/>
  <c r="N69"/>
  <c r="N68"/>
  <c r="N51"/>
  <c r="M34"/>
  <c r="N34" s="1"/>
  <c r="O27"/>
  <c r="P27" s="1"/>
  <c r="N49"/>
  <c r="N47"/>
  <c r="N45"/>
  <c r="N43"/>
  <c r="N41"/>
  <c r="N39"/>
  <c r="N37"/>
  <c r="M32"/>
  <c r="N32" s="1"/>
  <c r="M30"/>
  <c r="N30" s="1"/>
  <c r="O25"/>
  <c r="P25" s="1"/>
  <c r="M33"/>
  <c r="N33" s="1"/>
  <c r="N28"/>
  <c r="N26"/>
  <c r="N24"/>
  <c r="N22"/>
  <c r="N21"/>
  <c r="N20"/>
  <c r="N19"/>
  <c r="N18"/>
  <c r="N17"/>
  <c r="N16"/>
  <c r="N15"/>
  <c r="N14"/>
  <c r="N13"/>
  <c r="N12"/>
  <c r="N11"/>
  <c r="N10"/>
  <c r="N9"/>
  <c r="N8"/>
  <c r="N7"/>
  <c r="N6"/>
  <c r="O6" s="1"/>
  <c r="P81" l="1"/>
  <c r="P83"/>
  <c r="O133"/>
  <c r="P133" s="1"/>
  <c r="O132"/>
  <c r="P132" s="1"/>
  <c r="O131"/>
  <c r="P131" s="1"/>
  <c r="O35"/>
  <c r="P35" s="1"/>
  <c r="Q35" s="1"/>
  <c r="R35" s="1"/>
  <c r="O64"/>
  <c r="P64" s="1"/>
  <c r="O56"/>
  <c r="P56" s="1"/>
  <c r="M5"/>
  <c r="O33"/>
  <c r="P33"/>
  <c r="O34"/>
  <c r="P34" s="1"/>
  <c r="O48"/>
  <c r="P48" s="1"/>
  <c r="O84"/>
  <c r="P84" s="1"/>
  <c r="Q65"/>
  <c r="R65" s="1"/>
  <c r="Q23"/>
  <c r="R23"/>
  <c r="O44"/>
  <c r="P44" s="1"/>
  <c r="O88"/>
  <c r="P88" s="1"/>
  <c r="O86"/>
  <c r="P86" s="1"/>
  <c r="Q61"/>
  <c r="R61" s="1"/>
  <c r="Q60"/>
  <c r="R60" s="1"/>
  <c r="Q62"/>
  <c r="R62" s="1"/>
  <c r="Q57"/>
  <c r="R57" s="1"/>
  <c r="O32"/>
  <c r="P32" s="1"/>
  <c r="O40"/>
  <c r="P40" s="1"/>
  <c r="Q27"/>
  <c r="R27" s="1"/>
  <c r="O36"/>
  <c r="P36" s="1"/>
  <c r="Q52"/>
  <c r="R52" s="1"/>
  <c r="Q54"/>
  <c r="R54" s="1"/>
  <c r="O80"/>
  <c r="P80" s="1"/>
  <c r="Q53"/>
  <c r="R53" s="1"/>
  <c r="O82"/>
  <c r="P82" s="1"/>
  <c r="O16"/>
  <c r="P16" s="1"/>
  <c r="O30"/>
  <c r="P30" s="1"/>
  <c r="O75"/>
  <c r="P75" s="1"/>
  <c r="O46"/>
  <c r="P46" s="1"/>
  <c r="O100"/>
  <c r="P100" s="1"/>
  <c r="O108"/>
  <c r="P108"/>
  <c r="O119"/>
  <c r="P119" s="1"/>
  <c r="Q58"/>
  <c r="R58" s="1"/>
  <c r="O87"/>
  <c r="P87"/>
  <c r="O122"/>
  <c r="P122" s="1"/>
  <c r="Q55"/>
  <c r="R55" s="1"/>
  <c r="Q67"/>
  <c r="R67" s="1"/>
  <c r="O9"/>
  <c r="P9" s="1"/>
  <c r="O13"/>
  <c r="P13" s="1"/>
  <c r="O17"/>
  <c r="P17" s="1"/>
  <c r="O21"/>
  <c r="P21" s="1"/>
  <c r="O28"/>
  <c r="P28" s="1"/>
  <c r="O37"/>
  <c r="P37" s="1"/>
  <c r="O45"/>
  <c r="P45" s="1"/>
  <c r="O68"/>
  <c r="P68" s="1"/>
  <c r="O72"/>
  <c r="P72" s="1"/>
  <c r="O76"/>
  <c r="P76" s="1"/>
  <c r="O89"/>
  <c r="P89" s="1"/>
  <c r="O93"/>
  <c r="P93" s="1"/>
  <c r="O97"/>
  <c r="P97" s="1"/>
  <c r="O101"/>
  <c r="P101" s="1"/>
  <c r="O105"/>
  <c r="P105" s="1"/>
  <c r="O109"/>
  <c r="P109" s="1"/>
  <c r="O113"/>
  <c r="P113" s="1"/>
  <c r="O121"/>
  <c r="P121" s="1"/>
  <c r="O129"/>
  <c r="P129" s="1"/>
  <c r="O116"/>
  <c r="P116" s="1"/>
  <c r="O124"/>
  <c r="P124" s="1"/>
  <c r="O12"/>
  <c r="P12" s="1"/>
  <c r="O26"/>
  <c r="P26" s="1"/>
  <c r="O51"/>
  <c r="P51" s="1"/>
  <c r="O29"/>
  <c r="P29" s="1"/>
  <c r="O42"/>
  <c r="P42" s="1"/>
  <c r="Q83"/>
  <c r="R83" s="1"/>
  <c r="O96"/>
  <c r="P96" s="1"/>
  <c r="O104"/>
  <c r="P104" s="1"/>
  <c r="O112"/>
  <c r="P112" s="1"/>
  <c r="O127"/>
  <c r="P127" s="1"/>
  <c r="Q66"/>
  <c r="R66" s="1"/>
  <c r="O114"/>
  <c r="P114" s="1"/>
  <c r="Q31"/>
  <c r="R31" s="1"/>
  <c r="Q59"/>
  <c r="R59" s="1"/>
  <c r="Q63"/>
  <c r="R63" s="1"/>
  <c r="O10"/>
  <c r="P10" s="1"/>
  <c r="O14"/>
  <c r="P14" s="1"/>
  <c r="O18"/>
  <c r="P18" s="1"/>
  <c r="O22"/>
  <c r="P22" s="1"/>
  <c r="O39"/>
  <c r="P39" s="1"/>
  <c r="O47"/>
  <c r="P47" s="1"/>
  <c r="O69"/>
  <c r="P69" s="1"/>
  <c r="O73"/>
  <c r="P73" s="1"/>
  <c r="O77"/>
  <c r="P77"/>
  <c r="Q79"/>
  <c r="R79" s="1"/>
  <c r="O90"/>
  <c r="P90" s="1"/>
  <c r="O94"/>
  <c r="P94" s="1"/>
  <c r="O98"/>
  <c r="P98" s="1"/>
  <c r="O102"/>
  <c r="P102" s="1"/>
  <c r="O106"/>
  <c r="P106" s="1"/>
  <c r="O110"/>
  <c r="P110" s="1"/>
  <c r="O115"/>
  <c r="P115" s="1"/>
  <c r="O123"/>
  <c r="P123" s="1"/>
  <c r="O118"/>
  <c r="P118" s="1"/>
  <c r="O126"/>
  <c r="P126" s="1"/>
  <c r="O8"/>
  <c r="P8" s="1"/>
  <c r="O20"/>
  <c r="P20" s="1"/>
  <c r="O43"/>
  <c r="P43" s="1"/>
  <c r="O71"/>
  <c r="P71" s="1"/>
  <c r="O38"/>
  <c r="P38" s="1"/>
  <c r="O50"/>
  <c r="P50" s="1"/>
  <c r="O92"/>
  <c r="P92" s="1"/>
  <c r="O7"/>
  <c r="P7" s="1"/>
  <c r="O11"/>
  <c r="P11" s="1"/>
  <c r="O15"/>
  <c r="P15" s="1"/>
  <c r="O19"/>
  <c r="P19" s="1"/>
  <c r="O24"/>
  <c r="P24" s="1"/>
  <c r="Q25"/>
  <c r="R25" s="1"/>
  <c r="O41"/>
  <c r="P41" s="1"/>
  <c r="O49"/>
  <c r="P49" s="1"/>
  <c r="O70"/>
  <c r="P70" s="1"/>
  <c r="O74"/>
  <c r="P74" s="1"/>
  <c r="O78"/>
  <c r="P78" s="1"/>
  <c r="Q81"/>
  <c r="R81" s="1"/>
  <c r="O91"/>
  <c r="P91" s="1"/>
  <c r="O95"/>
  <c r="P95" s="1"/>
  <c r="O99"/>
  <c r="P99" s="1"/>
  <c r="O103"/>
  <c r="P103" s="1"/>
  <c r="O107"/>
  <c r="P107" s="1"/>
  <c r="O111"/>
  <c r="P111" s="1"/>
  <c r="O117"/>
  <c r="P117" s="1"/>
  <c r="O125"/>
  <c r="P125" s="1"/>
  <c r="Q85"/>
  <c r="R85" s="1"/>
  <c r="O120"/>
  <c r="P120" s="1"/>
  <c r="O128"/>
  <c r="P128" s="1"/>
  <c r="P6"/>
  <c r="Q6" s="1"/>
  <c r="Q133" l="1"/>
  <c r="R133" s="1"/>
  <c r="Q132"/>
  <c r="R132" s="1"/>
  <c r="Q131"/>
  <c r="R131" s="1"/>
  <c r="M135"/>
  <c r="Q56"/>
  <c r="R56" s="1"/>
  <c r="S56" s="1"/>
  <c r="T56" s="1"/>
  <c r="Q64"/>
  <c r="R64" s="1"/>
  <c r="N5"/>
  <c r="N135" s="1"/>
  <c r="Q120"/>
  <c r="R120" s="1"/>
  <c r="Q43"/>
  <c r="R43" s="1"/>
  <c r="Q115"/>
  <c r="R115" s="1"/>
  <c r="Q124"/>
  <c r="R124" s="1"/>
  <c r="Q113"/>
  <c r="R113" s="1"/>
  <c r="Q37"/>
  <c r="R37" s="1"/>
  <c r="Q82"/>
  <c r="R82" s="1"/>
  <c r="Q36"/>
  <c r="R36" s="1"/>
  <c r="Q49"/>
  <c r="R49" s="1"/>
  <c r="Q24"/>
  <c r="R24" s="1"/>
  <c r="Q38"/>
  <c r="R38" s="1"/>
  <c r="Q126"/>
  <c r="R126" s="1"/>
  <c r="Q47"/>
  <c r="R47" s="1"/>
  <c r="Q26"/>
  <c r="R26" s="1"/>
  <c r="Q116"/>
  <c r="R116"/>
  <c r="Q28"/>
  <c r="R28" s="1"/>
  <c r="Q30"/>
  <c r="R30" s="1"/>
  <c r="Q44"/>
  <c r="R44" s="1"/>
  <c r="Q50"/>
  <c r="R50" s="1"/>
  <c r="Q118"/>
  <c r="R118" s="1"/>
  <c r="Q39"/>
  <c r="R39" s="1"/>
  <c r="Q42"/>
  <c r="R42" s="1"/>
  <c r="Q129"/>
  <c r="R129" s="1"/>
  <c r="Q122"/>
  <c r="R122" s="1"/>
  <c r="Q46"/>
  <c r="R46" s="1"/>
  <c r="Q86"/>
  <c r="R86" s="1"/>
  <c r="Q84"/>
  <c r="R84" s="1"/>
  <c r="Q117"/>
  <c r="R117" s="1"/>
  <c r="Q114"/>
  <c r="R114" s="1"/>
  <c r="Q41"/>
  <c r="R41" s="1"/>
  <c r="Q128"/>
  <c r="R128" s="1"/>
  <c r="Q125"/>
  <c r="R125" s="1"/>
  <c r="Q123"/>
  <c r="R123" s="1"/>
  <c r="Q22"/>
  <c r="R22" s="1"/>
  <c r="Q127"/>
  <c r="R127" s="1"/>
  <c r="Q121"/>
  <c r="R121" s="1"/>
  <c r="Q45"/>
  <c r="R45" s="1"/>
  <c r="Q119"/>
  <c r="R119" s="1"/>
  <c r="Q80"/>
  <c r="R80" s="1"/>
  <c r="Q40"/>
  <c r="R40" s="1"/>
  <c r="Q48"/>
  <c r="R48" s="1"/>
  <c r="Q95"/>
  <c r="R95" s="1"/>
  <c r="S25"/>
  <c r="T25" s="1"/>
  <c r="Q92"/>
  <c r="R92" s="1"/>
  <c r="Q90"/>
  <c r="R90" s="1"/>
  <c r="S59"/>
  <c r="T59" s="1"/>
  <c r="Q104"/>
  <c r="R104" s="1"/>
  <c r="Q105"/>
  <c r="R105" s="1"/>
  <c r="Q72"/>
  <c r="R72" s="1"/>
  <c r="Q17"/>
  <c r="R17" s="1"/>
  <c r="Q87"/>
  <c r="R87" s="1"/>
  <c r="Q100"/>
  <c r="R100" s="1"/>
  <c r="S27"/>
  <c r="T27" s="1"/>
  <c r="Q32"/>
  <c r="R32"/>
  <c r="S62"/>
  <c r="T62" s="1"/>
  <c r="S61"/>
  <c r="T61" s="1"/>
  <c r="Q88"/>
  <c r="R88" s="1"/>
  <c r="S23"/>
  <c r="T23" s="1"/>
  <c r="Q34"/>
  <c r="R34" s="1"/>
  <c r="Q103"/>
  <c r="R103" s="1"/>
  <c r="Q74"/>
  <c r="R74" s="1"/>
  <c r="Q19"/>
  <c r="R19" s="1"/>
  <c r="Q8"/>
  <c r="R8" s="1"/>
  <c r="Q106"/>
  <c r="R106" s="1"/>
  <c r="Q77"/>
  <c r="R77" s="1"/>
  <c r="Q18"/>
  <c r="R18" s="1"/>
  <c r="S83"/>
  <c r="T83" s="1"/>
  <c r="Q97"/>
  <c r="R97" s="1"/>
  <c r="Q91"/>
  <c r="R91" s="1"/>
  <c r="Q70"/>
  <c r="R70" s="1"/>
  <c r="Q7"/>
  <c r="R7" s="1"/>
  <c r="Q71"/>
  <c r="R71" s="1"/>
  <c r="Q20"/>
  <c r="R20" s="1"/>
  <c r="Q110"/>
  <c r="R110" s="1"/>
  <c r="Q102"/>
  <c r="R102" s="1"/>
  <c r="Q94"/>
  <c r="R94" s="1"/>
  <c r="S79"/>
  <c r="T79" s="1"/>
  <c r="Q73"/>
  <c r="R73" s="1"/>
  <c r="Q14"/>
  <c r="R14" s="1"/>
  <c r="S63"/>
  <c r="T63" s="1"/>
  <c r="S31"/>
  <c r="T31" s="1"/>
  <c r="S66"/>
  <c r="T66" s="1"/>
  <c r="Q112"/>
  <c r="R112" s="1"/>
  <c r="Q96"/>
  <c r="R96"/>
  <c r="Q29"/>
  <c r="R29" s="1"/>
  <c r="S35"/>
  <c r="T35" s="1"/>
  <c r="Q12"/>
  <c r="R12"/>
  <c r="Q109"/>
  <c r="R109"/>
  <c r="Q101"/>
  <c r="R101"/>
  <c r="Q93"/>
  <c r="R93"/>
  <c r="Q76"/>
  <c r="R76"/>
  <c r="Q68"/>
  <c r="R68"/>
  <c r="Q21"/>
  <c r="R21"/>
  <c r="Q13"/>
  <c r="R13"/>
  <c r="S67"/>
  <c r="T67"/>
  <c r="S58"/>
  <c r="T58" s="1"/>
  <c r="Q108"/>
  <c r="R108"/>
  <c r="Q75"/>
  <c r="R75" s="1"/>
  <c r="Q16"/>
  <c r="R16"/>
  <c r="S53"/>
  <c r="T53"/>
  <c r="S54"/>
  <c r="T54"/>
  <c r="S57"/>
  <c r="T57"/>
  <c r="S60"/>
  <c r="T60"/>
  <c r="S65"/>
  <c r="T65"/>
  <c r="Q33"/>
  <c r="R33"/>
  <c r="Q111"/>
  <c r="R111" s="1"/>
  <c r="S81"/>
  <c r="T81" s="1"/>
  <c r="Q11"/>
  <c r="R11" s="1"/>
  <c r="Q98"/>
  <c r="R98"/>
  <c r="Q69"/>
  <c r="R69" s="1"/>
  <c r="Q10"/>
  <c r="R10" s="1"/>
  <c r="Q51"/>
  <c r="R51" s="1"/>
  <c r="Q89"/>
  <c r="R89" s="1"/>
  <c r="Q9"/>
  <c r="R9" s="1"/>
  <c r="S55"/>
  <c r="T55" s="1"/>
  <c r="S52"/>
  <c r="T52" s="1"/>
  <c r="S85"/>
  <c r="T85" s="1"/>
  <c r="Q107"/>
  <c r="R107" s="1"/>
  <c r="Q99"/>
  <c r="R99" s="1"/>
  <c r="Q78"/>
  <c r="R78" s="1"/>
  <c r="Q15"/>
  <c r="R15" s="1"/>
  <c r="R6"/>
  <c r="S6" s="1"/>
  <c r="S133" l="1"/>
  <c r="T133" s="1"/>
  <c r="S132"/>
  <c r="T132" s="1"/>
  <c r="S131"/>
  <c r="T131" s="1"/>
  <c r="K138"/>
  <c r="S64"/>
  <c r="T64" s="1"/>
  <c r="U64" s="1"/>
  <c r="V64" s="1"/>
  <c r="W64" s="1"/>
  <c r="X64" s="1"/>
  <c r="O5"/>
  <c r="U31"/>
  <c r="V31" s="1"/>
  <c r="W31" s="1"/>
  <c r="X31" s="1"/>
  <c r="U27"/>
  <c r="V27" s="1"/>
  <c r="W27" s="1"/>
  <c r="X27" s="1"/>
  <c r="U35"/>
  <c r="V35" s="1"/>
  <c r="W35" s="1"/>
  <c r="X35" s="1"/>
  <c r="U83"/>
  <c r="V83" s="1"/>
  <c r="W83" s="1"/>
  <c r="X83" s="1"/>
  <c r="U81"/>
  <c r="V81" s="1"/>
  <c r="W81" s="1"/>
  <c r="X81" s="1"/>
  <c r="U79"/>
  <c r="V79" s="1"/>
  <c r="W79" s="1"/>
  <c r="X79" s="1"/>
  <c r="U23"/>
  <c r="V23" s="1"/>
  <c r="W23" s="1"/>
  <c r="X23" s="1"/>
  <c r="U25"/>
  <c r="V25" s="1"/>
  <c r="W25" s="1"/>
  <c r="X25" s="1"/>
  <c r="U52"/>
  <c r="V52" s="1"/>
  <c r="W52" s="1"/>
  <c r="X52" s="1"/>
  <c r="S51"/>
  <c r="T51" s="1"/>
  <c r="S11"/>
  <c r="T11" s="1"/>
  <c r="U53"/>
  <c r="V53" s="1"/>
  <c r="W53" s="1"/>
  <c r="X53" s="1"/>
  <c r="U67"/>
  <c r="V67" s="1"/>
  <c r="W67" s="1"/>
  <c r="X67" s="1"/>
  <c r="S101"/>
  <c r="T101" s="1"/>
  <c r="S12"/>
  <c r="T12" s="1"/>
  <c r="U66"/>
  <c r="V66" s="1"/>
  <c r="W66" s="1"/>
  <c r="X66" s="1"/>
  <c r="S94"/>
  <c r="T94" s="1"/>
  <c r="S97"/>
  <c r="T97" s="1"/>
  <c r="S103"/>
  <c r="T103" s="1"/>
  <c r="S32"/>
  <c r="T32" s="1"/>
  <c r="S17"/>
  <c r="T17" s="1"/>
  <c r="S92"/>
  <c r="T92" s="1"/>
  <c r="S40"/>
  <c r="T40" s="1"/>
  <c r="S121"/>
  <c r="T121" s="1"/>
  <c r="S125"/>
  <c r="T125" s="1"/>
  <c r="S117"/>
  <c r="T117" s="1"/>
  <c r="S122"/>
  <c r="T122" s="1"/>
  <c r="S42"/>
  <c r="T42" s="1"/>
  <c r="S118"/>
  <c r="T118" s="1"/>
  <c r="S28"/>
  <c r="T28" s="1"/>
  <c r="S26"/>
  <c r="T26" s="1"/>
  <c r="S126"/>
  <c r="T126" s="1"/>
  <c r="S24"/>
  <c r="T24" s="1"/>
  <c r="S36"/>
  <c r="T36" s="1"/>
  <c r="S37"/>
  <c r="T37" s="1"/>
  <c r="S124"/>
  <c r="T124" s="1"/>
  <c r="S43"/>
  <c r="T43" s="1"/>
  <c r="S78"/>
  <c r="T78" s="1"/>
  <c r="S69"/>
  <c r="T69" s="1"/>
  <c r="U65"/>
  <c r="V65" s="1"/>
  <c r="W65" s="1"/>
  <c r="X65" s="1"/>
  <c r="S75"/>
  <c r="T75" s="1"/>
  <c r="S76"/>
  <c r="T76" s="1"/>
  <c r="S96"/>
  <c r="T96" s="1"/>
  <c r="S73"/>
  <c r="T73" s="1"/>
  <c r="S71"/>
  <c r="T71" s="1"/>
  <c r="S18"/>
  <c r="T18"/>
  <c r="S19"/>
  <c r="T19" s="1"/>
  <c r="S105"/>
  <c r="T105" s="1"/>
  <c r="S41"/>
  <c r="T41" s="1"/>
  <c r="S15"/>
  <c r="T15" s="1"/>
  <c r="U85"/>
  <c r="V85" s="1"/>
  <c r="W85" s="1"/>
  <c r="X85" s="1"/>
  <c r="S10"/>
  <c r="T10" s="1"/>
  <c r="U60"/>
  <c r="V60" s="1"/>
  <c r="W60" s="1"/>
  <c r="X60" s="1"/>
  <c r="S16"/>
  <c r="T16" s="1"/>
  <c r="U58"/>
  <c r="V58" s="1"/>
  <c r="W58" s="1"/>
  <c r="X58" s="1"/>
  <c r="S13"/>
  <c r="T13" s="1"/>
  <c r="S68"/>
  <c r="T68" s="1"/>
  <c r="S93"/>
  <c r="T93" s="1"/>
  <c r="S109"/>
  <c r="T109" s="1"/>
  <c r="U56"/>
  <c r="V56" s="1"/>
  <c r="W56" s="1"/>
  <c r="X56" s="1"/>
  <c r="S112"/>
  <c r="T112" s="1"/>
  <c r="S14"/>
  <c r="T14" s="1"/>
  <c r="S102"/>
  <c r="T102" s="1"/>
  <c r="S20"/>
  <c r="T20" s="1"/>
  <c r="S7"/>
  <c r="T7" s="1"/>
  <c r="S91"/>
  <c r="T91" s="1"/>
  <c r="S77"/>
  <c r="T77" s="1"/>
  <c r="S8"/>
  <c r="T8" s="1"/>
  <c r="S74"/>
  <c r="T74"/>
  <c r="S34"/>
  <c r="T34" s="1"/>
  <c r="S88"/>
  <c r="T88" s="1"/>
  <c r="U62"/>
  <c r="V62" s="1"/>
  <c r="W62" s="1"/>
  <c r="X62" s="1"/>
  <c r="S87"/>
  <c r="T87" s="1"/>
  <c r="S72"/>
  <c r="T72" s="1"/>
  <c r="S104"/>
  <c r="T104" s="1"/>
  <c r="S90"/>
  <c r="T90" s="1"/>
  <c r="S48"/>
  <c r="T48" s="1"/>
  <c r="S80"/>
  <c r="T80" s="1"/>
  <c r="S45"/>
  <c r="T45" s="1"/>
  <c r="S127"/>
  <c r="T127" s="1"/>
  <c r="S123"/>
  <c r="T123" s="1"/>
  <c r="S128"/>
  <c r="T128" s="1"/>
  <c r="S114"/>
  <c r="T114" s="1"/>
  <c r="S84"/>
  <c r="T84" s="1"/>
  <c r="S46"/>
  <c r="T46" s="1"/>
  <c r="S129"/>
  <c r="T129" s="1"/>
  <c r="S39"/>
  <c r="T39" s="1"/>
  <c r="S50"/>
  <c r="T50" s="1"/>
  <c r="S30"/>
  <c r="T30" s="1"/>
  <c r="S116"/>
  <c r="T116" s="1"/>
  <c r="S47"/>
  <c r="T47" s="1"/>
  <c r="S38"/>
  <c r="T38" s="1"/>
  <c r="S49"/>
  <c r="T49" s="1"/>
  <c r="S82"/>
  <c r="T82" s="1"/>
  <c r="S113"/>
  <c r="T113" s="1"/>
  <c r="S115"/>
  <c r="T115" s="1"/>
  <c r="S120"/>
  <c r="T120" s="1"/>
  <c r="S107"/>
  <c r="T107" s="1"/>
  <c r="S9"/>
  <c r="T9"/>
  <c r="S111"/>
  <c r="T111" s="1"/>
  <c r="U57"/>
  <c r="V57" s="1"/>
  <c r="W57" s="1"/>
  <c r="X57" s="1"/>
  <c r="S108"/>
  <c r="T108" s="1"/>
  <c r="S21"/>
  <c r="T21" s="1"/>
  <c r="S29"/>
  <c r="T29" s="1"/>
  <c r="U63"/>
  <c r="V63" s="1"/>
  <c r="W63" s="1"/>
  <c r="X63" s="1"/>
  <c r="S110"/>
  <c r="T110" s="1"/>
  <c r="S70"/>
  <c r="T70"/>
  <c r="S106"/>
  <c r="T106" s="1"/>
  <c r="U61"/>
  <c r="V61" s="1"/>
  <c r="W61" s="1"/>
  <c r="X61" s="1"/>
  <c r="S100"/>
  <c r="T100" s="1"/>
  <c r="U59"/>
  <c r="V59" s="1"/>
  <c r="W59" s="1"/>
  <c r="X59" s="1"/>
  <c r="S95"/>
  <c r="T95" s="1"/>
  <c r="S119"/>
  <c r="T119" s="1"/>
  <c r="S22"/>
  <c r="T22" s="1"/>
  <c r="S86"/>
  <c r="T86" s="1"/>
  <c r="S44"/>
  <c r="T44" s="1"/>
  <c r="S99"/>
  <c r="T99" s="1"/>
  <c r="U55"/>
  <c r="V55" s="1"/>
  <c r="W55" s="1"/>
  <c r="X55" s="1"/>
  <c r="S89"/>
  <c r="T89" s="1"/>
  <c r="S98"/>
  <c r="T98" s="1"/>
  <c r="S33"/>
  <c r="T33" s="1"/>
  <c r="U54"/>
  <c r="V54" s="1"/>
  <c r="W54" s="1"/>
  <c r="X54" s="1"/>
  <c r="T6"/>
  <c r="U6" s="1"/>
  <c r="U133" l="1"/>
  <c r="V133" s="1"/>
  <c r="U132"/>
  <c r="V132" s="1"/>
  <c r="U131"/>
  <c r="V131" s="1"/>
  <c r="O135"/>
  <c r="P5"/>
  <c r="P135" s="1"/>
  <c r="U44"/>
  <c r="V44" s="1"/>
  <c r="W44" s="1"/>
  <c r="X44" s="1"/>
  <c r="U115"/>
  <c r="V115" s="1"/>
  <c r="W115" s="1"/>
  <c r="X115" s="1"/>
  <c r="U46"/>
  <c r="V46" s="1"/>
  <c r="W46" s="1"/>
  <c r="X46" s="1"/>
  <c r="U123"/>
  <c r="V123" s="1"/>
  <c r="W123" s="1"/>
  <c r="X123" s="1"/>
  <c r="U48"/>
  <c r="V48" s="1"/>
  <c r="W48" s="1"/>
  <c r="X48" s="1"/>
  <c r="U43"/>
  <c r="V43" s="1"/>
  <c r="W43" s="1"/>
  <c r="X43" s="1"/>
  <c r="U24"/>
  <c r="V24"/>
  <c r="W24" s="1"/>
  <c r="X24" s="1"/>
  <c r="U117"/>
  <c r="V117" s="1"/>
  <c r="W117" s="1"/>
  <c r="X117" s="1"/>
  <c r="U113"/>
  <c r="V113" s="1"/>
  <c r="W113" s="1"/>
  <c r="X113" s="1"/>
  <c r="U47"/>
  <c r="V47" s="1"/>
  <c r="W47" s="1"/>
  <c r="X47" s="1"/>
  <c r="U50"/>
  <c r="V50" s="1"/>
  <c r="W50" s="1"/>
  <c r="X50" s="1"/>
  <c r="U84"/>
  <c r="V84" s="1"/>
  <c r="W84" s="1"/>
  <c r="X84" s="1"/>
  <c r="U127"/>
  <c r="V127" s="1"/>
  <c r="W127" s="1"/>
  <c r="X127" s="1"/>
  <c r="U124"/>
  <c r="V124" s="1"/>
  <c r="W124" s="1"/>
  <c r="X124" s="1"/>
  <c r="U126"/>
  <c r="V126" s="1"/>
  <c r="W126" s="1"/>
  <c r="X126" s="1"/>
  <c r="U118"/>
  <c r="V118" s="1"/>
  <c r="W118" s="1"/>
  <c r="X118" s="1"/>
  <c r="U125"/>
  <c r="V125" s="1"/>
  <c r="W125" s="1"/>
  <c r="X125" s="1"/>
  <c r="U38"/>
  <c r="V38" s="1"/>
  <c r="W38" s="1"/>
  <c r="X38" s="1"/>
  <c r="U82"/>
  <c r="V82" s="1"/>
  <c r="W82" s="1"/>
  <c r="X82" s="1"/>
  <c r="U39"/>
  <c r="V39" s="1"/>
  <c r="W39" s="1"/>
  <c r="X39" s="1"/>
  <c r="U114"/>
  <c r="V114" s="1"/>
  <c r="W114" s="1"/>
  <c r="X114" s="1"/>
  <c r="U45"/>
  <c r="V45" s="1"/>
  <c r="W45" s="1"/>
  <c r="X45" s="1"/>
  <c r="U41"/>
  <c r="V41"/>
  <c r="W41" s="1"/>
  <c r="X41" s="1"/>
  <c r="U37"/>
  <c r="V37" s="1"/>
  <c r="W37" s="1"/>
  <c r="X37" s="1"/>
  <c r="U26"/>
  <c r="V26" s="1"/>
  <c r="W26" s="1"/>
  <c r="X26" s="1"/>
  <c r="U42"/>
  <c r="V42" s="1"/>
  <c r="W42" s="1"/>
  <c r="X42" s="1"/>
  <c r="U121"/>
  <c r="V121" s="1"/>
  <c r="W121" s="1"/>
  <c r="X121" s="1"/>
  <c r="U119"/>
  <c r="V119" s="1"/>
  <c r="W119" s="1"/>
  <c r="X119" s="1"/>
  <c r="U116"/>
  <c r="V116" s="1"/>
  <c r="W116" s="1"/>
  <c r="X116" s="1"/>
  <c r="U22"/>
  <c r="V22" s="1"/>
  <c r="W22" s="1"/>
  <c r="X22" s="1"/>
  <c r="U120"/>
  <c r="V120" s="1"/>
  <c r="W120" s="1"/>
  <c r="X120" s="1"/>
  <c r="U49"/>
  <c r="V49" s="1"/>
  <c r="W49" s="1"/>
  <c r="X49" s="1"/>
  <c r="U129"/>
  <c r="V129" s="1"/>
  <c r="W129" s="1"/>
  <c r="X129" s="1"/>
  <c r="U128"/>
  <c r="V128" s="1"/>
  <c r="W128" s="1"/>
  <c r="X128" s="1"/>
  <c r="U80"/>
  <c r="V80" s="1"/>
  <c r="W80" s="1"/>
  <c r="X80" s="1"/>
  <c r="U87"/>
  <c r="V87" s="1"/>
  <c r="W87" s="1"/>
  <c r="X87" s="1"/>
  <c r="U78"/>
  <c r="V78" s="1"/>
  <c r="W78" s="1"/>
  <c r="X78" s="1"/>
  <c r="U36"/>
  <c r="V36" s="1"/>
  <c r="W36" s="1"/>
  <c r="X36" s="1"/>
  <c r="U122"/>
  <c r="V122"/>
  <c r="W122" s="1"/>
  <c r="X122" s="1"/>
  <c r="U40"/>
  <c r="V40" s="1"/>
  <c r="W40" s="1"/>
  <c r="X40" s="1"/>
  <c r="U95"/>
  <c r="V95" s="1"/>
  <c r="W95" s="1"/>
  <c r="X95" s="1"/>
  <c r="U110"/>
  <c r="V110" s="1"/>
  <c r="W110" s="1"/>
  <c r="X110" s="1"/>
  <c r="U111"/>
  <c r="V111" s="1"/>
  <c r="W111" s="1"/>
  <c r="X111" s="1"/>
  <c r="U72"/>
  <c r="V72" s="1"/>
  <c r="W72" s="1"/>
  <c r="X72" s="1"/>
  <c r="U8"/>
  <c r="V8" s="1"/>
  <c r="W8" s="1"/>
  <c r="X8" s="1"/>
  <c r="U14"/>
  <c r="V14" s="1"/>
  <c r="W14" s="1"/>
  <c r="X14" s="1"/>
  <c r="U10"/>
  <c r="V10" s="1"/>
  <c r="W10" s="1"/>
  <c r="X10" s="1"/>
  <c r="U15"/>
  <c r="V15" s="1"/>
  <c r="W15" s="1"/>
  <c r="X15" s="1"/>
  <c r="U18"/>
  <c r="V18" s="1"/>
  <c r="W18" s="1"/>
  <c r="X18" s="1"/>
  <c r="U76"/>
  <c r="V76" s="1"/>
  <c r="W76" s="1"/>
  <c r="X76" s="1"/>
  <c r="U28"/>
  <c r="V28" s="1"/>
  <c r="W28" s="1"/>
  <c r="X28" s="1"/>
  <c r="U92"/>
  <c r="V92" s="1"/>
  <c r="W92" s="1"/>
  <c r="X92" s="1"/>
  <c r="U32"/>
  <c r="V32" s="1"/>
  <c r="W32" s="1"/>
  <c r="X32" s="1"/>
  <c r="U97"/>
  <c r="V97" s="1"/>
  <c r="W97" s="1"/>
  <c r="X97" s="1"/>
  <c r="U101"/>
  <c r="V101" s="1"/>
  <c r="W101" s="1"/>
  <c r="X101" s="1"/>
  <c r="U51"/>
  <c r="V51" s="1"/>
  <c r="W51" s="1"/>
  <c r="X51" s="1"/>
  <c r="U106"/>
  <c r="V106" s="1"/>
  <c r="W106" s="1"/>
  <c r="X106" s="1"/>
  <c r="U108"/>
  <c r="V108" s="1"/>
  <c r="W108" s="1"/>
  <c r="X108" s="1"/>
  <c r="U91"/>
  <c r="V91" s="1"/>
  <c r="W91" s="1"/>
  <c r="X91" s="1"/>
  <c r="U13"/>
  <c r="V13" s="1"/>
  <c r="W13" s="1"/>
  <c r="X13" s="1"/>
  <c r="U99"/>
  <c r="V99" s="1"/>
  <c r="W99" s="1"/>
  <c r="X99" s="1"/>
  <c r="U70"/>
  <c r="V70" s="1"/>
  <c r="W70" s="1"/>
  <c r="X70" s="1"/>
  <c r="U21"/>
  <c r="V21" s="1"/>
  <c r="W21" s="1"/>
  <c r="X21" s="1"/>
  <c r="U9"/>
  <c r="V9" s="1"/>
  <c r="W9" s="1"/>
  <c r="X9" s="1"/>
  <c r="U30"/>
  <c r="V30" s="1"/>
  <c r="W30" s="1"/>
  <c r="X30" s="1"/>
  <c r="U104"/>
  <c r="V104" s="1"/>
  <c r="W104" s="1"/>
  <c r="X104" s="1"/>
  <c r="U88"/>
  <c r="V88" s="1"/>
  <c r="W88" s="1"/>
  <c r="X88" s="1"/>
  <c r="U74"/>
  <c r="V74" s="1"/>
  <c r="W74" s="1"/>
  <c r="X74" s="1"/>
  <c r="U77"/>
  <c r="V77" s="1"/>
  <c r="W77" s="1"/>
  <c r="X77" s="1"/>
  <c r="U7"/>
  <c r="V7" s="1"/>
  <c r="W7" s="1"/>
  <c r="X7" s="1"/>
  <c r="U102"/>
  <c r="V102"/>
  <c r="W102" s="1"/>
  <c r="X102" s="1"/>
  <c r="U112"/>
  <c r="V112" s="1"/>
  <c r="W112" s="1"/>
  <c r="X112" s="1"/>
  <c r="U109"/>
  <c r="V109" s="1"/>
  <c r="W109" s="1"/>
  <c r="X109" s="1"/>
  <c r="U68"/>
  <c r="V68" s="1"/>
  <c r="W68" s="1"/>
  <c r="X68" s="1"/>
  <c r="U19"/>
  <c r="V19" s="1"/>
  <c r="W19" s="1"/>
  <c r="X19" s="1"/>
  <c r="U71"/>
  <c r="V71" s="1"/>
  <c r="W71" s="1"/>
  <c r="X71" s="1"/>
  <c r="U96"/>
  <c r="V96" s="1"/>
  <c r="W96" s="1"/>
  <c r="X96" s="1"/>
  <c r="U75"/>
  <c r="V75" s="1"/>
  <c r="W75" s="1"/>
  <c r="X75" s="1"/>
  <c r="U69"/>
  <c r="V69" s="1"/>
  <c r="W69" s="1"/>
  <c r="X69" s="1"/>
  <c r="U17"/>
  <c r="V17" s="1"/>
  <c r="W17" s="1"/>
  <c r="X17" s="1"/>
  <c r="U103"/>
  <c r="V103" s="1"/>
  <c r="W103" s="1"/>
  <c r="X103" s="1"/>
  <c r="U94"/>
  <c r="V94" s="1"/>
  <c r="W94" s="1"/>
  <c r="X94" s="1"/>
  <c r="U12"/>
  <c r="V12" s="1"/>
  <c r="W12" s="1"/>
  <c r="X12" s="1"/>
  <c r="U11"/>
  <c r="V11" s="1"/>
  <c r="W11" s="1"/>
  <c r="X11" s="1"/>
  <c r="U98"/>
  <c r="V98" s="1"/>
  <c r="W98" s="1"/>
  <c r="X98" s="1"/>
  <c r="U100"/>
  <c r="V100" s="1"/>
  <c r="W100" s="1"/>
  <c r="X100" s="1"/>
  <c r="U29"/>
  <c r="V29"/>
  <c r="W29" s="1"/>
  <c r="X29" s="1"/>
  <c r="U107"/>
  <c r="V107" s="1"/>
  <c r="W107" s="1"/>
  <c r="X107" s="1"/>
  <c r="U90"/>
  <c r="V90" s="1"/>
  <c r="W90" s="1"/>
  <c r="X90" s="1"/>
  <c r="U34"/>
  <c r="V34" s="1"/>
  <c r="W34" s="1"/>
  <c r="X34" s="1"/>
  <c r="U20"/>
  <c r="V20" s="1"/>
  <c r="W20" s="1"/>
  <c r="X20" s="1"/>
  <c r="U93"/>
  <c r="V93" s="1"/>
  <c r="W93" s="1"/>
  <c r="X93" s="1"/>
  <c r="U16"/>
  <c r="V16" s="1"/>
  <c r="W16" s="1"/>
  <c r="X16" s="1"/>
  <c r="U105"/>
  <c r="V105" s="1"/>
  <c r="W105" s="1"/>
  <c r="X105" s="1"/>
  <c r="U73"/>
  <c r="V73" s="1"/>
  <c r="W73" s="1"/>
  <c r="X73" s="1"/>
  <c r="U33"/>
  <c r="V33" s="1"/>
  <c r="W33" s="1"/>
  <c r="X33" s="1"/>
  <c r="U89"/>
  <c r="V89" s="1"/>
  <c r="W89" s="1"/>
  <c r="X89" s="1"/>
  <c r="U86"/>
  <c r="V86" s="1"/>
  <c r="W86" s="1"/>
  <c r="X86" s="1"/>
  <c r="V6"/>
  <c r="W6" s="1"/>
  <c r="X6" s="1"/>
  <c r="W133" l="1"/>
  <c r="X133" s="1"/>
  <c r="W132"/>
  <c r="X132" s="1"/>
  <c r="W131"/>
  <c r="X131" s="1"/>
  <c r="L138"/>
  <c r="Q5"/>
  <c r="Q135" l="1"/>
  <c r="R5"/>
  <c r="R135" s="1"/>
  <c r="M138" l="1"/>
  <c r="S5"/>
  <c r="S135" l="1"/>
  <c r="T5"/>
  <c r="N138" l="1"/>
  <c r="U5"/>
  <c r="T135"/>
  <c r="V5"/>
  <c r="W5" l="1"/>
  <c r="W135" s="1"/>
  <c r="V135"/>
  <c r="U135"/>
  <c r="O138" s="1"/>
  <c r="X5" l="1"/>
  <c r="X135" s="1"/>
  <c r="P138"/>
  <c r="P71" i="37" l="1"/>
  <c r="O71"/>
  <c r="N71"/>
  <c r="M71"/>
  <c r="L71"/>
  <c r="L70"/>
  <c r="AP43"/>
  <c r="AO43"/>
  <c r="AN43"/>
  <c r="AM43"/>
  <c r="AL43"/>
  <c r="AK43"/>
  <c r="AJ43"/>
  <c r="AI43"/>
  <c r="AH43"/>
  <c r="AG43"/>
  <c r="AF43"/>
  <c r="AE43"/>
  <c r="AD43"/>
  <c r="AC43"/>
  <c r="AB43"/>
  <c r="AA43"/>
  <c r="Z43"/>
  <c r="Y43"/>
  <c r="X43"/>
  <c r="W43"/>
  <c r="V43"/>
  <c r="U43"/>
  <c r="T43"/>
  <c r="S43"/>
  <c r="R43"/>
  <c r="Q43"/>
  <c r="P43"/>
  <c r="O43"/>
  <c r="N43"/>
  <c r="M43"/>
  <c r="L43"/>
  <c r="K43"/>
  <c r="J43"/>
  <c r="I43"/>
  <c r="H43"/>
  <c r="G43"/>
  <c r="F43"/>
  <c r="E43"/>
  <c r="D43"/>
  <c r="C43"/>
  <c r="Y6"/>
  <c r="X6"/>
  <c r="W6"/>
  <c r="V6"/>
  <c r="U6"/>
  <c r="T6"/>
  <c r="S6"/>
  <c r="R6"/>
  <c r="Q6"/>
  <c r="P6"/>
  <c r="O6"/>
  <c r="N6"/>
  <c r="M6"/>
  <c r="L6"/>
  <c r="K6"/>
  <c r="J6"/>
  <c r="I6"/>
  <c r="H6"/>
  <c r="G6"/>
  <c r="F6"/>
  <c r="E6"/>
  <c r="D6"/>
  <c r="C6"/>
  <c r="L73" l="1"/>
  <c r="M70" s="1"/>
  <c r="E113" i="24"/>
  <c r="E112"/>
  <c r="E110"/>
  <c r="E108"/>
  <c r="E107"/>
  <c r="E106"/>
  <c r="E105"/>
  <c r="E104"/>
  <c r="E102"/>
  <c r="E101"/>
  <c r="E100"/>
  <c r="E99"/>
  <c r="E98"/>
  <c r="E97"/>
  <c r="E96"/>
  <c r="E95"/>
  <c r="E93"/>
  <c r="E92"/>
  <c r="E91"/>
  <c r="E90"/>
  <c r="E89"/>
  <c r="E88"/>
  <c r="E87"/>
  <c r="E86"/>
  <c r="E78"/>
  <c r="E75"/>
  <c r="E14" i="30" s="1"/>
  <c r="E5" i="28" s="1"/>
  <c r="E74" i="24"/>
  <c r="E23" i="30" s="1"/>
  <c r="E73" i="24"/>
  <c r="E72"/>
  <c r="E18" i="30" s="1"/>
  <c r="E71" i="24"/>
  <c r="E70"/>
  <c r="E69"/>
  <c r="E68"/>
  <c r="E5" i="30" s="1"/>
  <c r="E67" i="24"/>
  <c r="E4" i="30" s="1"/>
  <c r="D113" i="24"/>
  <c r="D112"/>
  <c r="D110"/>
  <c r="D108"/>
  <c r="D107"/>
  <c r="D106"/>
  <c r="D105"/>
  <c r="D104"/>
  <c r="D102"/>
  <c r="D101"/>
  <c r="D100"/>
  <c r="D99"/>
  <c r="D98"/>
  <c r="D97"/>
  <c r="D96"/>
  <c r="D95"/>
  <c r="D93"/>
  <c r="D92"/>
  <c r="D91"/>
  <c r="D90"/>
  <c r="D89"/>
  <c r="D88"/>
  <c r="D87"/>
  <c r="D86"/>
  <c r="D78"/>
  <c r="D75"/>
  <c r="D14" i="30" s="1"/>
  <c r="D5" i="28" s="1"/>
  <c r="D74" i="24"/>
  <c r="D23" i="30" s="1"/>
  <c r="D73" i="24"/>
  <c r="D72"/>
  <c r="D18" i="30" s="1"/>
  <c r="D71" i="24"/>
  <c r="D70"/>
  <c r="D69"/>
  <c r="D68"/>
  <c r="D5" i="30" s="1"/>
  <c r="D67" i="24"/>
  <c r="D4" i="30" s="1"/>
  <c r="C113" i="24"/>
  <c r="C112"/>
  <c r="C110"/>
  <c r="C108"/>
  <c r="C107"/>
  <c r="C106"/>
  <c r="C105"/>
  <c r="C104"/>
  <c r="C102"/>
  <c r="C101"/>
  <c r="C100"/>
  <c r="C99"/>
  <c r="C98"/>
  <c r="C97"/>
  <c r="C96"/>
  <c r="C95"/>
  <c r="C93"/>
  <c r="C92"/>
  <c r="C91"/>
  <c r="C90"/>
  <c r="C89"/>
  <c r="C88"/>
  <c r="C87"/>
  <c r="C86"/>
  <c r="C78"/>
  <c r="C75"/>
  <c r="C14" i="30" s="1"/>
  <c r="C5" i="28" s="1"/>
  <c r="C74" i="24"/>
  <c r="C23" i="30" s="1"/>
  <c r="C73" i="24"/>
  <c r="C72"/>
  <c r="C18" i="30" s="1"/>
  <c r="C71" i="24"/>
  <c r="C70"/>
  <c r="C69"/>
  <c r="C68"/>
  <c r="C5" i="30" s="1"/>
  <c r="C67" i="24"/>
  <c r="C4" i="30" s="1"/>
  <c r="B113" i="24"/>
  <c r="B112"/>
  <c r="B110"/>
  <c r="B108"/>
  <c r="B107"/>
  <c r="B106"/>
  <c r="B105"/>
  <c r="B104"/>
  <c r="B102"/>
  <c r="B101"/>
  <c r="B100"/>
  <c r="B99"/>
  <c r="B98"/>
  <c r="B97"/>
  <c r="B96"/>
  <c r="B95"/>
  <c r="B93"/>
  <c r="B92"/>
  <c r="B91"/>
  <c r="B90"/>
  <c r="B89"/>
  <c r="B88"/>
  <c r="B87"/>
  <c r="B86"/>
  <c r="B78"/>
  <c r="B75"/>
  <c r="B14" i="30" s="1"/>
  <c r="B5" i="28" s="1"/>
  <c r="B74" i="24"/>
  <c r="B23" i="30" s="1"/>
  <c r="B73" i="24"/>
  <c r="B72"/>
  <c r="B18" i="30" s="1"/>
  <c r="B71" i="24"/>
  <c r="B70"/>
  <c r="B69"/>
  <c r="B68"/>
  <c r="B5" i="30" s="1"/>
  <c r="B67" i="24"/>
  <c r="B4" i="30" s="1"/>
  <c r="E63" i="24"/>
  <c r="E62"/>
  <c r="E61"/>
  <c r="E54"/>
  <c r="E51"/>
  <c r="E50"/>
  <c r="E47"/>
  <c r="E46"/>
  <c r="E45"/>
  <c r="E44"/>
  <c r="E41"/>
  <c r="E38"/>
  <c r="E37"/>
  <c r="E36"/>
  <c r="E35"/>
  <c r="E34"/>
  <c r="E33"/>
  <c r="E30"/>
  <c r="E29"/>
  <c r="E28"/>
  <c r="D63"/>
  <c r="D62"/>
  <c r="D61"/>
  <c r="D54"/>
  <c r="D51"/>
  <c r="D50"/>
  <c r="D47"/>
  <c r="D46"/>
  <c r="D45"/>
  <c r="D44"/>
  <c r="D41"/>
  <c r="D38"/>
  <c r="D37"/>
  <c r="D36"/>
  <c r="D35"/>
  <c r="D34"/>
  <c r="D33"/>
  <c r="D30"/>
  <c r="D29"/>
  <c r="D28"/>
  <c r="C63"/>
  <c r="C62"/>
  <c r="C61"/>
  <c r="C54"/>
  <c r="C51"/>
  <c r="C50"/>
  <c r="C47"/>
  <c r="C46"/>
  <c r="C45"/>
  <c r="C44"/>
  <c r="C41"/>
  <c r="C38"/>
  <c r="C37"/>
  <c r="C36"/>
  <c r="C35"/>
  <c r="C34"/>
  <c r="C33"/>
  <c r="C30"/>
  <c r="C29"/>
  <c r="C28"/>
  <c r="B63"/>
  <c r="B62"/>
  <c r="B61"/>
  <c r="B54"/>
  <c r="B51"/>
  <c r="B50"/>
  <c r="B47"/>
  <c r="B46"/>
  <c r="B45"/>
  <c r="B44"/>
  <c r="B41"/>
  <c r="B38"/>
  <c r="B37"/>
  <c r="B36"/>
  <c r="B35"/>
  <c r="B34"/>
  <c r="B33"/>
  <c r="B30"/>
  <c r="B29"/>
  <c r="B28"/>
  <c r="E24"/>
  <c r="E23"/>
  <c r="E22"/>
  <c r="E21"/>
  <c r="E20"/>
  <c r="E19"/>
  <c r="E18"/>
  <c r="E17"/>
  <c r="E16"/>
  <c r="D24"/>
  <c r="D23"/>
  <c r="D22"/>
  <c r="D21"/>
  <c r="D20"/>
  <c r="D19"/>
  <c r="D18"/>
  <c r="D17"/>
  <c r="D16"/>
  <c r="C24"/>
  <c r="C23"/>
  <c r="C22"/>
  <c r="C21"/>
  <c r="C20"/>
  <c r="C19"/>
  <c r="C18"/>
  <c r="C17"/>
  <c r="C16"/>
  <c r="B24"/>
  <c r="B23"/>
  <c r="B22"/>
  <c r="B21"/>
  <c r="B20"/>
  <c r="B19"/>
  <c r="B18"/>
  <c r="B17"/>
  <c r="B16"/>
  <c r="D7" i="30" l="1"/>
  <c r="E7"/>
  <c r="C7"/>
  <c r="B7"/>
  <c r="E15"/>
  <c r="E44" i="32"/>
  <c r="C15" i="30"/>
  <c r="D19"/>
  <c r="C19"/>
  <c r="B19"/>
  <c r="D15"/>
  <c r="E19"/>
  <c r="B15"/>
  <c r="L74" i="37"/>
  <c r="G97" s="1"/>
  <c r="M73"/>
  <c r="N70" s="1"/>
  <c r="E16" i="30" l="1"/>
  <c r="E22" s="1"/>
  <c r="E24" s="1"/>
  <c r="C16"/>
  <c r="C22" s="1"/>
  <c r="E20" i="35"/>
  <c r="E4" i="28"/>
  <c r="E7" s="1"/>
  <c r="E12" s="1"/>
  <c r="E22" s="1"/>
  <c r="D16" i="30"/>
  <c r="D22" s="1"/>
  <c r="B16"/>
  <c r="B22" s="1"/>
  <c r="M74" i="37"/>
  <c r="H97" s="1"/>
  <c r="N73"/>
  <c r="O70" s="1"/>
  <c r="B4" i="24"/>
  <c r="E19" i="35" l="1"/>
  <c r="E4"/>
  <c r="C4" i="28"/>
  <c r="C7" s="1"/>
  <c r="C12" s="1"/>
  <c r="C22" s="1"/>
  <c r="B19" i="35"/>
  <c r="C4"/>
  <c r="C19"/>
  <c r="C20"/>
  <c r="C24" i="30"/>
  <c r="C19" i="36" s="1"/>
  <c r="C20" s="1"/>
  <c r="D20" i="35"/>
  <c r="D19"/>
  <c r="B20"/>
  <c r="B4" i="28"/>
  <c r="B7" s="1"/>
  <c r="B12" s="1"/>
  <c r="B22" s="1"/>
  <c r="B4" i="35"/>
  <c r="D4" i="28"/>
  <c r="D7" s="1"/>
  <c r="D12" s="1"/>
  <c r="D22" s="1"/>
  <c r="D4" i="35"/>
  <c r="D24" i="30"/>
  <c r="N74" i="37"/>
  <c r="I97" s="1"/>
  <c r="O73"/>
  <c r="P70" s="1"/>
  <c r="C2" i="24"/>
  <c r="C7" s="1"/>
  <c r="D2"/>
  <c r="D7" s="1"/>
  <c r="E2"/>
  <c r="E7" s="1"/>
  <c r="F2"/>
  <c r="G2"/>
  <c r="H2"/>
  <c r="I2"/>
  <c r="J2"/>
  <c r="B2"/>
  <c r="B7" s="1"/>
  <c r="D19" i="36" l="1"/>
  <c r="E19" s="1"/>
  <c r="B23" i="28"/>
  <c r="C21" s="1"/>
  <c r="C23" s="1"/>
  <c r="D21" s="1"/>
  <c r="D23" s="1"/>
  <c r="E21" s="1"/>
  <c r="C5" i="35"/>
  <c r="G7" i="24"/>
  <c r="C17" i="33" s="1"/>
  <c r="C186" i="24"/>
  <c r="F7"/>
  <c r="B17" i="33" s="1"/>
  <c r="B186" i="24"/>
  <c r="H7"/>
  <c r="D17" i="33" s="1"/>
  <c r="D186" i="24"/>
  <c r="I7"/>
  <c r="E17" i="33" s="1"/>
  <c r="E186" i="24"/>
  <c r="B24" i="30"/>
  <c r="B5" i="35"/>
  <c r="P73" i="37"/>
  <c r="P74" s="1"/>
  <c r="K97" s="1"/>
  <c r="O74"/>
  <c r="J97" s="1"/>
  <c r="B23" i="32"/>
  <c r="E23"/>
  <c r="D23"/>
  <c r="C23"/>
  <c r="K2" i="24"/>
  <c r="J7"/>
  <c r="F186" l="1"/>
  <c r="F14" i="28" s="1"/>
  <c r="F16" s="1"/>
  <c r="F17" i="33"/>
  <c r="F57" i="24"/>
  <c r="F26" i="32" s="1"/>
  <c r="F54" i="24"/>
  <c r="F23" i="32" s="1"/>
  <c r="F10" i="33" s="1"/>
  <c r="F58" i="24"/>
  <c r="F29" i="32" s="1"/>
  <c r="D20" i="36"/>
  <c r="D5" i="35" s="1"/>
  <c r="E10" i="33"/>
  <c r="B10"/>
  <c r="E20" i="36"/>
  <c r="E23" i="28"/>
  <c r="F21" s="1"/>
  <c r="C10" i="33"/>
  <c r="D10"/>
  <c r="F81" i="24"/>
  <c r="F6" i="30" s="1"/>
  <c r="H148" i="38"/>
  <c r="H142"/>
  <c r="F110" i="24"/>
  <c r="F105"/>
  <c r="F100"/>
  <c r="F96"/>
  <c r="F91"/>
  <c r="F87"/>
  <c r="F5" i="30" s="1"/>
  <c r="F113" i="24"/>
  <c r="F108"/>
  <c r="F104"/>
  <c r="F99"/>
  <c r="F95"/>
  <c r="F90"/>
  <c r="F86"/>
  <c r="F112"/>
  <c r="F101"/>
  <c r="F92"/>
  <c r="F62"/>
  <c r="F47"/>
  <c r="F41"/>
  <c r="F35"/>
  <c r="F29"/>
  <c r="F22"/>
  <c r="F18"/>
  <c r="F63"/>
  <c r="F107"/>
  <c r="F98"/>
  <c r="F89"/>
  <c r="F61"/>
  <c r="F46"/>
  <c r="F38"/>
  <c r="F34"/>
  <c r="F28"/>
  <c r="F21"/>
  <c r="F17"/>
  <c r="F93"/>
  <c r="F106"/>
  <c r="F97"/>
  <c r="F88"/>
  <c r="F51"/>
  <c r="F45"/>
  <c r="F37"/>
  <c r="F33"/>
  <c r="F24"/>
  <c r="F20"/>
  <c r="F16"/>
  <c r="F102"/>
  <c r="F50"/>
  <c r="F23"/>
  <c r="F44"/>
  <c r="F19"/>
  <c r="F30"/>
  <c r="F36"/>
  <c r="B98" i="32"/>
  <c r="F29" i="36" s="1"/>
  <c r="B91" i="32"/>
  <c r="B83"/>
  <c r="F16" i="36" s="1"/>
  <c r="B76" i="32"/>
  <c r="F10" i="36" s="1"/>
  <c r="B85" i="32"/>
  <c r="F18" i="36" s="1"/>
  <c r="B101" i="32"/>
  <c r="F32" i="36" s="1"/>
  <c r="B90" i="32"/>
  <c r="F22" i="36" s="1"/>
  <c r="B92" i="32"/>
  <c r="F24" i="36" s="1"/>
  <c r="B100" i="32"/>
  <c r="F31" i="36" s="1"/>
  <c r="B93" i="32"/>
  <c r="F25" i="36" s="1"/>
  <c r="B71" i="32"/>
  <c r="F6" i="36" s="1"/>
  <c r="B99" i="32"/>
  <c r="F30" i="36" s="1"/>
  <c r="B77" i="32"/>
  <c r="F11" i="36" s="1"/>
  <c r="C12" i="33"/>
  <c r="B12"/>
  <c r="E12"/>
  <c r="D12"/>
  <c r="L2" i="24"/>
  <c r="K7"/>
  <c r="I188" s="1"/>
  <c r="B8"/>
  <c r="F63" i="32" l="1"/>
  <c r="G186" i="24"/>
  <c r="G187"/>
  <c r="G57"/>
  <c r="G26" i="32" s="1"/>
  <c r="G58" i="24"/>
  <c r="G29" i="32" s="1"/>
  <c r="G54" i="24"/>
  <c r="G23" i="32" s="1"/>
  <c r="G10" i="33" s="1"/>
  <c r="E5" i="35"/>
  <c r="F23" i="36"/>
  <c r="F19" i="30"/>
  <c r="B78" i="32"/>
  <c r="F12" i="36"/>
  <c r="G81" i="24"/>
  <c r="G6" i="30" s="1"/>
  <c r="S142" i="38"/>
  <c r="T142" s="1"/>
  <c r="M142"/>
  <c r="I142"/>
  <c r="O142"/>
  <c r="P142" s="1"/>
  <c r="K142"/>
  <c r="L142" s="1"/>
  <c r="Q142"/>
  <c r="R142" s="1"/>
  <c r="H143"/>
  <c r="H149"/>
  <c r="Q148"/>
  <c r="R148" s="1"/>
  <c r="M148"/>
  <c r="N148" s="1"/>
  <c r="S148"/>
  <c r="T148" s="1"/>
  <c r="I148"/>
  <c r="J148" s="1"/>
  <c r="O148"/>
  <c r="P148" s="1"/>
  <c r="K148"/>
  <c r="L148" s="1"/>
  <c r="F12" i="33"/>
  <c r="G113" i="24"/>
  <c r="G107"/>
  <c r="G102"/>
  <c r="G112"/>
  <c r="G106"/>
  <c r="G101"/>
  <c r="G97"/>
  <c r="G92"/>
  <c r="G88"/>
  <c r="G110"/>
  <c r="G105"/>
  <c r="G100"/>
  <c r="G96"/>
  <c r="G91"/>
  <c r="G87"/>
  <c r="G5" i="30" s="1"/>
  <c r="G104" i="24"/>
  <c r="G93"/>
  <c r="G47"/>
  <c r="G41"/>
  <c r="G35"/>
  <c r="G29"/>
  <c r="G22"/>
  <c r="G18"/>
  <c r="G50"/>
  <c r="G30"/>
  <c r="G99"/>
  <c r="G90"/>
  <c r="G61"/>
  <c r="G46"/>
  <c r="G38"/>
  <c r="G34"/>
  <c r="G28"/>
  <c r="G21"/>
  <c r="G17"/>
  <c r="G108"/>
  <c r="G86"/>
  <c r="G44"/>
  <c r="G23"/>
  <c r="G98"/>
  <c r="G89"/>
  <c r="G51"/>
  <c r="G45"/>
  <c r="G37"/>
  <c r="G33"/>
  <c r="G24"/>
  <c r="G20"/>
  <c r="G16"/>
  <c r="G95"/>
  <c r="G36"/>
  <c r="G19"/>
  <c r="C91" i="32"/>
  <c r="C98"/>
  <c r="G29" i="36" s="1"/>
  <c r="C90" i="32"/>
  <c r="G22" i="36" s="1"/>
  <c r="C99" i="32"/>
  <c r="G30" i="36" s="1"/>
  <c r="C100" i="32"/>
  <c r="G31" i="36" s="1"/>
  <c r="C92" i="32"/>
  <c r="G24" i="36" s="1"/>
  <c r="C101" i="32"/>
  <c r="G32" i="36" s="1"/>
  <c r="C71" i="32"/>
  <c r="G6" i="36" s="1"/>
  <c r="C93" i="32"/>
  <c r="G25" i="36" s="1"/>
  <c r="C83" i="32"/>
  <c r="G16" i="36" s="1"/>
  <c r="C85" i="32"/>
  <c r="G18" i="36" s="1"/>
  <c r="C76" i="32"/>
  <c r="G10" i="36" s="1"/>
  <c r="C77" i="32"/>
  <c r="G11" i="36" s="1"/>
  <c r="N140" i="24"/>
  <c r="O140"/>
  <c r="L140"/>
  <c r="P140"/>
  <c r="M140"/>
  <c r="M2"/>
  <c r="L7"/>
  <c r="J188" s="1"/>
  <c r="F62" i="32"/>
  <c r="F18" i="30" s="1"/>
  <c r="F9" i="28" s="1"/>
  <c r="E63" i="32"/>
  <c r="E62"/>
  <c r="C63"/>
  <c r="C62"/>
  <c r="D63"/>
  <c r="D62"/>
  <c r="B62"/>
  <c r="B63"/>
  <c r="M152" i="24"/>
  <c r="P152"/>
  <c r="L152"/>
  <c r="O152"/>
  <c r="N152"/>
  <c r="F17" i="32"/>
  <c r="F8" i="33" s="1"/>
  <c r="G118" i="24"/>
  <c r="H118"/>
  <c r="I118"/>
  <c r="J118"/>
  <c r="K118"/>
  <c r="G119"/>
  <c r="H119"/>
  <c r="I119"/>
  <c r="J119"/>
  <c r="K119"/>
  <c r="G120"/>
  <c r="H120"/>
  <c r="I120"/>
  <c r="J120"/>
  <c r="K120"/>
  <c r="G121"/>
  <c r="H121"/>
  <c r="I121"/>
  <c r="J121"/>
  <c r="K121"/>
  <c r="F119"/>
  <c r="F120"/>
  <c r="F121"/>
  <c r="F118"/>
  <c r="C118"/>
  <c r="D118"/>
  <c r="E118"/>
  <c r="C119"/>
  <c r="D119"/>
  <c r="E119"/>
  <c r="C120"/>
  <c r="D120"/>
  <c r="E120"/>
  <c r="C121"/>
  <c r="D121"/>
  <c r="E121"/>
  <c r="B119"/>
  <c r="B120"/>
  <c r="B121"/>
  <c r="B118"/>
  <c r="I103" i="37" l="1"/>
  <c r="I113" s="1"/>
  <c r="G63" i="32"/>
  <c r="G15" i="28"/>
  <c r="G189" i="24"/>
  <c r="G21" i="30" s="1"/>
  <c r="H104" i="37"/>
  <c r="H103"/>
  <c r="C104"/>
  <c r="C103"/>
  <c r="K103"/>
  <c r="E104"/>
  <c r="E103"/>
  <c r="G104"/>
  <c r="G103"/>
  <c r="B104"/>
  <c r="B103"/>
  <c r="D104"/>
  <c r="D103"/>
  <c r="F104"/>
  <c r="F103"/>
  <c r="J103"/>
  <c r="H186" i="24"/>
  <c r="H187"/>
  <c r="H54"/>
  <c r="H23" i="32" s="1"/>
  <c r="H10" i="33" s="1"/>
  <c r="H57" i="24"/>
  <c r="H26" i="32" s="1"/>
  <c r="H58" i="24"/>
  <c r="H29" i="32" s="1"/>
  <c r="G14" i="28"/>
  <c r="G23" i="36"/>
  <c r="G19" i="30"/>
  <c r="F26" i="36"/>
  <c r="F18" i="28"/>
  <c r="F10"/>
  <c r="C78" i="32"/>
  <c r="G12" i="36"/>
  <c r="G62" i="32"/>
  <c r="G18" i="30"/>
  <c r="G9" i="28" s="1"/>
  <c r="H81" i="24"/>
  <c r="H6" i="30" s="1"/>
  <c r="H144" i="38"/>
  <c r="H150"/>
  <c r="J142"/>
  <c r="J154" s="1"/>
  <c r="I154"/>
  <c r="F158" s="1"/>
  <c r="B70" i="32" s="1"/>
  <c r="K149" i="38"/>
  <c r="L149" s="1"/>
  <c r="Q149"/>
  <c r="R149" s="1"/>
  <c r="O149"/>
  <c r="P149" s="1"/>
  <c r="S149"/>
  <c r="T149" s="1"/>
  <c r="M149"/>
  <c r="N149" s="1"/>
  <c r="N142"/>
  <c r="O143"/>
  <c r="P143" s="1"/>
  <c r="K143"/>
  <c r="L143" s="1"/>
  <c r="S143"/>
  <c r="T143" s="1"/>
  <c r="M143"/>
  <c r="N143" s="1"/>
  <c r="Q143"/>
  <c r="R143" s="1"/>
  <c r="L61" i="37"/>
  <c r="I104"/>
  <c r="P61"/>
  <c r="L31"/>
  <c r="N61"/>
  <c r="M61"/>
  <c r="O31"/>
  <c r="P31"/>
  <c r="O61"/>
  <c r="M31"/>
  <c r="N31"/>
  <c r="G17" i="32"/>
  <c r="G8" i="33" s="1"/>
  <c r="H110" i="24"/>
  <c r="H105"/>
  <c r="H100"/>
  <c r="H96"/>
  <c r="H91"/>
  <c r="H87"/>
  <c r="H5" i="30" s="1"/>
  <c r="H108" i="24"/>
  <c r="H104"/>
  <c r="H99"/>
  <c r="H95"/>
  <c r="H90"/>
  <c r="H86"/>
  <c r="H61"/>
  <c r="H46"/>
  <c r="H38"/>
  <c r="H113"/>
  <c r="H107"/>
  <c r="H102"/>
  <c r="H98"/>
  <c r="H93"/>
  <c r="H89"/>
  <c r="H51"/>
  <c r="H45"/>
  <c r="H37"/>
  <c r="H112"/>
  <c r="H92"/>
  <c r="H41"/>
  <c r="H33"/>
  <c r="H24"/>
  <c r="H20"/>
  <c r="H16"/>
  <c r="H28"/>
  <c r="H106"/>
  <c r="H88"/>
  <c r="H50"/>
  <c r="H36"/>
  <c r="H30"/>
  <c r="H23"/>
  <c r="H19"/>
  <c r="H34"/>
  <c r="H17"/>
  <c r="H101"/>
  <c r="H47"/>
  <c r="H35"/>
  <c r="H29"/>
  <c r="H22"/>
  <c r="H18"/>
  <c r="H97"/>
  <c r="H44"/>
  <c r="H21"/>
  <c r="G12" i="33"/>
  <c r="D91" i="32"/>
  <c r="D101"/>
  <c r="H32" i="36" s="1"/>
  <c r="D98" i="32"/>
  <c r="H29" i="36" s="1"/>
  <c r="D90" i="32"/>
  <c r="H22" i="36" s="1"/>
  <c r="D99" i="32"/>
  <c r="H30" i="36" s="1"/>
  <c r="D92" i="32"/>
  <c r="H24" i="36" s="1"/>
  <c r="D77" i="32"/>
  <c r="H11" i="36" s="1"/>
  <c r="D100" i="32"/>
  <c r="H31" i="36" s="1"/>
  <c r="D76" i="32"/>
  <c r="H10" i="36" s="1"/>
  <c r="D71" i="32"/>
  <c r="H6" i="36" s="1"/>
  <c r="D85" i="32"/>
  <c r="H18" i="36" s="1"/>
  <c r="D93" i="32"/>
  <c r="H25" i="36" s="1"/>
  <c r="D83" i="32"/>
  <c r="H16" i="36" s="1"/>
  <c r="G32" i="32"/>
  <c r="G14" i="33" s="1"/>
  <c r="G11"/>
  <c r="F11"/>
  <c r="F32" i="32"/>
  <c r="F14" i="33" s="1"/>
  <c r="G4" i="32"/>
  <c r="F4"/>
  <c r="F3" i="33" s="1"/>
  <c r="F5" i="32"/>
  <c r="F13" i="33" s="1"/>
  <c r="G8" i="32"/>
  <c r="G4" i="33" s="1"/>
  <c r="F8" i="32"/>
  <c r="F4" i="33" s="1"/>
  <c r="G5" i="32"/>
  <c r="G13" i="33" s="1"/>
  <c r="N2" i="24"/>
  <c r="J104" i="37" s="1"/>
  <c r="M7" i="24"/>
  <c r="K188" s="1"/>
  <c r="B126"/>
  <c r="B125"/>
  <c r="B124"/>
  <c r="B143"/>
  <c r="G3" i="33" l="1"/>
  <c r="I112" i="37"/>
  <c r="I26" i="33" s="1"/>
  <c r="H63" i="32"/>
  <c r="H19" i="30" s="1"/>
  <c r="H10" i="28" s="1"/>
  <c r="G16"/>
  <c r="H15"/>
  <c r="H189" i="24"/>
  <c r="H21" i="30" s="1"/>
  <c r="H113" i="37"/>
  <c r="H112"/>
  <c r="H26" i="33" s="1"/>
  <c r="D113" i="37"/>
  <c r="D112"/>
  <c r="D26" i="33" s="1"/>
  <c r="G113" i="37"/>
  <c r="G112"/>
  <c r="G26" i="33" s="1"/>
  <c r="K113" i="37"/>
  <c r="K27" i="33" s="1"/>
  <c r="K112" i="37"/>
  <c r="K26" i="33" s="1"/>
  <c r="J113" i="37"/>
  <c r="J27" i="33" s="1"/>
  <c r="J112" i="37"/>
  <c r="J26" i="33" s="1"/>
  <c r="C113" i="37"/>
  <c r="C112"/>
  <c r="C26" i="33" s="1"/>
  <c r="F113" i="37"/>
  <c r="F112"/>
  <c r="F26" i="33" s="1"/>
  <c r="B113" i="37"/>
  <c r="B112"/>
  <c r="B26" i="33" s="1"/>
  <c r="E113" i="37"/>
  <c r="E112"/>
  <c r="E26" i="33" s="1"/>
  <c r="I186" i="24"/>
  <c r="I187"/>
  <c r="I189" s="1"/>
  <c r="I54"/>
  <c r="I58"/>
  <c r="I29" i="32" s="1"/>
  <c r="I57" i="24"/>
  <c r="I26" i="32" s="1"/>
  <c r="H32"/>
  <c r="H14" i="33" s="1"/>
  <c r="G10" i="28"/>
  <c r="H14"/>
  <c r="G18"/>
  <c r="F5" i="36"/>
  <c r="F7" s="1"/>
  <c r="H23"/>
  <c r="G26"/>
  <c r="D78" i="32"/>
  <c r="H12" i="36"/>
  <c r="H62" i="32"/>
  <c r="H18" i="30"/>
  <c r="H9" i="28" s="1"/>
  <c r="F14" i="30"/>
  <c r="F5" i="28" s="1"/>
  <c r="I81" i="24"/>
  <c r="I6" i="30" s="1"/>
  <c r="H17" i="32"/>
  <c r="H8" i="33" s="1"/>
  <c r="L154" i="38"/>
  <c r="Q150"/>
  <c r="R150" s="1"/>
  <c r="M150"/>
  <c r="N150" s="1"/>
  <c r="O150"/>
  <c r="P150" s="1"/>
  <c r="S150"/>
  <c r="T150" s="1"/>
  <c r="H145"/>
  <c r="H151"/>
  <c r="S144"/>
  <c r="O144"/>
  <c r="M144"/>
  <c r="N144" s="1"/>
  <c r="Q144"/>
  <c r="K154"/>
  <c r="G158" s="1"/>
  <c r="G14" i="30" s="1"/>
  <c r="G5" i="28" s="1"/>
  <c r="H8" i="32"/>
  <c r="H4" i="33" s="1"/>
  <c r="N32" i="37"/>
  <c r="P62"/>
  <c r="K5"/>
  <c r="G5"/>
  <c r="L5"/>
  <c r="J5"/>
  <c r="I5"/>
  <c r="H5"/>
  <c r="M32"/>
  <c r="O32"/>
  <c r="N62"/>
  <c r="L32"/>
  <c r="L62"/>
  <c r="C5"/>
  <c r="F5"/>
  <c r="D5"/>
  <c r="E5"/>
  <c r="W5"/>
  <c r="S5"/>
  <c r="O5"/>
  <c r="O24" s="1"/>
  <c r="X5"/>
  <c r="V5"/>
  <c r="R5"/>
  <c r="N5"/>
  <c r="N23" s="1"/>
  <c r="P5"/>
  <c r="P25" s="1"/>
  <c r="Y5"/>
  <c r="U5"/>
  <c r="Q5"/>
  <c r="Q26" s="1"/>
  <c r="M5"/>
  <c r="M22" s="1"/>
  <c r="T5"/>
  <c r="AN42"/>
  <c r="AJ42"/>
  <c r="AF42"/>
  <c r="AB42"/>
  <c r="X42"/>
  <c r="T42"/>
  <c r="P42"/>
  <c r="L42"/>
  <c r="H42"/>
  <c r="D42"/>
  <c r="AK42"/>
  <c r="Y42"/>
  <c r="M42"/>
  <c r="M52" s="1"/>
  <c r="AM42"/>
  <c r="AI42"/>
  <c r="AE42"/>
  <c r="AA42"/>
  <c r="W42"/>
  <c r="S42"/>
  <c r="O42"/>
  <c r="K42"/>
  <c r="G42"/>
  <c r="C42"/>
  <c r="AO42"/>
  <c r="AO56" s="1"/>
  <c r="AC42"/>
  <c r="Q42"/>
  <c r="E42"/>
  <c r="AP42"/>
  <c r="AP56" s="1"/>
  <c r="AL42"/>
  <c r="AH42"/>
  <c r="AD42"/>
  <c r="Z42"/>
  <c r="V42"/>
  <c r="R42"/>
  <c r="N42"/>
  <c r="J42"/>
  <c r="F42"/>
  <c r="AG42"/>
  <c r="U42"/>
  <c r="I42"/>
  <c r="O62"/>
  <c r="P32"/>
  <c r="M62"/>
  <c r="H5" i="32"/>
  <c r="H13" i="33" s="1"/>
  <c r="H11"/>
  <c r="H4" i="32"/>
  <c r="I113" i="24"/>
  <c r="I107"/>
  <c r="I102"/>
  <c r="I98"/>
  <c r="I93"/>
  <c r="I89"/>
  <c r="I112"/>
  <c r="I106"/>
  <c r="I101"/>
  <c r="I97"/>
  <c r="I92"/>
  <c r="I88"/>
  <c r="I50"/>
  <c r="I44"/>
  <c r="I36"/>
  <c r="I30"/>
  <c r="I23"/>
  <c r="I19"/>
  <c r="I110"/>
  <c r="I105"/>
  <c r="I100"/>
  <c r="I96"/>
  <c r="I91"/>
  <c r="I87"/>
  <c r="I5" i="30" s="1"/>
  <c r="I47" i="24"/>
  <c r="I41"/>
  <c r="I35"/>
  <c r="I29"/>
  <c r="I22"/>
  <c r="I18"/>
  <c r="I99"/>
  <c r="I51"/>
  <c r="I37"/>
  <c r="I24"/>
  <c r="I16"/>
  <c r="I28"/>
  <c r="I95"/>
  <c r="I46"/>
  <c r="I34"/>
  <c r="I21"/>
  <c r="I86"/>
  <c r="I61"/>
  <c r="I38"/>
  <c r="I17"/>
  <c r="I108"/>
  <c r="I90"/>
  <c r="I45"/>
  <c r="I33"/>
  <c r="I20"/>
  <c r="I104"/>
  <c r="H12" i="33"/>
  <c r="E91" i="32"/>
  <c r="E100"/>
  <c r="I31" i="36" s="1"/>
  <c r="E92" i="32"/>
  <c r="I24" i="36" s="1"/>
  <c r="E101" i="32"/>
  <c r="I32" i="36" s="1"/>
  <c r="E98" i="32"/>
  <c r="I29" i="36" s="1"/>
  <c r="E90" i="32"/>
  <c r="I22" i="36" s="1"/>
  <c r="E85" i="32"/>
  <c r="I18" i="36" s="1"/>
  <c r="E76" i="32"/>
  <c r="I10" i="36" s="1"/>
  <c r="E83" i="32"/>
  <c r="I16" i="36" s="1"/>
  <c r="E77" i="32"/>
  <c r="I11" i="36" s="1"/>
  <c r="E99" i="32"/>
  <c r="I30" i="36" s="1"/>
  <c r="E71" i="32"/>
  <c r="I6" i="36" s="1"/>
  <c r="E93" i="32"/>
  <c r="I25" i="36" s="1"/>
  <c r="I23" i="32"/>
  <c r="I10" i="33" s="1"/>
  <c r="O2" i="24"/>
  <c r="K104" i="37" s="1"/>
  <c r="N7" i="24"/>
  <c r="H3" i="33" l="1"/>
  <c r="H16" i="28"/>
  <c r="C70" i="32"/>
  <c r="I63"/>
  <c r="I19" i="30" s="1"/>
  <c r="I10" i="28" s="1"/>
  <c r="I15"/>
  <c r="I21" i="30"/>
  <c r="J186" i="24"/>
  <c r="J187"/>
  <c r="J189" s="1"/>
  <c r="J58"/>
  <c r="J29" i="32" s="1"/>
  <c r="J54" i="24"/>
  <c r="J57"/>
  <c r="J26" i="32" s="1"/>
  <c r="I14" i="28"/>
  <c r="I23" i="36"/>
  <c r="H26"/>
  <c r="H18" i="28"/>
  <c r="I62" i="32"/>
  <c r="I18" i="30"/>
  <c r="I9" i="28" s="1"/>
  <c r="E78" i="32"/>
  <c r="I12" i="36"/>
  <c r="J81" i="24"/>
  <c r="J6" i="30" s="1"/>
  <c r="N154" i="38"/>
  <c r="R144"/>
  <c r="P144"/>
  <c r="M154"/>
  <c r="H158" s="1"/>
  <c r="H14" i="30" s="1"/>
  <c r="H5" i="28" s="1"/>
  <c r="O145" i="38"/>
  <c r="P145" s="1"/>
  <c r="Q145"/>
  <c r="R145" s="1"/>
  <c r="S145"/>
  <c r="T145" s="1"/>
  <c r="H152"/>
  <c r="H146"/>
  <c r="T144"/>
  <c r="S151"/>
  <c r="T151" s="1"/>
  <c r="Q151"/>
  <c r="R151" s="1"/>
  <c r="O151"/>
  <c r="P151" s="1"/>
  <c r="Z55" i="37"/>
  <c r="Z52"/>
  <c r="Z56"/>
  <c r="Z54"/>
  <c r="Z53"/>
  <c r="O53"/>
  <c r="O52"/>
  <c r="O54"/>
  <c r="AE52"/>
  <c r="AE56"/>
  <c r="AE54"/>
  <c r="AE53"/>
  <c r="AE55"/>
  <c r="Y56"/>
  <c r="Y54"/>
  <c r="Y53"/>
  <c r="Y52"/>
  <c r="Y55"/>
  <c r="AB54"/>
  <c r="AB53"/>
  <c r="AB55"/>
  <c r="AB52"/>
  <c r="AB56"/>
  <c r="U52"/>
  <c r="U53"/>
  <c r="U54"/>
  <c r="U55"/>
  <c r="U56"/>
  <c r="N52"/>
  <c r="N53"/>
  <c r="AD56"/>
  <c r="AD54"/>
  <c r="AD55"/>
  <c r="AD52"/>
  <c r="AD53"/>
  <c r="S53"/>
  <c r="S55"/>
  <c r="S52"/>
  <c r="S56"/>
  <c r="S54"/>
  <c r="AK52"/>
  <c r="AL52" s="1"/>
  <c r="AK53"/>
  <c r="AK56"/>
  <c r="AK55"/>
  <c r="AK54"/>
  <c r="P52"/>
  <c r="P54"/>
  <c r="P55"/>
  <c r="P53"/>
  <c r="AF52"/>
  <c r="AF56"/>
  <c r="AF54"/>
  <c r="AF55"/>
  <c r="AF53"/>
  <c r="N22"/>
  <c r="O22" s="1"/>
  <c r="Q25"/>
  <c r="R25" s="1"/>
  <c r="AI52"/>
  <c r="AI56"/>
  <c r="AI55"/>
  <c r="AI54"/>
  <c r="AI53"/>
  <c r="AG56"/>
  <c r="AG52"/>
  <c r="AG53"/>
  <c r="AG54"/>
  <c r="AG55"/>
  <c r="R56"/>
  <c r="R55"/>
  <c r="R52"/>
  <c r="R54"/>
  <c r="R53"/>
  <c r="AH52"/>
  <c r="AH53"/>
  <c r="AH54"/>
  <c r="AH56"/>
  <c r="AH55"/>
  <c r="Q52"/>
  <c r="Q55"/>
  <c r="Q54"/>
  <c r="Q53"/>
  <c r="Q56"/>
  <c r="W54"/>
  <c r="W53"/>
  <c r="W55"/>
  <c r="W52"/>
  <c r="W56"/>
  <c r="AM55"/>
  <c r="AM54"/>
  <c r="AN54" s="1"/>
  <c r="AM56"/>
  <c r="T54"/>
  <c r="T55"/>
  <c r="T56"/>
  <c r="T53"/>
  <c r="T52"/>
  <c r="AJ55"/>
  <c r="AJ54"/>
  <c r="AJ52"/>
  <c r="AJ56"/>
  <c r="AJ53"/>
  <c r="R26"/>
  <c r="S26" s="1"/>
  <c r="O23"/>
  <c r="P24"/>
  <c r="Q24" s="1"/>
  <c r="V56"/>
  <c r="V54"/>
  <c r="V55"/>
  <c r="V53"/>
  <c r="V52"/>
  <c r="AL53"/>
  <c r="AM53" s="1"/>
  <c r="AL56"/>
  <c r="AL55"/>
  <c r="AL54"/>
  <c r="AC56"/>
  <c r="AC55"/>
  <c r="AC54"/>
  <c r="AC53"/>
  <c r="AC52"/>
  <c r="AA52"/>
  <c r="AA56"/>
  <c r="AA55"/>
  <c r="AA54"/>
  <c r="AA53"/>
  <c r="X53"/>
  <c r="X55"/>
  <c r="X52"/>
  <c r="X56"/>
  <c r="X54"/>
  <c r="AN56"/>
  <c r="AN55"/>
  <c r="AO55" s="1"/>
  <c r="I5" i="32"/>
  <c r="I13" i="33" s="1"/>
  <c r="I8" i="32"/>
  <c r="I4" i="33" s="1"/>
  <c r="I11"/>
  <c r="I32" i="32"/>
  <c r="I14" i="33" s="1"/>
  <c r="I4" i="32"/>
  <c r="I12" i="33"/>
  <c r="J110" i="24"/>
  <c r="J105"/>
  <c r="J100"/>
  <c r="J96"/>
  <c r="J91"/>
  <c r="J87"/>
  <c r="J5" i="30" s="1"/>
  <c r="J108" i="24"/>
  <c r="J104"/>
  <c r="J99"/>
  <c r="J95"/>
  <c r="J90"/>
  <c r="J86"/>
  <c r="J61"/>
  <c r="J46"/>
  <c r="J38"/>
  <c r="J34"/>
  <c r="J28"/>
  <c r="J21"/>
  <c r="J17"/>
  <c r="J113"/>
  <c r="J107"/>
  <c r="J102"/>
  <c r="J98"/>
  <c r="J93"/>
  <c r="J89"/>
  <c r="J51"/>
  <c r="J45"/>
  <c r="J37"/>
  <c r="J33"/>
  <c r="J24"/>
  <c r="J20"/>
  <c r="J16"/>
  <c r="J106"/>
  <c r="J88"/>
  <c r="J47"/>
  <c r="J35"/>
  <c r="J22"/>
  <c r="J23"/>
  <c r="J101"/>
  <c r="J44"/>
  <c r="J30"/>
  <c r="J19"/>
  <c r="J112"/>
  <c r="J36"/>
  <c r="J97"/>
  <c r="J41"/>
  <c r="J29"/>
  <c r="J18"/>
  <c r="J92"/>
  <c r="J50"/>
  <c r="J32" i="32" s="1"/>
  <c r="J14" i="33" s="1"/>
  <c r="I17" i="32"/>
  <c r="I8" i="33" s="1"/>
  <c r="F91" i="32"/>
  <c r="J23"/>
  <c r="J10" i="33" s="1"/>
  <c r="F99" i="32"/>
  <c r="J30" i="36" s="1"/>
  <c r="F100" i="32"/>
  <c r="J31" i="36" s="1"/>
  <c r="F92" i="32"/>
  <c r="J24" i="36" s="1"/>
  <c r="F101" i="32"/>
  <c r="J32" i="36" s="1"/>
  <c r="F93" i="32"/>
  <c r="J25" i="36" s="1"/>
  <c r="F83" i="32"/>
  <c r="J16" i="36" s="1"/>
  <c r="F98" i="32"/>
  <c r="J29" i="36" s="1"/>
  <c r="F85" i="32"/>
  <c r="J18" i="36" s="1"/>
  <c r="F76" i="32"/>
  <c r="J10" i="36" s="1"/>
  <c r="F71" i="32"/>
  <c r="J6" i="36" s="1"/>
  <c r="F90" i="32"/>
  <c r="J22" i="36" s="1"/>
  <c r="F77" i="32"/>
  <c r="J11" i="36" s="1"/>
  <c r="O7" i="24"/>
  <c r="I3" i="33" l="1"/>
  <c r="I16" i="28"/>
  <c r="D70" i="32"/>
  <c r="J63"/>
  <c r="K186" i="24"/>
  <c r="K187"/>
  <c r="K189" s="1"/>
  <c r="J15" i="28"/>
  <c r="J21" i="30"/>
  <c r="K57" i="24"/>
  <c r="K26" i="32" s="1"/>
  <c r="K58" i="24"/>
  <c r="K29" i="32" s="1"/>
  <c r="K54" i="24"/>
  <c r="K23" i="32" s="1"/>
  <c r="K10" i="33" s="1"/>
  <c r="J17" i="32"/>
  <c r="J8" i="33" s="1"/>
  <c r="J14" i="28"/>
  <c r="G5" i="36"/>
  <c r="G7" s="1"/>
  <c r="J23"/>
  <c r="J19" i="30"/>
  <c r="J10" i="28" s="1"/>
  <c r="I26" i="36"/>
  <c r="I18" i="28"/>
  <c r="F78" i="32"/>
  <c r="J12" i="36"/>
  <c r="J62" i="32"/>
  <c r="J18" i="30"/>
  <c r="J9" i="28" s="1"/>
  <c r="K81" i="24"/>
  <c r="K6" i="30" s="1"/>
  <c r="O154" i="38"/>
  <c r="I158" s="1"/>
  <c r="I14" i="30" s="1"/>
  <c r="I5" i="28" s="1"/>
  <c r="P154" i="38"/>
  <c r="S152"/>
  <c r="T152" s="1"/>
  <c r="Q152"/>
  <c r="R152" s="1"/>
  <c r="H147"/>
  <c r="S147" s="1"/>
  <c r="T147" s="1"/>
  <c r="H153"/>
  <c r="S153" s="1"/>
  <c r="T153" s="1"/>
  <c r="S146"/>
  <c r="T146" s="1"/>
  <c r="Q146"/>
  <c r="R146" s="1"/>
  <c r="S25" i="37"/>
  <c r="T25" s="1"/>
  <c r="P22"/>
  <c r="Q22" s="1"/>
  <c r="T26"/>
  <c r="U26" s="1"/>
  <c r="R24"/>
  <c r="S24" s="1"/>
  <c r="T24" s="1"/>
  <c r="P23"/>
  <c r="J12" i="33"/>
  <c r="J5" i="32"/>
  <c r="J13" i="33" s="1"/>
  <c r="J8" i="32"/>
  <c r="J4" i="33" s="1"/>
  <c r="J11"/>
  <c r="K113" i="24"/>
  <c r="K107"/>
  <c r="K102"/>
  <c r="K98"/>
  <c r="K93"/>
  <c r="K89"/>
  <c r="K112"/>
  <c r="K106"/>
  <c r="K101"/>
  <c r="K97"/>
  <c r="K92"/>
  <c r="K88"/>
  <c r="K50"/>
  <c r="K44"/>
  <c r="K36"/>
  <c r="K30"/>
  <c r="K23"/>
  <c r="K19"/>
  <c r="K110"/>
  <c r="K105"/>
  <c r="K100"/>
  <c r="K96"/>
  <c r="K91"/>
  <c r="K87"/>
  <c r="K5" i="30" s="1"/>
  <c r="K47" i="24"/>
  <c r="K41"/>
  <c r="K35"/>
  <c r="K29"/>
  <c r="K22"/>
  <c r="K18"/>
  <c r="K95"/>
  <c r="K45"/>
  <c r="K33"/>
  <c r="K20"/>
  <c r="K99"/>
  <c r="K21"/>
  <c r="K108"/>
  <c r="K90"/>
  <c r="K61"/>
  <c r="K38"/>
  <c r="K28"/>
  <c r="K17"/>
  <c r="K34"/>
  <c r="K104"/>
  <c r="K86"/>
  <c r="K51"/>
  <c r="K37"/>
  <c r="K24"/>
  <c r="K16"/>
  <c r="K46"/>
  <c r="J4" i="32"/>
  <c r="G91"/>
  <c r="G98"/>
  <c r="K29" i="36" s="1"/>
  <c r="G90" i="32"/>
  <c r="K22" i="36" s="1"/>
  <c r="G99" i="32"/>
  <c r="K30" i="36" s="1"/>
  <c r="G100" i="32"/>
  <c r="K31" i="36" s="1"/>
  <c r="G92" i="32"/>
  <c r="K24" i="36" s="1"/>
  <c r="G93" i="32"/>
  <c r="K25" i="36" s="1"/>
  <c r="G71" i="32"/>
  <c r="K6" i="36" s="1"/>
  <c r="G101" i="32"/>
  <c r="K32" i="36" s="1"/>
  <c r="G83" i="32"/>
  <c r="K16" i="36" s="1"/>
  <c r="G77" i="32"/>
  <c r="K11" i="36" s="1"/>
  <c r="G85" i="32"/>
  <c r="K18" i="36" s="1"/>
  <c r="G76" i="32"/>
  <c r="K10" i="36" s="1"/>
  <c r="K5" i="32" l="1"/>
  <c r="K13" i="33" s="1"/>
  <c r="E70" i="32"/>
  <c r="J3" i="33"/>
  <c r="K63" i="32"/>
  <c r="K19" i="30" s="1"/>
  <c r="K10" i="28" s="1"/>
  <c r="J16"/>
  <c r="K15"/>
  <c r="K21" i="30"/>
  <c r="K14" i="28"/>
  <c r="H5" i="36"/>
  <c r="H7" s="1"/>
  <c r="K23"/>
  <c r="K18" i="28" s="1"/>
  <c r="J26" i="36"/>
  <c r="J18" i="28"/>
  <c r="G78" i="32"/>
  <c r="K12" i="36"/>
  <c r="K62" i="32"/>
  <c r="K18" i="30"/>
  <c r="K9" i="28" s="1"/>
  <c r="R154" i="38"/>
  <c r="T154"/>
  <c r="Q154"/>
  <c r="J158" s="1"/>
  <c r="J14" i="30" s="1"/>
  <c r="J5" i="28" s="1"/>
  <c r="S154" i="38"/>
  <c r="K158" s="1"/>
  <c r="K14" i="30" s="1"/>
  <c r="K5" i="28" s="1"/>
  <c r="H154" i="38"/>
  <c r="U25" i="37"/>
  <c r="V25" s="1"/>
  <c r="W25" s="1"/>
  <c r="X25" s="1"/>
  <c r="Y25" s="1"/>
  <c r="V26"/>
  <c r="W26" s="1"/>
  <c r="X26" s="1"/>
  <c r="Y26" s="1"/>
  <c r="R22"/>
  <c r="S22" s="1"/>
  <c r="T22" s="1"/>
  <c r="K8" i="32"/>
  <c r="K4" i="33" s="1"/>
  <c r="K32" i="32"/>
  <c r="K14" i="33" s="1"/>
  <c r="Q23" i="37"/>
  <c r="R23" s="1"/>
  <c r="K11" i="33"/>
  <c r="U24" i="37"/>
  <c r="K12" i="33"/>
  <c r="K4" i="32"/>
  <c r="K17"/>
  <c r="K8" i="33" s="1"/>
  <c r="C59" i="32"/>
  <c r="D59"/>
  <c r="E59"/>
  <c r="B59"/>
  <c r="G46"/>
  <c r="G12" i="30" s="1"/>
  <c r="H46" i="32"/>
  <c r="H12" i="30" s="1"/>
  <c r="I46" i="32"/>
  <c r="I12" i="30" s="1"/>
  <c r="J46" i="32"/>
  <c r="J12" i="30" s="1"/>
  <c r="G47" i="32"/>
  <c r="G13" i="30" s="1"/>
  <c r="H47" i="32"/>
  <c r="H13" i="30" s="1"/>
  <c r="I47" i="32"/>
  <c r="I13" i="30" s="1"/>
  <c r="K47" i="32"/>
  <c r="K13" i="30" s="1"/>
  <c r="F46" i="32"/>
  <c r="F12" i="30" s="1"/>
  <c r="F47" i="32"/>
  <c r="F13" i="30" s="1"/>
  <c r="F56" i="32"/>
  <c r="F53"/>
  <c r="F51"/>
  <c r="F52"/>
  <c r="F50"/>
  <c r="C46"/>
  <c r="D46"/>
  <c r="E46"/>
  <c r="C47"/>
  <c r="D47"/>
  <c r="E47"/>
  <c r="B46"/>
  <c r="B47"/>
  <c r="B56"/>
  <c r="C56"/>
  <c r="D56"/>
  <c r="E56"/>
  <c r="B53"/>
  <c r="C53"/>
  <c r="D53"/>
  <c r="E53"/>
  <c r="B51"/>
  <c r="C51"/>
  <c r="D51"/>
  <c r="E51"/>
  <c r="B52"/>
  <c r="C52"/>
  <c r="D52"/>
  <c r="E52"/>
  <c r="C50"/>
  <c r="D50"/>
  <c r="E50"/>
  <c r="B50"/>
  <c r="J47"/>
  <c r="J13" i="30" s="1"/>
  <c r="K46" i="32"/>
  <c r="K12" i="30" s="1"/>
  <c r="K3" i="33" l="1"/>
  <c r="F70" i="32"/>
  <c r="G70" s="1"/>
  <c r="K16" i="28"/>
  <c r="I5" i="36"/>
  <c r="I7" s="1"/>
  <c r="K26"/>
  <c r="U22" i="37"/>
  <c r="V22" s="1"/>
  <c r="W22" s="1"/>
  <c r="X22" s="1"/>
  <c r="Y22" s="1"/>
  <c r="S23"/>
  <c r="T23" s="1"/>
  <c r="U23" s="1"/>
  <c r="V23" s="1"/>
  <c r="W23" s="1"/>
  <c r="X23" s="1"/>
  <c r="Y23" s="1"/>
  <c r="V24"/>
  <c r="W24" s="1"/>
  <c r="E54" i="32"/>
  <c r="E55" s="1"/>
  <c r="B54"/>
  <c r="B55" s="1"/>
  <c r="I44"/>
  <c r="I9" i="30" s="1"/>
  <c r="D54" i="32"/>
  <c r="D55" s="1"/>
  <c r="C54"/>
  <c r="C55" s="1"/>
  <c r="F54"/>
  <c r="F55" s="1"/>
  <c r="B45"/>
  <c r="F45"/>
  <c r="F11" i="30" s="1"/>
  <c r="K45" i="32"/>
  <c r="K11" i="30" s="1"/>
  <c r="G45" i="32"/>
  <c r="G11" i="30" s="1"/>
  <c r="H45" i="32"/>
  <c r="H11" i="30" s="1"/>
  <c r="I45" i="32"/>
  <c r="I11" i="30" s="1"/>
  <c r="J45" i="32"/>
  <c r="J11" i="30" s="1"/>
  <c r="B44" i="32"/>
  <c r="D44"/>
  <c r="C44"/>
  <c r="E45"/>
  <c r="D45"/>
  <c r="C45"/>
  <c r="F44"/>
  <c r="K44"/>
  <c r="K9" i="30" s="1"/>
  <c r="G44" i="32"/>
  <c r="H44"/>
  <c r="H9" i="30" s="1"/>
  <c r="J44" i="32"/>
  <c r="J9" i="30" s="1"/>
  <c r="K5" i="36" l="1"/>
  <c r="K7" s="1"/>
  <c r="J5"/>
  <c r="J7" s="1"/>
  <c r="F9" i="30"/>
  <c r="G9"/>
  <c r="X24" i="37"/>
  <c r="Y24" s="1"/>
  <c r="C17" i="32"/>
  <c r="C8" i="33" s="1"/>
  <c r="D17" i="32"/>
  <c r="D8" i="33" s="1"/>
  <c r="B17" i="32"/>
  <c r="B8" i="33" s="1"/>
  <c r="E17" i="32"/>
  <c r="E8" i="33" s="1"/>
  <c r="C32" i="32" l="1"/>
  <c r="C14" i="33" s="1"/>
  <c r="D5" i="32"/>
  <c r="D13" i="33" s="1"/>
  <c r="C11"/>
  <c r="E32" i="32"/>
  <c r="E14" i="33" s="1"/>
  <c r="B32" i="32"/>
  <c r="B14" i="33" s="1"/>
  <c r="E11"/>
  <c r="B11"/>
  <c r="D11"/>
  <c r="E5" i="32"/>
  <c r="E13" i="33" s="1"/>
  <c r="C5" i="32"/>
  <c r="C13" i="33" s="1"/>
  <c r="D32" i="32"/>
  <c r="D14" i="33" s="1"/>
  <c r="E4" i="32"/>
  <c r="E3" i="33" s="1"/>
  <c r="B5" i="32"/>
  <c r="B13" i="33" s="1"/>
  <c r="D4" i="32"/>
  <c r="D3" i="33" s="1"/>
  <c r="D8" i="32"/>
  <c r="D4" i="33" s="1"/>
  <c r="C4" i="32"/>
  <c r="C3" i="33" s="1"/>
  <c r="E8" i="32"/>
  <c r="E4" i="33" s="1"/>
  <c r="B4" i="32"/>
  <c r="B3" i="33" s="1"/>
  <c r="C8" i="32"/>
  <c r="C4" i="33" s="1"/>
  <c r="B8" i="32"/>
  <c r="B4" i="33" s="1"/>
  <c r="I35" i="32"/>
  <c r="I16" i="33" s="1"/>
  <c r="I14" i="32"/>
  <c r="I7" i="33" s="1"/>
  <c r="B35" i="32" l="1"/>
  <c r="B16" i="33" s="1"/>
  <c r="J35" i="32"/>
  <c r="J16" i="33" s="1"/>
  <c r="B14" i="32"/>
  <c r="B7" i="33" s="1"/>
  <c r="J14" i="32"/>
  <c r="J7" i="33" s="1"/>
  <c r="I11" i="32"/>
  <c r="K35"/>
  <c r="K16" i="33" s="1"/>
  <c r="K14" i="32"/>
  <c r="K7" i="33" s="1"/>
  <c r="I20" i="32"/>
  <c r="I9" i="33" s="1"/>
  <c r="G35" i="32"/>
  <c r="G16" i="33" s="1"/>
  <c r="G14" i="32"/>
  <c r="G7" i="33" s="1"/>
  <c r="E35" i="32"/>
  <c r="E16" i="33" s="1"/>
  <c r="E14" i="32"/>
  <c r="E7" i="33" s="1"/>
  <c r="H35" i="32"/>
  <c r="H16" i="33" s="1"/>
  <c r="H14" i="32"/>
  <c r="H7" i="33" s="1"/>
  <c r="F35" i="32"/>
  <c r="F16" i="33" s="1"/>
  <c r="F14" i="32"/>
  <c r="F7" i="33" s="1"/>
  <c r="C35" i="32"/>
  <c r="C16" i="33" s="1"/>
  <c r="C14" i="32"/>
  <c r="C7" i="33" s="1"/>
  <c r="I150" i="24"/>
  <c r="I61" i="37" s="1"/>
  <c r="I151" i="24"/>
  <c r="G151"/>
  <c r="F150"/>
  <c r="F61" i="37" s="1"/>
  <c r="E138" i="24"/>
  <c r="F13" i="37" s="1"/>
  <c r="K137" i="24"/>
  <c r="L9" i="37" s="1"/>
  <c r="G137" i="24"/>
  <c r="H9" i="37" s="1"/>
  <c r="C137" i="24"/>
  <c r="D9" i="37" s="1"/>
  <c r="I136" i="24"/>
  <c r="K135"/>
  <c r="K31" i="37" s="1"/>
  <c r="G135" i="24"/>
  <c r="G31" i="37" s="1"/>
  <c r="E134" i="24"/>
  <c r="C133"/>
  <c r="J150"/>
  <c r="J61" i="37" s="1"/>
  <c r="J151" i="24"/>
  <c r="B144"/>
  <c r="F60" i="37" s="1"/>
  <c r="D138" i="24"/>
  <c r="E13" i="37" s="1"/>
  <c r="J137" i="24"/>
  <c r="K9" i="37" s="1"/>
  <c r="F137" i="24"/>
  <c r="G9" i="37" s="1"/>
  <c r="B137" i="24"/>
  <c r="C9" i="37" s="1"/>
  <c r="H136" i="24"/>
  <c r="J135"/>
  <c r="J31" i="37" s="1"/>
  <c r="F135" i="24"/>
  <c r="F31" i="37" s="1"/>
  <c r="D134" i="24"/>
  <c r="K150"/>
  <c r="K61" i="37" s="1"/>
  <c r="K151" i="24"/>
  <c r="B127"/>
  <c r="E139"/>
  <c r="F15" i="37" s="1"/>
  <c r="I137" i="24"/>
  <c r="J9" i="37" s="1"/>
  <c r="E137" i="24"/>
  <c r="F9" i="37" s="1"/>
  <c r="K136" i="24"/>
  <c r="G136"/>
  <c r="I135"/>
  <c r="I31" i="37" s="1"/>
  <c r="E133" i="24"/>
  <c r="H150"/>
  <c r="H61" i="37" s="1"/>
  <c r="G150" i="24"/>
  <c r="G61" i="37" s="1"/>
  <c r="F136" i="24"/>
  <c r="D133"/>
  <c r="H151"/>
  <c r="H137"/>
  <c r="I9" i="37" s="1"/>
  <c r="B133" i="24"/>
  <c r="D137"/>
  <c r="E9" i="37" s="1"/>
  <c r="H135" i="24"/>
  <c r="F151"/>
  <c r="J136"/>
  <c r="D35" i="32"/>
  <c r="D16" i="33" s="1"/>
  <c r="D14" i="32"/>
  <c r="D7" i="33" s="1"/>
  <c r="I38" i="32" l="1"/>
  <c r="I6" i="33"/>
  <c r="H31" i="37"/>
  <c r="K18"/>
  <c r="L18"/>
  <c r="J18"/>
  <c r="I18"/>
  <c r="H62"/>
  <c r="K48"/>
  <c r="L48"/>
  <c r="I48"/>
  <c r="J48"/>
  <c r="K32"/>
  <c r="L21"/>
  <c r="M21" s="1"/>
  <c r="N21" s="1"/>
  <c r="O21" s="1"/>
  <c r="B30"/>
  <c r="M9"/>
  <c r="J62"/>
  <c r="L50"/>
  <c r="K50"/>
  <c r="G62"/>
  <c r="K47"/>
  <c r="I47"/>
  <c r="J47"/>
  <c r="H47"/>
  <c r="L47"/>
  <c r="I15" i="33"/>
  <c r="D31" i="37"/>
  <c r="J12"/>
  <c r="G12"/>
  <c r="L12"/>
  <c r="I12"/>
  <c r="K12"/>
  <c r="E12"/>
  <c r="F12"/>
  <c r="H12"/>
  <c r="E31"/>
  <c r="J14"/>
  <c r="I14"/>
  <c r="K14"/>
  <c r="G14"/>
  <c r="H14"/>
  <c r="F14"/>
  <c r="L14"/>
  <c r="K62"/>
  <c r="L51"/>
  <c r="M51" s="1"/>
  <c r="N51" s="1"/>
  <c r="O51" s="1"/>
  <c r="P51" s="1"/>
  <c r="Q51" s="1"/>
  <c r="R51" s="1"/>
  <c r="S51" s="1"/>
  <c r="T51" s="1"/>
  <c r="U51" s="1"/>
  <c r="V51" s="1"/>
  <c r="W51" s="1"/>
  <c r="X51" s="1"/>
  <c r="Y51" s="1"/>
  <c r="Z51" s="1"/>
  <c r="AA51" s="1"/>
  <c r="AB51" s="1"/>
  <c r="AC51" s="1"/>
  <c r="AD51" s="1"/>
  <c r="AE51" s="1"/>
  <c r="AF51" s="1"/>
  <c r="AG51" s="1"/>
  <c r="AH51" s="1"/>
  <c r="AI51" s="1"/>
  <c r="AJ51" s="1"/>
  <c r="AK51" s="1"/>
  <c r="I62"/>
  <c r="J49"/>
  <c r="K49"/>
  <c r="L49"/>
  <c r="J32"/>
  <c r="K20"/>
  <c r="L20"/>
  <c r="B31"/>
  <c r="C10"/>
  <c r="B33" s="1"/>
  <c r="I10"/>
  <c r="G10"/>
  <c r="L10"/>
  <c r="D10"/>
  <c r="K10"/>
  <c r="J10"/>
  <c r="F10"/>
  <c r="E10"/>
  <c r="H10"/>
  <c r="F32"/>
  <c r="I16"/>
  <c r="J16"/>
  <c r="L16"/>
  <c r="H16"/>
  <c r="G16"/>
  <c r="K16"/>
  <c r="H32"/>
  <c r="C31"/>
  <c r="J11"/>
  <c r="L11"/>
  <c r="F11"/>
  <c r="D11"/>
  <c r="E11"/>
  <c r="G11"/>
  <c r="K11"/>
  <c r="H11"/>
  <c r="I11"/>
  <c r="I32"/>
  <c r="K19"/>
  <c r="L19"/>
  <c r="J19"/>
  <c r="F62"/>
  <c r="K46"/>
  <c r="G46"/>
  <c r="F63" s="1"/>
  <c r="H46"/>
  <c r="J46"/>
  <c r="I46"/>
  <c r="L46"/>
  <c r="G32"/>
  <c r="I17"/>
  <c r="J17"/>
  <c r="H17"/>
  <c r="K17"/>
  <c r="L17"/>
  <c r="L13"/>
  <c r="I13"/>
  <c r="H13"/>
  <c r="J13"/>
  <c r="G13"/>
  <c r="K13"/>
  <c r="H15"/>
  <c r="G15"/>
  <c r="I15"/>
  <c r="L15"/>
  <c r="K15"/>
  <c r="J15"/>
  <c r="J20" i="32"/>
  <c r="J9" i="33" s="1"/>
  <c r="B20" i="32"/>
  <c r="B9" i="33" s="1"/>
  <c r="J11" i="32"/>
  <c r="H11"/>
  <c r="B11"/>
  <c r="B6" i="33" s="1"/>
  <c r="G20" i="32"/>
  <c r="G9" i="33" s="1"/>
  <c r="G11" i="32"/>
  <c r="D11"/>
  <c r="D6" i="33" s="1"/>
  <c r="F11" i="32"/>
  <c r="F6" i="33" s="1"/>
  <c r="C11" i="32"/>
  <c r="C6" i="33" s="1"/>
  <c r="E11" i="32"/>
  <c r="E6" i="33" s="1"/>
  <c r="K11" i="32"/>
  <c r="K20"/>
  <c r="K9" i="33" s="1"/>
  <c r="D20" i="32"/>
  <c r="D9" i="33" s="1"/>
  <c r="C20" i="32"/>
  <c r="C9" i="33" s="1"/>
  <c r="F20" i="32"/>
  <c r="F9" i="33" s="1"/>
  <c r="H20" i="32"/>
  <c r="H9" i="33" s="1"/>
  <c r="E20" i="32"/>
  <c r="E9" i="33" s="1"/>
  <c r="K38" i="32" l="1"/>
  <c r="H38"/>
  <c r="I63" i="37"/>
  <c r="D88" s="1"/>
  <c r="D20" i="33" s="1"/>
  <c r="G38" i="32"/>
  <c r="J38"/>
  <c r="J17" i="33" s="1"/>
  <c r="G63" i="37"/>
  <c r="B88" s="1"/>
  <c r="B20" i="33" s="1"/>
  <c r="H6"/>
  <c r="H15" s="1"/>
  <c r="G6"/>
  <c r="G15" s="1"/>
  <c r="K6"/>
  <c r="K15" s="1"/>
  <c r="C33" i="37"/>
  <c r="J6" i="33"/>
  <c r="J15" s="1"/>
  <c r="M12" i="37"/>
  <c r="N12" s="1"/>
  <c r="O12" s="1"/>
  <c r="P12" s="1"/>
  <c r="J63"/>
  <c r="E88" s="1"/>
  <c r="E20" i="33" s="1"/>
  <c r="M14" i="37"/>
  <c r="N14" s="1"/>
  <c r="M17"/>
  <c r="N17" s="1"/>
  <c r="M11"/>
  <c r="I33"/>
  <c r="D87" s="1"/>
  <c r="F33"/>
  <c r="M20"/>
  <c r="N20" s="1"/>
  <c r="M47"/>
  <c r="N47" s="1"/>
  <c r="O47" s="1"/>
  <c r="P47" s="1"/>
  <c r="Q47" s="1"/>
  <c r="R47" s="1"/>
  <c r="S47" s="1"/>
  <c r="T47" s="1"/>
  <c r="U47" s="1"/>
  <c r="V47" s="1"/>
  <c r="W47" s="1"/>
  <c r="X47" s="1"/>
  <c r="Y47" s="1"/>
  <c r="Z47" s="1"/>
  <c r="AA47" s="1"/>
  <c r="AB47" s="1"/>
  <c r="AC47" s="1"/>
  <c r="AD47" s="1"/>
  <c r="AE47" s="1"/>
  <c r="AF47" s="1"/>
  <c r="AG47" s="1"/>
  <c r="M18"/>
  <c r="N18" s="1"/>
  <c r="H63"/>
  <c r="C88" s="1"/>
  <c r="C20" i="33" s="1"/>
  <c r="J33" i="37"/>
  <c r="E87" s="1"/>
  <c r="E90" s="1"/>
  <c r="E33"/>
  <c r="G33"/>
  <c r="B87" s="1"/>
  <c r="H33"/>
  <c r="C87" s="1"/>
  <c r="C90" s="1"/>
  <c r="M49"/>
  <c r="N49" s="1"/>
  <c r="O49" s="1"/>
  <c r="P49" s="1"/>
  <c r="Q49" s="1"/>
  <c r="R49" s="1"/>
  <c r="S49" s="1"/>
  <c r="T49" s="1"/>
  <c r="U49" s="1"/>
  <c r="V49" s="1"/>
  <c r="W49" s="1"/>
  <c r="X49" s="1"/>
  <c r="Y49" s="1"/>
  <c r="Z49" s="1"/>
  <c r="AA49" s="1"/>
  <c r="AB49" s="1"/>
  <c r="AC49" s="1"/>
  <c r="AD49" s="1"/>
  <c r="AE49" s="1"/>
  <c r="AF49" s="1"/>
  <c r="AG49" s="1"/>
  <c r="AH49" s="1"/>
  <c r="AI49" s="1"/>
  <c r="D15" i="33"/>
  <c r="E15"/>
  <c r="F64" i="37"/>
  <c r="G60" s="1"/>
  <c r="M19"/>
  <c r="M16"/>
  <c r="P21"/>
  <c r="C15" i="33"/>
  <c r="M13" i="37"/>
  <c r="N13" s="1"/>
  <c r="O13" s="1"/>
  <c r="M46"/>
  <c r="M10"/>
  <c r="B34"/>
  <c r="C30" s="1"/>
  <c r="D33"/>
  <c r="K33"/>
  <c r="F87" s="1"/>
  <c r="F15" i="33"/>
  <c r="B15"/>
  <c r="M15" i="37"/>
  <c r="K63"/>
  <c r="M50"/>
  <c r="N50" s="1"/>
  <c r="O50" s="1"/>
  <c r="P50" s="1"/>
  <c r="Q50" s="1"/>
  <c r="R50" s="1"/>
  <c r="S50" s="1"/>
  <c r="T50" s="1"/>
  <c r="U50" s="1"/>
  <c r="V50" s="1"/>
  <c r="W50" s="1"/>
  <c r="X50" s="1"/>
  <c r="Y50" s="1"/>
  <c r="Z50" s="1"/>
  <c r="AA50" s="1"/>
  <c r="AB50" s="1"/>
  <c r="AC50" s="1"/>
  <c r="AD50" s="1"/>
  <c r="AE50" s="1"/>
  <c r="AF50" s="1"/>
  <c r="AG50" s="1"/>
  <c r="AH50" s="1"/>
  <c r="AI50" s="1"/>
  <c r="AJ50" s="1"/>
  <c r="M48"/>
  <c r="N48" s="1"/>
  <c r="O48" s="1"/>
  <c r="P48" s="1"/>
  <c r="Q48" s="1"/>
  <c r="R48" s="1"/>
  <c r="S48" s="1"/>
  <c r="T48" s="1"/>
  <c r="U48" s="1"/>
  <c r="V48" s="1"/>
  <c r="W48" s="1"/>
  <c r="X48" s="1"/>
  <c r="Y48" s="1"/>
  <c r="Z48" s="1"/>
  <c r="AA48" s="1"/>
  <c r="AB48" s="1"/>
  <c r="AC48" s="1"/>
  <c r="AD48" s="1"/>
  <c r="AE48" s="1"/>
  <c r="AF48" s="1"/>
  <c r="AG48" s="1"/>
  <c r="AH48" s="1"/>
  <c r="I17" i="33"/>
  <c r="B90" i="37" l="1"/>
  <c r="C21" i="35"/>
  <c r="E21"/>
  <c r="B21"/>
  <c r="D19" i="33"/>
  <c r="D22" s="1"/>
  <c r="D90" i="37"/>
  <c r="F65"/>
  <c r="F10" i="30"/>
  <c r="F15" s="1"/>
  <c r="B97" i="32" s="1"/>
  <c r="I10" i="30"/>
  <c r="I15" s="1"/>
  <c r="E19" i="33"/>
  <c r="E22" s="1"/>
  <c r="C19"/>
  <c r="C22" s="1"/>
  <c r="O17" i="37"/>
  <c r="P17" s="1"/>
  <c r="Q17" s="1"/>
  <c r="R17" s="1"/>
  <c r="S17" s="1"/>
  <c r="T17" s="1"/>
  <c r="U17" s="1"/>
  <c r="L33"/>
  <c r="G87" s="1"/>
  <c r="B19" i="33"/>
  <c r="B22" s="1"/>
  <c r="Q12" i="37"/>
  <c r="R12" s="1"/>
  <c r="S12" s="1"/>
  <c r="T12" s="1"/>
  <c r="U12" s="1"/>
  <c r="V12" s="1"/>
  <c r="W12" s="1"/>
  <c r="X12" s="1"/>
  <c r="Y12" s="1"/>
  <c r="P13"/>
  <c r="Q13" s="1"/>
  <c r="N15"/>
  <c r="O15" s="1"/>
  <c r="P15" s="1"/>
  <c r="Q15" s="1"/>
  <c r="R15" s="1"/>
  <c r="S15" s="1"/>
  <c r="T15" s="1"/>
  <c r="U15" s="1"/>
  <c r="V15" s="1"/>
  <c r="W15" s="1"/>
  <c r="X15" s="1"/>
  <c r="Y15" s="1"/>
  <c r="Q21"/>
  <c r="R21" s="1"/>
  <c r="N16"/>
  <c r="O16" s="1"/>
  <c r="F19" i="33"/>
  <c r="O18" i="37"/>
  <c r="B35"/>
  <c r="G64"/>
  <c r="H60" s="1"/>
  <c r="O14"/>
  <c r="N19"/>
  <c r="O20"/>
  <c r="F88"/>
  <c r="F20" i="33" s="1"/>
  <c r="L60" i="37"/>
  <c r="C34"/>
  <c r="D30" s="1"/>
  <c r="N46"/>
  <c r="L63"/>
  <c r="G88" s="1"/>
  <c r="G20" i="33" s="1"/>
  <c r="J10" i="30"/>
  <c r="F22" i="33" l="1"/>
  <c r="K17"/>
  <c r="K10" i="30" s="1"/>
  <c r="K15" s="1"/>
  <c r="G17" i="33"/>
  <c r="G10" i="30" s="1"/>
  <c r="G15" s="1"/>
  <c r="H17" i="33"/>
  <c r="H10" i="30" s="1"/>
  <c r="H15" s="1"/>
  <c r="D97" i="32" s="1"/>
  <c r="H28" i="36" s="1"/>
  <c r="H33" s="1"/>
  <c r="D21" i="35"/>
  <c r="G19" i="33"/>
  <c r="G22" s="1"/>
  <c r="G90" i="37"/>
  <c r="F90"/>
  <c r="E97" i="32"/>
  <c r="I28" i="36" s="1"/>
  <c r="I33" s="1"/>
  <c r="F28"/>
  <c r="F33" s="1"/>
  <c r="J15" i="30"/>
  <c r="O19" i="37"/>
  <c r="P19" s="1"/>
  <c r="G65"/>
  <c r="B96" s="1"/>
  <c r="R13"/>
  <c r="S13" s="1"/>
  <c r="T13" s="1"/>
  <c r="M33"/>
  <c r="H87" s="1"/>
  <c r="V17"/>
  <c r="W17" s="1"/>
  <c r="X17" s="1"/>
  <c r="Y17" s="1"/>
  <c r="P14"/>
  <c r="H64"/>
  <c r="I60" s="1"/>
  <c r="P20"/>
  <c r="Q20" s="1"/>
  <c r="R20" s="1"/>
  <c r="M63"/>
  <c r="H88" s="1"/>
  <c r="H20" i="33" s="1"/>
  <c r="O46" i="37"/>
  <c r="L64"/>
  <c r="M60" s="1"/>
  <c r="C35"/>
  <c r="P18"/>
  <c r="Q18" s="1"/>
  <c r="D34"/>
  <c r="E30" s="1"/>
  <c r="S21"/>
  <c r="T21" s="1"/>
  <c r="P16"/>
  <c r="B111" l="1"/>
  <c r="B25" i="33" s="1"/>
  <c r="H19"/>
  <c r="H22" s="1"/>
  <c r="H90" i="37"/>
  <c r="C97" i="32"/>
  <c r="G28" i="36" s="1"/>
  <c r="G33" s="1"/>
  <c r="G97" i="32"/>
  <c r="K28" i="36" s="1"/>
  <c r="K33" s="1"/>
  <c r="F97" i="32"/>
  <c r="J28" i="36" s="1"/>
  <c r="J33" s="1"/>
  <c r="L65" i="37"/>
  <c r="G96" s="1"/>
  <c r="N33"/>
  <c r="I87" s="1"/>
  <c r="Q19"/>
  <c r="D35"/>
  <c r="Q16"/>
  <c r="R16" s="1"/>
  <c r="S20"/>
  <c r="T20" s="1"/>
  <c r="U20" s="1"/>
  <c r="V20" s="1"/>
  <c r="W20" s="1"/>
  <c r="X20" s="1"/>
  <c r="Y20" s="1"/>
  <c r="E34"/>
  <c r="F30" s="1"/>
  <c r="U21"/>
  <c r="V21" s="1"/>
  <c r="W21" s="1"/>
  <c r="X21" s="1"/>
  <c r="Y21" s="1"/>
  <c r="R18"/>
  <c r="S18" s="1"/>
  <c r="T18" s="1"/>
  <c r="U18" s="1"/>
  <c r="V18" s="1"/>
  <c r="W18" s="1"/>
  <c r="X18" s="1"/>
  <c r="Y18" s="1"/>
  <c r="M64"/>
  <c r="N60" s="1"/>
  <c r="H65"/>
  <c r="C96" s="1"/>
  <c r="Q14"/>
  <c r="R14" s="1"/>
  <c r="S14" s="1"/>
  <c r="O33"/>
  <c r="J87" s="1"/>
  <c r="N63"/>
  <c r="I88" s="1"/>
  <c r="P46"/>
  <c r="U13"/>
  <c r="V13" s="1"/>
  <c r="W13" s="1"/>
  <c r="X13" s="1"/>
  <c r="Y13" s="1"/>
  <c r="I64"/>
  <c r="J60" s="1"/>
  <c r="C111" l="1"/>
  <c r="C25" i="33" s="1"/>
  <c r="G111" i="37"/>
  <c r="G25" i="33" s="1"/>
  <c r="I19"/>
  <c r="I90" i="37"/>
  <c r="M65"/>
  <c r="H96" s="1"/>
  <c r="S16"/>
  <c r="T16" s="1"/>
  <c r="U16" s="1"/>
  <c r="V16" s="1"/>
  <c r="W16" s="1"/>
  <c r="X16" s="1"/>
  <c r="Y16" s="1"/>
  <c r="R19"/>
  <c r="S19" s="1"/>
  <c r="I65"/>
  <c r="D96" s="1"/>
  <c r="I20" i="33"/>
  <c r="J19"/>
  <c r="E35" i="37"/>
  <c r="O63"/>
  <c r="J88" s="1"/>
  <c r="J20" i="33" s="1"/>
  <c r="Q46" i="37"/>
  <c r="J64"/>
  <c r="K60" s="1"/>
  <c r="F34"/>
  <c r="G30" s="1"/>
  <c r="L30"/>
  <c r="T14"/>
  <c r="U14" s="1"/>
  <c r="V14" s="1"/>
  <c r="W14" s="1"/>
  <c r="X14" s="1"/>
  <c r="Y14" s="1"/>
  <c r="P33"/>
  <c r="K87" s="1"/>
  <c r="N64"/>
  <c r="O60" s="1"/>
  <c r="J22" i="33" l="1"/>
  <c r="H111" i="37"/>
  <c r="H25" i="33" s="1"/>
  <c r="D111" i="37"/>
  <c r="D25" i="33" s="1"/>
  <c r="I22"/>
  <c r="J90" i="37"/>
  <c r="F35"/>
  <c r="N65"/>
  <c r="I96" s="1"/>
  <c r="T19"/>
  <c r="U19" s="1"/>
  <c r="V19" s="1"/>
  <c r="W19" s="1"/>
  <c r="X19" s="1"/>
  <c r="Y19" s="1"/>
  <c r="L34"/>
  <c r="M30" s="1"/>
  <c r="R46"/>
  <c r="S46" s="1"/>
  <c r="T46" s="1"/>
  <c r="U46" s="1"/>
  <c r="V46" s="1"/>
  <c r="W46" s="1"/>
  <c r="X46" s="1"/>
  <c r="Y46" s="1"/>
  <c r="Z46" s="1"/>
  <c r="AA46" s="1"/>
  <c r="AB46" s="1"/>
  <c r="AC46" s="1"/>
  <c r="AD46" s="1"/>
  <c r="AE46" s="1"/>
  <c r="AF46" s="1"/>
  <c r="P63"/>
  <c r="K88" s="1"/>
  <c r="K20" i="33" s="1"/>
  <c r="O64" i="37"/>
  <c r="P60" s="1"/>
  <c r="G34"/>
  <c r="H30" s="1"/>
  <c r="J65"/>
  <c r="E96" s="1"/>
  <c r="K64"/>
  <c r="K65" s="1"/>
  <c r="F96" s="1"/>
  <c r="K19" i="33"/>
  <c r="K22" s="1"/>
  <c r="F111" i="37" l="1"/>
  <c r="F25" i="33" s="1"/>
  <c r="I111" i="37"/>
  <c r="I25" i="33" s="1"/>
  <c r="E111" i="37"/>
  <c r="E25" i="33" s="1"/>
  <c r="K90" i="37"/>
  <c r="P64"/>
  <c r="P65" s="1"/>
  <c r="K96" s="1"/>
  <c r="G35"/>
  <c r="B95" s="1"/>
  <c r="L35"/>
  <c r="G95" s="1"/>
  <c r="G110" s="1"/>
  <c r="G114" s="1"/>
  <c r="O65"/>
  <c r="J96" s="1"/>
  <c r="H34"/>
  <c r="I30" s="1"/>
  <c r="M34"/>
  <c r="N30" s="1"/>
  <c r="K111" l="1"/>
  <c r="K25" i="33" s="1"/>
  <c r="J111" i="37"/>
  <c r="J25" i="33" s="1"/>
  <c r="B99" i="37"/>
  <c r="B13" i="35" s="1"/>
  <c r="B110" i="37"/>
  <c r="B24" i="33" s="1"/>
  <c r="B28" s="1"/>
  <c r="G99" i="37"/>
  <c r="G13" i="35" s="1"/>
  <c r="G24" i="33"/>
  <c r="G28" s="1"/>
  <c r="H35" i="37"/>
  <c r="C95" s="1"/>
  <c r="C110" s="1"/>
  <c r="M35"/>
  <c r="H95" s="1"/>
  <c r="N34"/>
  <c r="O30" s="1"/>
  <c r="I34"/>
  <c r="J30" s="1"/>
  <c r="H110" l="1"/>
  <c r="H114" s="1"/>
  <c r="H99"/>
  <c r="H13" i="35" s="1"/>
  <c r="G118" i="37"/>
  <c r="G29" i="33" s="1"/>
  <c r="G30" s="1"/>
  <c r="G105" i="37"/>
  <c r="G11" i="35"/>
  <c r="G7"/>
  <c r="C99" i="37"/>
  <c r="C11" i="35" s="1"/>
  <c r="G12"/>
  <c r="B114" i="37"/>
  <c r="B118"/>
  <c r="B29" i="33" s="1"/>
  <c r="B30" s="1"/>
  <c r="B12" i="35"/>
  <c r="B11"/>
  <c r="B10"/>
  <c r="B14"/>
  <c r="G14"/>
  <c r="B105" i="37"/>
  <c r="B18" i="35" s="1"/>
  <c r="C24" i="33"/>
  <c r="C28" s="1"/>
  <c r="N35" i="37"/>
  <c r="I95" s="1"/>
  <c r="J34"/>
  <c r="K30" s="1"/>
  <c r="K34" s="1"/>
  <c r="K35" s="1"/>
  <c r="F95" s="1"/>
  <c r="I35"/>
  <c r="D95" s="1"/>
  <c r="O34"/>
  <c r="P30" s="1"/>
  <c r="H24" i="33"/>
  <c r="H28" s="1"/>
  <c r="I110" i="37" l="1"/>
  <c r="I114" s="1"/>
  <c r="I99"/>
  <c r="I105" s="1"/>
  <c r="C12" i="35"/>
  <c r="H14"/>
  <c r="D99" i="37"/>
  <c r="D13" i="35" s="1"/>
  <c r="D110" i="37"/>
  <c r="F99"/>
  <c r="F13" i="35" s="1"/>
  <c r="F110" i="37"/>
  <c r="C118"/>
  <c r="C29" i="33" s="1"/>
  <c r="C30" s="1"/>
  <c r="C7" i="35"/>
  <c r="C8"/>
  <c r="C10"/>
  <c r="C14"/>
  <c r="C13"/>
  <c r="C105" i="37"/>
  <c r="I24" i="33"/>
  <c r="I28" s="1"/>
  <c r="B17" i="35"/>
  <c r="B16"/>
  <c r="H12"/>
  <c r="H11"/>
  <c r="H7"/>
  <c r="G4" i="30"/>
  <c r="G7" s="1"/>
  <c r="C114" i="37"/>
  <c r="H118"/>
  <c r="H29" i="33" s="1"/>
  <c r="H105" i="37"/>
  <c r="P34"/>
  <c r="P35" s="1"/>
  <c r="K95" s="1"/>
  <c r="K99" s="1"/>
  <c r="O35"/>
  <c r="J95" s="1"/>
  <c r="J99" s="1"/>
  <c r="J35"/>
  <c r="E95" s="1"/>
  <c r="I13" i="35" l="1"/>
  <c r="C16"/>
  <c r="C18"/>
  <c r="E99" i="37"/>
  <c r="E13" i="35" s="1"/>
  <c r="E110" i="37"/>
  <c r="K13" i="35"/>
  <c r="K110" i="37"/>
  <c r="K114" s="1"/>
  <c r="J13" i="35"/>
  <c r="J110" i="37"/>
  <c r="J114" s="1"/>
  <c r="C17" i="35"/>
  <c r="D12"/>
  <c r="D10"/>
  <c r="D11"/>
  <c r="D14"/>
  <c r="I14"/>
  <c r="F7"/>
  <c r="F11"/>
  <c r="F12"/>
  <c r="F14"/>
  <c r="K14"/>
  <c r="I12"/>
  <c r="I11"/>
  <c r="H30" i="33"/>
  <c r="H4" i="30" s="1"/>
  <c r="D8" i="35"/>
  <c r="D7"/>
  <c r="I118" i="37"/>
  <c r="I7" i="35"/>
  <c r="G10"/>
  <c r="C75" i="32"/>
  <c r="G9" i="36" s="1"/>
  <c r="D118" i="37"/>
  <c r="D29" i="33" s="1"/>
  <c r="D105" i="37"/>
  <c r="D18" i="35" s="1"/>
  <c r="F114" i="37"/>
  <c r="F24" i="33"/>
  <c r="F28" s="1"/>
  <c r="D114" i="37"/>
  <c r="D24" i="33"/>
  <c r="D28" s="1"/>
  <c r="F118" i="37"/>
  <c r="F29" i="33" s="1"/>
  <c r="F105" i="37"/>
  <c r="I29" i="33" l="1"/>
  <c r="I30" s="1"/>
  <c r="I4" i="30" s="1"/>
  <c r="H7"/>
  <c r="H10" i="35" s="1"/>
  <c r="D16"/>
  <c r="D17"/>
  <c r="E10"/>
  <c r="E11"/>
  <c r="E12"/>
  <c r="E14"/>
  <c r="J14"/>
  <c r="K12"/>
  <c r="J12"/>
  <c r="K7"/>
  <c r="K11"/>
  <c r="J7"/>
  <c r="J11"/>
  <c r="D75" i="32"/>
  <c r="H9" i="36" s="1"/>
  <c r="H8" i="28" s="1"/>
  <c r="G16" i="30"/>
  <c r="G22" s="1"/>
  <c r="E8" i="35"/>
  <c r="E7"/>
  <c r="F30" i="33"/>
  <c r="F4" i="30" s="1"/>
  <c r="F7" s="1"/>
  <c r="D30" i="33"/>
  <c r="J24"/>
  <c r="J28" s="1"/>
  <c r="E105" i="37"/>
  <c r="E18" i="35" s="1"/>
  <c r="E118" i="37"/>
  <c r="E29" i="33" s="1"/>
  <c r="K118" i="37"/>
  <c r="K29" i="33" s="1"/>
  <c r="K105" i="37"/>
  <c r="J105"/>
  <c r="J118"/>
  <c r="J29" i="33" s="1"/>
  <c r="E114" i="37"/>
  <c r="E24" i="33"/>
  <c r="E28" s="1"/>
  <c r="K24"/>
  <c r="K28" s="1"/>
  <c r="I7" i="30" l="1"/>
  <c r="I10" i="35" s="1"/>
  <c r="E75" i="32"/>
  <c r="I9" i="36" s="1"/>
  <c r="I8" i="28" s="1"/>
  <c r="G4" i="35"/>
  <c r="H16" i="30"/>
  <c r="H22" s="1"/>
  <c r="G4" i="28"/>
  <c r="G7" s="1"/>
  <c r="G20" i="35"/>
  <c r="G19"/>
  <c r="E17"/>
  <c r="E16"/>
  <c r="G23" i="30"/>
  <c r="G11" i="28" s="1"/>
  <c r="G17" i="35"/>
  <c r="G16"/>
  <c r="F10"/>
  <c r="B75" i="32"/>
  <c r="E30" i="33"/>
  <c r="J30"/>
  <c r="J4" i="30" s="1"/>
  <c r="J7" s="1"/>
  <c r="K30" i="33"/>
  <c r="K4" i="30" s="1"/>
  <c r="K7" s="1"/>
  <c r="C36" i="36"/>
  <c r="H4" i="28" l="1"/>
  <c r="H7" s="1"/>
  <c r="I16" i="30"/>
  <c r="I22" s="1"/>
  <c r="I23" s="1"/>
  <c r="I11" i="28" s="1"/>
  <c r="H19" i="35"/>
  <c r="G18"/>
  <c r="G21"/>
  <c r="H16"/>
  <c r="H4"/>
  <c r="H20"/>
  <c r="H23" i="30"/>
  <c r="H11" i="28" s="1"/>
  <c r="H12" s="1"/>
  <c r="H22" s="1"/>
  <c r="H17" i="35"/>
  <c r="G24" i="30"/>
  <c r="F16"/>
  <c r="F22" s="1"/>
  <c r="K10" i="35"/>
  <c r="G75" i="32"/>
  <c r="J10" i="35"/>
  <c r="F75" i="32"/>
  <c r="F9" i="36"/>
  <c r="I16" i="35" l="1"/>
  <c r="I19"/>
  <c r="I4"/>
  <c r="I20"/>
  <c r="I4" i="28"/>
  <c r="I7" s="1"/>
  <c r="I12" s="1"/>
  <c r="I22" s="1"/>
  <c r="I17" i="35"/>
  <c r="I18"/>
  <c r="H21"/>
  <c r="I21"/>
  <c r="H18"/>
  <c r="F23" i="30"/>
  <c r="F11" i="28" s="1"/>
  <c r="I24" i="30"/>
  <c r="H24"/>
  <c r="F4" i="28"/>
  <c r="F7" s="1"/>
  <c r="F20" i="35"/>
  <c r="F17"/>
  <c r="F16"/>
  <c r="F19"/>
  <c r="F8" i="28"/>
  <c r="G8"/>
  <c r="G12" s="1"/>
  <c r="G22" s="1"/>
  <c r="F4" i="35"/>
  <c r="J16" i="30"/>
  <c r="J22" s="1"/>
  <c r="K16"/>
  <c r="K22" s="1"/>
  <c r="K9" i="36"/>
  <c r="J9"/>
  <c r="J8" i="28" s="1"/>
  <c r="D36" i="36"/>
  <c r="F24" i="30" l="1"/>
  <c r="F19" i="36" s="1"/>
  <c r="G19" s="1"/>
  <c r="H19" s="1"/>
  <c r="I19" s="1"/>
  <c r="F18" i="35"/>
  <c r="F21"/>
  <c r="J4" i="28"/>
  <c r="J7" s="1"/>
  <c r="J23" i="30"/>
  <c r="J11" i="28" s="1"/>
  <c r="K8"/>
  <c r="K4"/>
  <c r="K7" s="1"/>
  <c r="K19" i="35"/>
  <c r="K20"/>
  <c r="K17"/>
  <c r="K16"/>
  <c r="J4"/>
  <c r="J20"/>
  <c r="J17"/>
  <c r="J16"/>
  <c r="J19"/>
  <c r="K23" i="30"/>
  <c r="K11" i="28" s="1"/>
  <c r="K4" i="35"/>
  <c r="F12" i="28"/>
  <c r="F22" s="1"/>
  <c r="F20" i="36" l="1"/>
  <c r="J12" i="28"/>
  <c r="J22" s="1"/>
  <c r="J18" i="35"/>
  <c r="K18"/>
  <c r="J21"/>
  <c r="K21"/>
  <c r="J24" i="30"/>
  <c r="J19" i="36" s="1"/>
  <c r="G20"/>
  <c r="F5" i="35"/>
  <c r="K12" i="28"/>
  <c r="K22" s="1"/>
  <c r="K24" i="30"/>
  <c r="F23" i="28"/>
  <c r="E36" i="36"/>
  <c r="K19" l="1"/>
  <c r="H20"/>
  <c r="G5" i="35"/>
  <c r="I20" i="36" l="1"/>
  <c r="H5" i="35"/>
  <c r="F13" i="36"/>
  <c r="G21" i="28"/>
  <c r="G23" s="1"/>
  <c r="J20" i="36" l="1"/>
  <c r="I5" i="35"/>
  <c r="F8"/>
  <c r="F14" i="36"/>
  <c r="F36" s="1"/>
  <c r="H21" i="28"/>
  <c r="H23" s="1"/>
  <c r="G13" i="36"/>
  <c r="K20" l="1"/>
  <c r="K5" i="35" s="1"/>
  <c r="J5"/>
  <c r="G14" i="36"/>
  <c r="G36" s="1"/>
  <c r="G8" i="35"/>
  <c r="I21" i="28"/>
  <c r="I23" s="1"/>
  <c r="H13" i="36"/>
  <c r="H8" i="35" s="1"/>
  <c r="H14" i="36" l="1"/>
  <c r="H36" s="1"/>
  <c r="I13"/>
  <c r="I8" i="35" s="1"/>
  <c r="J21" i="28"/>
  <c r="J23" s="1"/>
  <c r="I14" i="36" l="1"/>
  <c r="I36" s="1"/>
  <c r="J13"/>
  <c r="J8" i="35" s="1"/>
  <c r="K21" i="28"/>
  <c r="K23" l="1"/>
  <c r="K13" i="36" s="1"/>
  <c r="J14"/>
  <c r="J36" s="1"/>
  <c r="K14" l="1"/>
  <c r="K36" s="1"/>
  <c r="K8" i="35"/>
</calcChain>
</file>

<file path=xl/sharedStrings.xml><?xml version="1.0" encoding="utf-8"?>
<sst xmlns="http://schemas.openxmlformats.org/spreadsheetml/2006/main" count="1939" uniqueCount="718">
  <si>
    <t>Facilities</t>
  </si>
  <si>
    <t>Depreciation</t>
  </si>
  <si>
    <t>Overtime</t>
  </si>
  <si>
    <t>Other Allowances - Standby</t>
  </si>
  <si>
    <t>Bonus &amp; Profit related pay</t>
  </si>
  <si>
    <t>Basic salaries and wage expense (included Ee's pension contribution)</t>
  </si>
  <si>
    <t>National Insurance Contributions-Employers</t>
  </si>
  <si>
    <t>Agency Staff</t>
  </si>
  <si>
    <t>Gearing (%)</t>
  </si>
  <si>
    <t>2012/13</t>
  </si>
  <si>
    <t>2010/11</t>
  </si>
  <si>
    <t>2011/12</t>
  </si>
  <si>
    <t>2013/14</t>
  </si>
  <si>
    <t>2014/15</t>
  </si>
  <si>
    <t>2015/16</t>
  </si>
  <si>
    <t>2016/17</t>
  </si>
  <si>
    <t>2017/18</t>
  </si>
  <si>
    <t>2018/19</t>
  </si>
  <si>
    <t>2019/20</t>
  </si>
  <si>
    <t>Number of Full Time Equivalents (FTEs)</t>
  </si>
  <si>
    <t>Ongoing Pension Costs - Defined Contributions Scheme-Employers</t>
  </si>
  <si>
    <t>Telecommunications</t>
  </si>
  <si>
    <t>Software Licences and Support</t>
  </si>
  <si>
    <t>Total</t>
  </si>
  <si>
    <t>Ongoing Pension Costs - Defined Benefit Scheme-Employers</t>
  </si>
  <si>
    <t xml:space="preserve">Pension Deficit </t>
  </si>
  <si>
    <t>Legal Costs (excluding Network Planning Function)</t>
  </si>
  <si>
    <t>Professional Services (Excluding Network Planning Function)</t>
  </si>
  <si>
    <t>Other (please specify) (Recharges)</t>
  </si>
  <si>
    <t>Other Opex</t>
  </si>
  <si>
    <t>Public Affairs</t>
  </si>
  <si>
    <t>Closing RAB</t>
  </si>
  <si>
    <t>Average RAB</t>
  </si>
  <si>
    <t>pre 1/11/07</t>
  </si>
  <si>
    <t>Opening RAB</t>
  </si>
  <si>
    <t>Group Recharge - by SONI TSO</t>
  </si>
  <si>
    <t>Group Recharge - to SONI TSO</t>
  </si>
  <si>
    <t>Groups Recharges already covered in other GL's</t>
  </si>
  <si>
    <t>Innovation</t>
  </si>
  <si>
    <t xml:space="preserve">DS3 </t>
  </si>
  <si>
    <t xml:space="preserve">Network Planning Consultancy </t>
  </si>
  <si>
    <t>Grid Code</t>
  </si>
  <si>
    <t>Other operating expenditure</t>
  </si>
  <si>
    <r>
      <t xml:space="preserve"> - </t>
    </r>
    <r>
      <rPr>
        <b/>
        <i/>
        <sz val="11"/>
        <color theme="1"/>
        <rFont val="Calibri"/>
        <family val="2"/>
        <scheme val="minor"/>
      </rPr>
      <t>Professional Fees</t>
    </r>
  </si>
  <si>
    <t xml:space="preserve"> - Facilities</t>
  </si>
  <si>
    <t>Ongoing pension costs</t>
  </si>
  <si>
    <t>Payroll/HR (excluding pensions)</t>
  </si>
  <si>
    <t>IT and Communications</t>
  </si>
  <si>
    <t>Professional fees</t>
  </si>
  <si>
    <t>Payroll/HR (excluding pension costs)</t>
  </si>
  <si>
    <t xml:space="preserve"> - Charges made by SONI to group companies</t>
  </si>
  <si>
    <t xml:space="preserve"> - Charges made by group companies to SONI</t>
  </si>
  <si>
    <t>Charges made by SONI to group companies</t>
  </si>
  <si>
    <t>Charges made by group companies to SONI</t>
  </si>
  <si>
    <t>Pension deficit</t>
  </si>
  <si>
    <t xml:space="preserve"> - Non-building</t>
  </si>
  <si>
    <t xml:space="preserve"> - Building</t>
  </si>
  <si>
    <t>Real price effects + Productivity</t>
  </si>
  <si>
    <t>Cost of equity (post tax) (%)</t>
  </si>
  <si>
    <t>Cost of debt (%)</t>
  </si>
  <si>
    <t>Corporation tax rates</t>
  </si>
  <si>
    <t>WACC elements</t>
  </si>
  <si>
    <t>Group recharges</t>
  </si>
  <si>
    <t>Scheme Surplus/Deficit - SO staff (Network planning only)</t>
  </si>
  <si>
    <t>Scheme Surplus/Deficit - SO staff (Excl network planning, but possibly includes MO staff)</t>
  </si>
  <si>
    <t>30/09/2009 (Dt)</t>
  </si>
  <si>
    <t>Asssets bought in period ending</t>
  </si>
  <si>
    <t>Depreciation period</t>
  </si>
  <si>
    <t>Months in period</t>
  </si>
  <si>
    <t>Depreciation period to use (years)</t>
  </si>
  <si>
    <t>30/03/2010 (Dt)</t>
  </si>
  <si>
    <t>Non-Building</t>
  </si>
  <si>
    <t>Non-Building depreciation</t>
  </si>
  <si>
    <t>Straightline depreciation profile (up to 31/03/2010) in years</t>
  </si>
  <si>
    <t>Straightline depreciation profile (From 01/10/2015) in years</t>
  </si>
  <si>
    <t>Straightline depreciation profile ( 01/04/2010 - 30/09/2015) in years</t>
  </si>
  <si>
    <t>Additions to the RAB</t>
  </si>
  <si>
    <t>Period start date</t>
  </si>
  <si>
    <t>31/09/2011</t>
  </si>
  <si>
    <t>31/09/2012</t>
  </si>
  <si>
    <t>31/09/2013</t>
  </si>
  <si>
    <t>31/09/2014</t>
  </si>
  <si>
    <t>31/09/2015</t>
  </si>
  <si>
    <t>31/09/2016</t>
  </si>
  <si>
    <t>31/09/2017</t>
  </si>
  <si>
    <t>31/09/2018</t>
  </si>
  <si>
    <t>31/09/2019</t>
  </si>
  <si>
    <t>31/09/2020</t>
  </si>
  <si>
    <t>Perion end date</t>
  </si>
  <si>
    <t>DT additions before 31/03/2010</t>
  </si>
  <si>
    <t>Forecast RAB additions for 01/10/2015 to 30/09/2020</t>
  </si>
  <si>
    <t>Hardcoded depreciation allowances for pre-2007 assets</t>
  </si>
  <si>
    <t>Hardcoded depreciation allowances for assets funded through Dt (1)</t>
  </si>
  <si>
    <t>Hardcoded depreciation allowances for assets funded through Dt (2)</t>
  </si>
  <si>
    <t>Straightline depreciation profile in years</t>
  </si>
  <si>
    <t xml:space="preserve">Additions before 31/03/2010 </t>
  </si>
  <si>
    <t>Building depreciation</t>
  </si>
  <si>
    <t>Additions in the price control for 01/04/2010 to 30/09/2015</t>
  </si>
  <si>
    <t>Building</t>
  </si>
  <si>
    <t>Return on Average RAB</t>
  </si>
  <si>
    <t xml:space="preserve"> - Total</t>
  </si>
  <si>
    <t>Grand total</t>
  </si>
  <si>
    <t>Other items</t>
  </si>
  <si>
    <t>Depreciation - Buildings</t>
  </si>
  <si>
    <t>Depreciation - All assets excluding buildings</t>
  </si>
  <si>
    <t>Depreciation in SONI Business Plan submission</t>
  </si>
  <si>
    <t>Return on Capital in SONI Business Plan submission</t>
  </si>
  <si>
    <t>Moyle Collection Agreement</t>
  </si>
  <si>
    <t>Other Income (please specify)</t>
  </si>
  <si>
    <t>System Support Services (HAS)</t>
  </si>
  <si>
    <t>Sync Comp</t>
  </si>
  <si>
    <t>Moyle Frequency</t>
  </si>
  <si>
    <t>GPI, SND, Trips</t>
  </si>
  <si>
    <t>Operating profit</t>
  </si>
  <si>
    <t>RPI (CHAW)</t>
  </si>
  <si>
    <t>RPI Index (CHAW) in April of the year</t>
  </si>
  <si>
    <t>RPI index for the base year</t>
  </si>
  <si>
    <t>RPI adjustment</t>
  </si>
  <si>
    <t>RPI adjustment factor to the base year</t>
  </si>
  <si>
    <t>Additions (in licence or forecast)</t>
  </si>
  <si>
    <t>Other income</t>
  </si>
  <si>
    <t>Costs</t>
  </si>
  <si>
    <t>Scheme Surplus/Deficit - SO staff (Excl network planning)</t>
  </si>
  <si>
    <t>Period start</t>
  </si>
  <si>
    <t>Period end</t>
  </si>
  <si>
    <t>Period 1</t>
  </si>
  <si>
    <t>Period 2</t>
  </si>
  <si>
    <t>Period 3</t>
  </si>
  <si>
    <t>Period 4</t>
  </si>
  <si>
    <t>Period 5</t>
  </si>
  <si>
    <t>Period 6</t>
  </si>
  <si>
    <t>Period 7</t>
  </si>
  <si>
    <t>Period 8</t>
  </si>
  <si>
    <t>Period 9</t>
  </si>
  <si>
    <t>Period 10</t>
  </si>
  <si>
    <t>Period 11</t>
  </si>
  <si>
    <t>Period 12</t>
  </si>
  <si>
    <t>Period 13</t>
  </si>
  <si>
    <t>Period 14</t>
  </si>
  <si>
    <t>Period 15</t>
  </si>
  <si>
    <t>Depreciation periods</t>
  </si>
  <si>
    <t>Revenues</t>
  </si>
  <si>
    <t>Kt</t>
  </si>
  <si>
    <t>SSS Invoices</t>
  </si>
  <si>
    <t>K factor SSS (Total K factor - SSS, TUoS &amp; CAIRt)</t>
  </si>
  <si>
    <t>Connections</t>
  </si>
  <si>
    <t>Other Income (please specify) (TUoS)</t>
  </si>
  <si>
    <t>Other Income (please specify) (CAIRt)</t>
  </si>
  <si>
    <t>Total Revenue</t>
  </si>
  <si>
    <t>At</t>
  </si>
  <si>
    <t>TUoS (net position)</t>
  </si>
  <si>
    <t>Other direct Costs (please specify) (CAIRt)</t>
  </si>
  <si>
    <t>Other direct Costs (please specify) (Interco GTUoS)</t>
  </si>
  <si>
    <t>ENTSO-E</t>
  </si>
  <si>
    <t>Dt</t>
  </si>
  <si>
    <t>Moyle Interconnector Costs</t>
  </si>
  <si>
    <t>Rates</t>
  </si>
  <si>
    <t>Other Projects (please specify)</t>
  </si>
  <si>
    <t>Pension Liability (Section 75)</t>
  </si>
  <si>
    <t>Accounting Depreciation</t>
  </si>
  <si>
    <t>At costs</t>
  </si>
  <si>
    <t>Dt costs</t>
  </si>
  <si>
    <t>Depreciation for building additions before Sept 2010 (April 2010 prices)</t>
  </si>
  <si>
    <t>CAIRt</t>
  </si>
  <si>
    <t>SSS invoices</t>
  </si>
  <si>
    <t>TUoS</t>
  </si>
  <si>
    <t>Total revenues</t>
  </si>
  <si>
    <t>Total revenues (excluding Kt)</t>
  </si>
  <si>
    <t>Accounting depreciation</t>
  </si>
  <si>
    <t>Other costs</t>
  </si>
  <si>
    <t>Interest costs</t>
  </si>
  <si>
    <t>Interest</t>
  </si>
  <si>
    <t>Revenue</t>
  </si>
  <si>
    <t>£000s, nominal</t>
  </si>
  <si>
    <t>Starting RAB (on 01/11/2007) (£000s in 2009/10 prices)</t>
  </si>
  <si>
    <t>Starting RAB (on 30/09/2010) (£000s in 2009/10 prices)</t>
  </si>
  <si>
    <t>Non-current assets</t>
  </si>
  <si>
    <t>Trade and other receivables</t>
  </si>
  <si>
    <t>Cash and cash equivalents</t>
  </si>
  <si>
    <t>Issued share capital</t>
  </si>
  <si>
    <t>Non-current liabilities</t>
  </si>
  <si>
    <t>Borrowings</t>
  </si>
  <si>
    <t>Total non-current liabilities</t>
  </si>
  <si>
    <t>Trade and other payables</t>
  </si>
  <si>
    <t>Current tax liability</t>
  </si>
  <si>
    <t>Total current liabilities</t>
  </si>
  <si>
    <t>Balance sheet items</t>
  </si>
  <si>
    <t>Property, plant and equipment</t>
  </si>
  <si>
    <t>Deferred tax asset</t>
  </si>
  <si>
    <t>Current assets</t>
  </si>
  <si>
    <t>Current tax asset</t>
  </si>
  <si>
    <t>Equity</t>
  </si>
  <si>
    <t>Hedging reserve</t>
  </si>
  <si>
    <t>Retained earnings</t>
  </si>
  <si>
    <t>Derivative financial instruments</t>
  </si>
  <si>
    <t>Deferred tax liabilities</t>
  </si>
  <si>
    <t>Current liabilities</t>
  </si>
  <si>
    <t>K factor receivable</t>
  </si>
  <si>
    <t>K factor payable</t>
  </si>
  <si>
    <t>Deferred tax</t>
  </si>
  <si>
    <t>Amounts owed by group undertakings</t>
  </si>
  <si>
    <t>Amounts owed to group undertakings</t>
  </si>
  <si>
    <t>Total non-current assets</t>
  </si>
  <si>
    <t>Total current assets</t>
  </si>
  <si>
    <t>Total equity</t>
  </si>
  <si>
    <t>Cash flows from operating activities</t>
  </si>
  <si>
    <t>Defined benefit pension charge less contributions paid</t>
  </si>
  <si>
    <t>Operating cash flows before movement in working capital</t>
  </si>
  <si>
    <t>Interest received</t>
  </si>
  <si>
    <t>Interest paid</t>
  </si>
  <si>
    <t>Current taxes paid</t>
  </si>
  <si>
    <t>Net cash flows from operating activities</t>
  </si>
  <si>
    <t>Cash flows used in investing activities</t>
  </si>
  <si>
    <t>Purchase of property, plant and equipment</t>
  </si>
  <si>
    <t>Cash flows from financing activities</t>
  </si>
  <si>
    <t>Proceeds from borrowings</t>
  </si>
  <si>
    <t>Repayment of borrowings</t>
  </si>
  <si>
    <t>Change in cash and cash equivalents</t>
  </si>
  <si>
    <t>Cash and cash equivalents at the start of the year</t>
  </si>
  <si>
    <t>Cash and cash equivalents at the end of the year</t>
  </si>
  <si>
    <t>Total increase in working capital</t>
  </si>
  <si>
    <t>Financial ratios</t>
  </si>
  <si>
    <t>Dividend paid</t>
  </si>
  <si>
    <t>Input data</t>
  </si>
  <si>
    <t>Opex trend assumptions</t>
  </si>
  <si>
    <t>Operating expenditure (Bt) elements</t>
  </si>
  <si>
    <t>General input data</t>
  </si>
  <si>
    <t>Revenue and other cost elements</t>
  </si>
  <si>
    <t>RAB and depreciation</t>
  </si>
  <si>
    <t>Non building additions before Sept 2010 (£000s, April 2010 prices)</t>
  </si>
  <si>
    <t>Non-building Dt additions (£000s, April 2010 prices)</t>
  </si>
  <si>
    <t>Non building additions Apr 2010 to Sept 2015 (£000s, April 2010 prices)</t>
  </si>
  <si>
    <t>Building additions before Sept 2010 (£000s, April 2010 prices)</t>
  </si>
  <si>
    <t>Building additions Apr 2010 to Sept 2015 (£000s, April 2010 prices)</t>
  </si>
  <si>
    <t>Depreciation for non-building Dt additions (£000s, April 2010 prices)</t>
  </si>
  <si>
    <t>Cash flow items</t>
  </si>
  <si>
    <t>Return on equity (Profit after interest costs/Equity)</t>
  </si>
  <si>
    <t>Base year for the model</t>
  </si>
  <si>
    <t>£000s, April 2014 prices</t>
  </si>
  <si>
    <t>RPI adjustment factor to the base year (for forecast RAB additions only)</t>
  </si>
  <si>
    <t>Depreciation calculations (£000s in base year prices)</t>
  </si>
  <si>
    <t>Base year prices (£000s)</t>
  </si>
  <si>
    <t>Depreciation calculations (£000s base year prices)</t>
  </si>
  <si>
    <t>Depreciation (Base year prices)</t>
  </si>
  <si>
    <t>Starting RAB (on 01/11/2007) (£000s in base year prices)</t>
  </si>
  <si>
    <t>£000s in base year prices</t>
  </si>
  <si>
    <t>Starting RAB (on 30/09/2010) (£000s in base year prices)</t>
  </si>
  <si>
    <t>£000s, Base year prices</t>
  </si>
  <si>
    <t>Interest earned</t>
  </si>
  <si>
    <t>Profit and loss statement (Nominal prices)</t>
  </si>
  <si>
    <t>£000s, Nominal</t>
  </si>
  <si>
    <t>Cash flow statement (Nominal prices)</t>
  </si>
  <si>
    <t>Balance sheet (Nominal prices)</t>
  </si>
  <si>
    <t>Actual (for information)</t>
  </si>
  <si>
    <t>Allowed</t>
  </si>
  <si>
    <t>Additions (allowed)</t>
  </si>
  <si>
    <t>Allowed additions for 01/04/2010 to 30/09/2015</t>
  </si>
  <si>
    <t>Adjustment for tax on nominal interest costs</t>
  </si>
  <si>
    <t>Finance parameters</t>
  </si>
  <si>
    <t>Nominal interest rate for cost of debt</t>
  </si>
  <si>
    <t>RPI forecasts</t>
  </si>
  <si>
    <t>Notional interest paid under gearing assumption</t>
  </si>
  <si>
    <t>Revenues (Invoices sent)</t>
  </si>
  <si>
    <t>Deferred revenue (Kt)</t>
  </si>
  <si>
    <t>Profit Margin (EBIT/revenue)</t>
  </si>
  <si>
    <t>Profit before tax</t>
  </si>
  <si>
    <t>Corporation tax</t>
  </si>
  <si>
    <t>Profit after tax</t>
  </si>
  <si>
    <t>Dt(1)</t>
  </si>
  <si>
    <t>Dt(2)</t>
  </si>
  <si>
    <t>Depreciation for non building additions before November 2007 (£000s, April 2010 prices)</t>
  </si>
  <si>
    <t>Consistent with licence</t>
  </si>
  <si>
    <t>Payroll - All departments</t>
  </si>
  <si>
    <t>Total Telecommunications</t>
  </si>
  <si>
    <t>Total Hardware and Support</t>
  </si>
  <si>
    <t>Cash flows from investment activities</t>
  </si>
  <si>
    <t>Network Spend (Receipts) - net</t>
  </si>
  <si>
    <t>Corporation tax expense (credit)</t>
  </si>
  <si>
    <t>Total facilities costs</t>
  </si>
  <si>
    <t>Groups Recharges already covered in other GLs</t>
  </si>
  <si>
    <t>Facilities recharge to SEMO</t>
  </si>
  <si>
    <t>Insurance</t>
  </si>
  <si>
    <t xml:space="preserve"> - Insurance</t>
  </si>
  <si>
    <t>K correction</t>
  </si>
  <si>
    <t>Cost of sales</t>
  </si>
  <si>
    <t>Other operating costs</t>
  </si>
  <si>
    <t>Interest income</t>
  </si>
  <si>
    <t>Finance costs</t>
  </si>
  <si>
    <t>From Regulatory accounts</t>
  </si>
  <si>
    <t>Interest paid on K correction</t>
  </si>
  <si>
    <t>£000s, Nominal prices</t>
  </si>
  <si>
    <t>Non-trading income included in the statement of comprehensive income</t>
  </si>
  <si>
    <t>DBC incentivisation payments</t>
  </si>
  <si>
    <t>DBC incentive</t>
  </si>
  <si>
    <t>Depreciation - Non-building assets (excluding pre-construction assets)</t>
  </si>
  <si>
    <t>Starting RAB (on 30/09/2015) (£000s in April 2014 prices)</t>
  </si>
  <si>
    <t>Pre-construction assets</t>
  </si>
  <si>
    <t xml:space="preserve"> - Pre-construction assets</t>
  </si>
  <si>
    <t>Operating profit/loss</t>
  </si>
  <si>
    <t>Net cash flow from borrowings</t>
  </si>
  <si>
    <t>Interest rate on additional borrowing</t>
  </si>
  <si>
    <t>Assumed interest rate on forecast borrowing</t>
  </si>
  <si>
    <t>Input data - In nominal prices</t>
  </si>
  <si>
    <t>Balance sheet items (in nominal prices)</t>
  </si>
  <si>
    <t>Operating expenditure calculations (Nominal prices)</t>
  </si>
  <si>
    <t>P&amp;L calculations (Nominal prices)</t>
  </si>
  <si>
    <t>Balance sheet calculations (Nominal prices)</t>
  </si>
  <si>
    <t>Total Operating Costs Including Pension Deficit</t>
  </si>
  <si>
    <t>Average RAB (Base year prices)</t>
  </si>
  <si>
    <t>Return on Average RAB (base year prices)</t>
  </si>
  <si>
    <t>Return and tax allowances (Base year prices)</t>
  </si>
  <si>
    <t>RAB depreciation (Base year prices)</t>
  </si>
  <si>
    <t>RAB depreciation and return (Base year prices)</t>
  </si>
  <si>
    <t>SONI Register of Assets - as at 30 June 2014</t>
  </si>
  <si>
    <t>Financial Year</t>
  </si>
  <si>
    <t>Asset Group</t>
  </si>
  <si>
    <t>Asset Number</t>
  </si>
  <si>
    <t xml:space="preserve">Date of Acquisition </t>
  </si>
  <si>
    <t>Asset Name</t>
  </si>
  <si>
    <t>Asset Life in Accounts</t>
  </si>
  <si>
    <t>Start Date of Depreciation</t>
  </si>
  <si>
    <t>Original Cost</t>
  </si>
  <si>
    <t>Depreciation to 30 June 2014</t>
  </si>
  <si>
    <t>Net Book Value as at 30 June 2014</t>
  </si>
  <si>
    <t>2008 - 09</t>
  </si>
  <si>
    <t>BUIL</t>
  </si>
  <si>
    <t>A00002</t>
  </si>
  <si>
    <t>Perimeter Lights</t>
  </si>
  <si>
    <t>A00003</t>
  </si>
  <si>
    <t>Land: Op bal adj 24/05/09</t>
  </si>
  <si>
    <t>A00004</t>
  </si>
  <si>
    <t>Buildings: Op bal adj 24/05/09</t>
  </si>
  <si>
    <t>A00027</t>
  </si>
  <si>
    <t>Car Park Extension: Red Sky</t>
  </si>
  <si>
    <t>A00028</t>
  </si>
  <si>
    <t>Car Park Extension:JMcClements</t>
  </si>
  <si>
    <t>2009 - 10</t>
  </si>
  <si>
    <t>A00054</t>
  </si>
  <si>
    <t>F&amp;F: CHCC Refurbishment</t>
  </si>
  <si>
    <t>2010 - 11</t>
  </si>
  <si>
    <t>A00068</t>
  </si>
  <si>
    <t>PHASE1 Build Ext &amp; Refurb:Roof</t>
  </si>
  <si>
    <t>2011 - 12</t>
  </si>
  <si>
    <t>A00100</t>
  </si>
  <si>
    <t>Aircon Unit for ECC (CP34) TAX</t>
  </si>
  <si>
    <t>2012 - 13</t>
  </si>
  <si>
    <t>A00122</t>
  </si>
  <si>
    <t>Data Centre Air Con System TAX</t>
  </si>
  <si>
    <t>CHW</t>
  </si>
  <si>
    <t>A00012</t>
  </si>
  <si>
    <t>IT Infrastructure: Op bal adj</t>
  </si>
  <si>
    <t>A00014</t>
  </si>
  <si>
    <t>Hard drives for Oracle Server</t>
  </si>
  <si>
    <t>A00015</t>
  </si>
  <si>
    <t>Laptop for R.McCormick</t>
  </si>
  <si>
    <t>A00016</t>
  </si>
  <si>
    <t>PC for G.Crookshanks</t>
  </si>
  <si>
    <t>A00017</t>
  </si>
  <si>
    <t>PC for G.Flanagan</t>
  </si>
  <si>
    <t>A00018</t>
  </si>
  <si>
    <t>PC for I.Stevenson</t>
  </si>
  <si>
    <t>A00019</t>
  </si>
  <si>
    <t>IT Hardware:Op bal adj 24/5/09</t>
  </si>
  <si>
    <t>A00029</t>
  </si>
  <si>
    <t>EMS-TSO Firewalls</t>
  </si>
  <si>
    <t>A00044</t>
  </si>
  <si>
    <t>Core LAN Upgrade CP1</t>
  </si>
  <si>
    <t>A00047</t>
  </si>
  <si>
    <t>Event Recorder</t>
  </si>
  <si>
    <t>A00049</t>
  </si>
  <si>
    <t>GMS:12 Modems &amp; 2 Racks CP10</t>
  </si>
  <si>
    <t>A00055</t>
  </si>
  <si>
    <t>1st Floor Cabling CP6</t>
  </si>
  <si>
    <t>A00059</t>
  </si>
  <si>
    <t>Infrastructure Backup H/W CP11</t>
  </si>
  <si>
    <t>A00060</t>
  </si>
  <si>
    <t>5550DN Planning Printer CP12</t>
  </si>
  <si>
    <t>A00061</t>
  </si>
  <si>
    <t>Corporate IT Infrastructure</t>
  </si>
  <si>
    <t>A00062</t>
  </si>
  <si>
    <t>Computer Equip: 4 PCs CP4</t>
  </si>
  <si>
    <t>A00063</t>
  </si>
  <si>
    <t>WASPAsset labelling Equip.CP8</t>
  </si>
  <si>
    <t>A00065</t>
  </si>
  <si>
    <t>Computer Equip: 6 Laptops CP4</t>
  </si>
  <si>
    <t>A00074</t>
  </si>
  <si>
    <t>Fujitsu S760 Laptop (KK) CP20</t>
  </si>
  <si>
    <t>A00075</t>
  </si>
  <si>
    <t>Fujitsu S760 Laptop (MP) CP20</t>
  </si>
  <si>
    <t>A00080</t>
  </si>
  <si>
    <t>PHASE1PortacabinRefurb: IT H/W</t>
  </si>
  <si>
    <t>A00085</t>
  </si>
  <si>
    <t>Wide Area Network Upgrade</t>
  </si>
  <si>
    <t>A00086</t>
  </si>
  <si>
    <t>Laptop for A.Baird (CP22)</t>
  </si>
  <si>
    <t>A00091</t>
  </si>
  <si>
    <t>6 Desktops (CP27)</t>
  </si>
  <si>
    <t>A00093</t>
  </si>
  <si>
    <t>PHASE2 PortacabinRefurb:IT H/W</t>
  </si>
  <si>
    <t>A00094</t>
  </si>
  <si>
    <t>4 IPC Cabinets (CP030)</t>
  </si>
  <si>
    <t>A00096</t>
  </si>
  <si>
    <t>4 Laptops (CP020)</t>
  </si>
  <si>
    <t>A00101</t>
  </si>
  <si>
    <t>Test SAN Storage (CP28)</t>
  </si>
  <si>
    <t>A00103</t>
  </si>
  <si>
    <t>Laptop (CP37)</t>
  </si>
  <si>
    <t>A00106</t>
  </si>
  <si>
    <t>Edil PCs/New Start PCs(CP41)</t>
  </si>
  <si>
    <t>2013 - 14</t>
  </si>
  <si>
    <t>A00108</t>
  </si>
  <si>
    <t>Laptop For T.McCartan (CP43)</t>
  </si>
  <si>
    <t>A00110</t>
  </si>
  <si>
    <t>Wireless Network Lan</t>
  </si>
  <si>
    <t>A00116</t>
  </si>
  <si>
    <t>Intraday Trading System (IDT)</t>
  </si>
  <si>
    <t>A00119</t>
  </si>
  <si>
    <t>3 laptops for Projects (CP047)</t>
  </si>
  <si>
    <t>A00124</t>
  </si>
  <si>
    <t>Laptop for G.Crookshanks CP49</t>
  </si>
  <si>
    <t>A00125</t>
  </si>
  <si>
    <t>Additional SAN Storage (CP039)</t>
  </si>
  <si>
    <t>A00130</t>
  </si>
  <si>
    <t>2 W/Stations &amp; 3 PCs(PROMODIV)</t>
  </si>
  <si>
    <t>A00131</t>
  </si>
  <si>
    <t>Additional SAN Storage (CP052)</t>
  </si>
  <si>
    <t>A00136</t>
  </si>
  <si>
    <t>8 Laptops &amp; 4 Monitors</t>
  </si>
  <si>
    <t>A00137</t>
  </si>
  <si>
    <t>Desktop Replacement Project</t>
  </si>
  <si>
    <t>CSW</t>
  </si>
  <si>
    <t>A00020</t>
  </si>
  <si>
    <t>IT Software:Op bal adj 24/5/09</t>
  </si>
  <si>
    <t>A00034</t>
  </si>
  <si>
    <t>Etso Vista Data Transfer</t>
  </si>
  <si>
    <t>A00038</t>
  </si>
  <si>
    <t>SAP Access Database</t>
  </si>
  <si>
    <t>A00040</t>
  </si>
  <si>
    <t>PSSE Licenses (3)</t>
  </si>
  <si>
    <t>A00041</t>
  </si>
  <si>
    <t>PSSE Licence (1) CP2</t>
  </si>
  <si>
    <t>A00043</t>
  </si>
  <si>
    <t>GMS Licenses</t>
  </si>
  <si>
    <t>A00046</t>
  </si>
  <si>
    <t>Aggregated Generating Unit(AGU</t>
  </si>
  <si>
    <t>A00051</t>
  </si>
  <si>
    <t>Disturbance Recorder S/W CP5</t>
  </si>
  <si>
    <t>A00058</t>
  </si>
  <si>
    <t>Infrastructure Backup S/W CP11</t>
  </si>
  <si>
    <t>A00072</t>
  </si>
  <si>
    <t>Syst Mod for Dual Rated Gener</t>
  </si>
  <si>
    <t>A00078</t>
  </si>
  <si>
    <t>SONI Website Phase 1</t>
  </si>
  <si>
    <t>A00081</t>
  </si>
  <si>
    <t>Adcal Version 3</t>
  </si>
  <si>
    <t>A00082</t>
  </si>
  <si>
    <t>GTUoS &amp; TLAFs</t>
  </si>
  <si>
    <t>A00087</t>
  </si>
  <si>
    <t>Sharepoint Admin Pack (CP23)</t>
  </si>
  <si>
    <t>A00088</t>
  </si>
  <si>
    <t>PSSE Licence (5) (CP24)</t>
  </si>
  <si>
    <t>A00089</t>
  </si>
  <si>
    <t>Symantec Backup Software(CP26)</t>
  </si>
  <si>
    <t>A00092</t>
  </si>
  <si>
    <t>ODMS Software (CP29)</t>
  </si>
  <si>
    <t>A00104</t>
  </si>
  <si>
    <t>PROMOD IV Software Licence</t>
  </si>
  <si>
    <t>A00111</t>
  </si>
  <si>
    <t>GMS Licences CP42 (300)</t>
  </si>
  <si>
    <t>A00112</t>
  </si>
  <si>
    <t>Microsoft Licences(Conversion)</t>
  </si>
  <si>
    <t>A00113</t>
  </si>
  <si>
    <t>Microsoft Licences TrueUp 2012</t>
  </si>
  <si>
    <t>A00114</t>
  </si>
  <si>
    <t>Auction Management Platform</t>
  </si>
  <si>
    <t>A00115</t>
  </si>
  <si>
    <t>2 Digsilent Licences</t>
  </si>
  <si>
    <t>A00117</t>
  </si>
  <si>
    <t>NI Supplier TUoS</t>
  </si>
  <si>
    <t>A00120</t>
  </si>
  <si>
    <t>Intel VisualFortran2013XE CP48</t>
  </si>
  <si>
    <t>A00123</t>
  </si>
  <si>
    <t>Microsoft Licences True Up 201</t>
  </si>
  <si>
    <t>A00126</t>
  </si>
  <si>
    <t>ZWCAD (CAD Design S/W)</t>
  </si>
  <si>
    <t>A00128</t>
  </si>
  <si>
    <t>FUI Portal</t>
  </si>
  <si>
    <t>A00132</t>
  </si>
  <si>
    <t>Bluecoat Proxy/Antivirus 2013</t>
  </si>
  <si>
    <t>A00133</t>
  </si>
  <si>
    <t>CSB SONI TUoS Billing System</t>
  </si>
  <si>
    <t>DAY1+</t>
  </si>
  <si>
    <t>A00036</t>
  </si>
  <si>
    <t>Day 1+: Phase 1</t>
  </si>
  <si>
    <t>A00037</t>
  </si>
  <si>
    <t>Day 1+: Phase 2</t>
  </si>
  <si>
    <t>EMS</t>
  </si>
  <si>
    <t>A00026</t>
  </si>
  <si>
    <t>EMS:WindFarm Integration</t>
  </si>
  <si>
    <t>A00042</t>
  </si>
  <si>
    <t>EMS Phase1</t>
  </si>
  <si>
    <t>A00048</t>
  </si>
  <si>
    <t>UPS Battery Replacement(98)CP3</t>
  </si>
  <si>
    <t>A00057</t>
  </si>
  <si>
    <t>Infrastructure Backup(EMS S/W)</t>
  </si>
  <si>
    <t>A00071</t>
  </si>
  <si>
    <t>EMS Phase 2</t>
  </si>
  <si>
    <t>A00121</t>
  </si>
  <si>
    <t>EMS:Load Forecast Improvements</t>
  </si>
  <si>
    <t>A00129</t>
  </si>
  <si>
    <t>EMS: Remedial Action Scheme</t>
  </si>
  <si>
    <t>F&amp;F</t>
  </si>
  <si>
    <t>A00001</t>
  </si>
  <si>
    <t>Fireking Safe</t>
  </si>
  <si>
    <t>A00021</t>
  </si>
  <si>
    <t>F&amp;F: Op bal adj 24/05/09</t>
  </si>
  <si>
    <t>A00022</t>
  </si>
  <si>
    <t>Operator Chair</t>
  </si>
  <si>
    <t>A00023</t>
  </si>
  <si>
    <t>Photocopier</t>
  </si>
  <si>
    <t>A00024</t>
  </si>
  <si>
    <t>Franking Machine</t>
  </si>
  <si>
    <t>A00025</t>
  </si>
  <si>
    <t>Hydrboiler</t>
  </si>
  <si>
    <t>A00039</t>
  </si>
  <si>
    <t>Server Cabinets</t>
  </si>
  <si>
    <t>A00077</t>
  </si>
  <si>
    <t>PHASE 1 Portacabin Refurb: F&amp;F</t>
  </si>
  <si>
    <t>HAS</t>
  </si>
  <si>
    <t>A00052</t>
  </si>
  <si>
    <t>HAS PHASE 1</t>
  </si>
  <si>
    <t>A00053</t>
  </si>
  <si>
    <t>HAS PHASE 2</t>
  </si>
  <si>
    <t>A00073</t>
  </si>
  <si>
    <t>HAS PHASE 3</t>
  </si>
  <si>
    <t>A00109</t>
  </si>
  <si>
    <t>HAS Settlement System Changes</t>
  </si>
  <si>
    <t>A00127</t>
  </si>
  <si>
    <t>HAS SystemModifications2012/13</t>
  </si>
  <si>
    <t>A00135</t>
  </si>
  <si>
    <t>HAS SystemModifications2013/14</t>
  </si>
  <si>
    <t>P&amp;E</t>
  </si>
  <si>
    <t>A00070</t>
  </si>
  <si>
    <t>Mitsubishi Elect. InverterCP18</t>
  </si>
  <si>
    <t>A00090</t>
  </si>
  <si>
    <t>Electrical Switchboard</t>
  </si>
  <si>
    <t>SEMO FAC</t>
  </si>
  <si>
    <t>A00076</t>
  </si>
  <si>
    <t>Galaxy 5000 UPS Batteries(CP21</t>
  </si>
  <si>
    <t>A00084</t>
  </si>
  <si>
    <t>SEMO 5 PC's &amp; Printer (CP19)</t>
  </si>
  <si>
    <t>A00105</t>
  </si>
  <si>
    <t>SEMO FACILITY 2 Laptops(CP38)</t>
  </si>
  <si>
    <t>SONIR</t>
  </si>
  <si>
    <t>A00009</t>
  </si>
  <si>
    <t>SONI R: Op bal adj 24/05/09</t>
  </si>
  <si>
    <t>TELE</t>
  </si>
  <si>
    <t>A00011</t>
  </si>
  <si>
    <t>Telecomms: Op bal adj 24/05/09</t>
  </si>
  <si>
    <t>A00035</t>
  </si>
  <si>
    <t>IPT Voicemail System</t>
  </si>
  <si>
    <t>A00050</t>
  </si>
  <si>
    <t>UPS Battery Replacement(x4)CP9</t>
  </si>
  <si>
    <t>A00056</t>
  </si>
  <si>
    <t>Telephony Link Eir/SON CP13</t>
  </si>
  <si>
    <t>A00064</t>
  </si>
  <si>
    <t>Scada Kilomux Upgrade</t>
  </si>
  <si>
    <t>A00066</t>
  </si>
  <si>
    <t>CHCC/ECC IPT/SAMWIN Telephony</t>
  </si>
  <si>
    <t>A00067</t>
  </si>
  <si>
    <t>UPS Replacement (25)</t>
  </si>
  <si>
    <t>A00069</t>
  </si>
  <si>
    <t>Mobile Signal Repeater CP17</t>
  </si>
  <si>
    <t>A00079</t>
  </si>
  <si>
    <t>PHASE1Portcabin RefurbTelecoms</t>
  </si>
  <si>
    <t>A00083</t>
  </si>
  <si>
    <t>A00095</t>
  </si>
  <si>
    <t>IPT Equip. (15 handsets) CP32</t>
  </si>
  <si>
    <t>A00097</t>
  </si>
  <si>
    <t>CHCC-OVAL100MbCircuit (CP31)</t>
  </si>
  <si>
    <t>A00098</t>
  </si>
  <si>
    <t>36 UPS Batteries ECC (CP33)</t>
  </si>
  <si>
    <t>A00099</t>
  </si>
  <si>
    <t>Routers for Group Network CP35</t>
  </si>
  <si>
    <t>A00102</t>
  </si>
  <si>
    <t>15 IPT Handsfree Headsets CP36</t>
  </si>
  <si>
    <t>A00107</t>
  </si>
  <si>
    <t>Samwin Licences (CP40)</t>
  </si>
  <si>
    <t>A00118</t>
  </si>
  <si>
    <t>2 Switches for ECC (CP044)</t>
  </si>
  <si>
    <t>A00134</t>
  </si>
  <si>
    <t>TETRA</t>
  </si>
  <si>
    <t>AUC</t>
  </si>
  <si>
    <t xml:space="preserve">Building Refurb &amp; Extension </t>
  </si>
  <si>
    <t>NIE Planning Transfer</t>
  </si>
  <si>
    <t>Fuel Switching</t>
  </si>
  <si>
    <t>Net Book Value as at 30 June 2015</t>
  </si>
  <si>
    <t>Net Book Value as at 30 June 2016</t>
  </si>
  <si>
    <t>Net Book Value as at 30 June 2017</t>
  </si>
  <si>
    <t>Net Book Value as at 30 June 2018</t>
  </si>
  <si>
    <t>Net Book Value as at 30 June 2019</t>
  </si>
  <si>
    <t>Net Book Value as at 30 June 2020</t>
  </si>
  <si>
    <t>Depreciation in year to 30 June 2015</t>
  </si>
  <si>
    <t>Depreciation in year to 30 June 2016</t>
  </si>
  <si>
    <t>Depreciation in year to 30 June 2017</t>
  </si>
  <si>
    <t>Depreciation in year to 30 June 2018</t>
  </si>
  <si>
    <t>Depreciation in year to 30 June 2019</t>
  </si>
  <si>
    <t>Depreciation in year to 30 June 2020</t>
  </si>
  <si>
    <t>2014-2015</t>
  </si>
  <si>
    <t>Buildings</t>
  </si>
  <si>
    <t>Non-building assets</t>
  </si>
  <si>
    <t>2015-2016</t>
  </si>
  <si>
    <t>2016-2017</t>
  </si>
  <si>
    <t>2017-2018</t>
  </si>
  <si>
    <t>2018-2019</t>
  </si>
  <si>
    <t>2019-2020</t>
  </si>
  <si>
    <t>Depreciation in year to 30 Sep 2016</t>
  </si>
  <si>
    <t>Depreciation in year to 30 Sep 2017</t>
  </si>
  <si>
    <t>Depreciation in year to 30 Sep 2018</t>
  </si>
  <si>
    <t>Depreciation in year to 30 Sep 2019</t>
  </si>
  <si>
    <t>Depreciation in year to 30 Sep 2020</t>
  </si>
  <si>
    <t>Depreciation in year to 30 Sep 2015</t>
  </si>
  <si>
    <t>Net Book Value as at 30 Sep 2015</t>
  </si>
  <si>
    <t>Net Book Value as at 30 Sep 2016</t>
  </si>
  <si>
    <t>Net Book Value as at 30 Sep 2017</t>
  </si>
  <si>
    <t>Net Book Value as at 30 Sep 2018</t>
  </si>
  <si>
    <t>Net Book Value as at 30 Sep 2019</t>
  </si>
  <si>
    <t>Net Book Value as at 30 Sep 2020</t>
  </si>
  <si>
    <t>Total including future investments</t>
  </si>
  <si>
    <t>Assumed asset life</t>
  </si>
  <si>
    <t>Acquisition cost</t>
  </si>
  <si>
    <t>Investment in fixed assets (Nominal prices)</t>
  </si>
  <si>
    <t>Revenue (Source: SONI regulatory accounts)</t>
  </si>
  <si>
    <t>Revenue (Source: SONI price control submission paper 5)</t>
  </si>
  <si>
    <t>DBC incentive (Source: UR)</t>
  </si>
  <si>
    <t>Interest and other finance costs</t>
  </si>
  <si>
    <t>Total costs including depreciation</t>
  </si>
  <si>
    <t>Interest on K correction</t>
  </si>
  <si>
    <t>Corporation tax charge</t>
  </si>
  <si>
    <t>Bt costs</t>
  </si>
  <si>
    <t>Difference between cash flow and balance sheet increases in working capital</t>
  </si>
  <si>
    <t>Gearing (Average debt/Average RAB)</t>
  </si>
  <si>
    <t>Net gearing (Average (debt minus cash)/Average RAB))</t>
  </si>
  <si>
    <t>Notional interest cover ratio (based on assumed gearing) (EBIT/Notional interest)</t>
  </si>
  <si>
    <t>Notional interest cover ratio (based on assumed gearing) (EBITDA/Notional interest)</t>
  </si>
  <si>
    <t>Interest cover ratio (based on assumed borrowing) (EBIT/Interest)</t>
  </si>
  <si>
    <t>Gearing</t>
  </si>
  <si>
    <t>Operational gearing</t>
  </si>
  <si>
    <t>Interest cover ratios</t>
  </si>
  <si>
    <t>Operational gearing ratio: 1 (Average RAB/Total revenue)</t>
  </si>
  <si>
    <t>Operational gearing ratio: 2 (Average RAB/Total expenditure)</t>
  </si>
  <si>
    <t>Operational gearing ratio: 3 (Average RAB/Non-capital expenditure)</t>
  </si>
  <si>
    <t>Interest cover ratio (based on assumed borrowing) (EBITDA/Interest)</t>
  </si>
  <si>
    <t>Dividend</t>
  </si>
  <si>
    <t>Capital raised</t>
  </si>
  <si>
    <t>Operational gearing ratio: 4 (Average RAB/Non-capital expenditure excluding At and CAIRt)</t>
  </si>
  <si>
    <t>Operational gearing ratio: 5 (Average RAB/5-year capital expenditure)</t>
  </si>
  <si>
    <t>Staff related costs</t>
  </si>
  <si>
    <t>Administration and Other</t>
  </si>
  <si>
    <t xml:space="preserve"> - Staff related costs</t>
  </si>
  <si>
    <t xml:space="preserve"> - Adminstration and other</t>
  </si>
  <si>
    <t>Allowed non building additions Oct 2015 onwards (£000s, April 2014 prices)</t>
  </si>
  <si>
    <t>Allowed building additions Oct 2015 onwards (£000s, April 2014 prices)</t>
  </si>
  <si>
    <t>Allowed pre-construction asset additions (transfer to NIE after 2 years) (£000s, April 2014 prices)</t>
  </si>
  <si>
    <t>Pre-construction assets - No depreciation, assets are transferred to NIE after 2 years</t>
  </si>
  <si>
    <t>Income from the transfer of pre-construction assets to NIE after 2 years (£000s, April 2014 prices)</t>
  </si>
  <si>
    <t>Transfer to NIE</t>
  </si>
  <si>
    <t>Income from transfer of preconstruction assets to NIE</t>
  </si>
  <si>
    <t>Income from transfer of pre-constructon assets to NIE</t>
  </si>
  <si>
    <t>Investment including pre-construction assets</t>
  </si>
  <si>
    <t>Net cash flows from investment activities</t>
  </si>
  <si>
    <t>Gain from the transfer of pre-construction assets to NIE</t>
  </si>
  <si>
    <t>Gains from transfer of pre-construction assets to NIE</t>
  </si>
  <si>
    <t>Treatment of Capex overspend 2010-2015</t>
  </si>
  <si>
    <t>Special RAB addition  (on 01/10/2018) (£000s in April 2014 prices)</t>
  </si>
  <si>
    <t xml:space="preserve">Capex overspend 2010-2015 </t>
  </si>
  <si>
    <t>Capex overspend for 2010-2015</t>
  </si>
  <si>
    <t xml:space="preserve"> - Capex overspend for 2010-2015</t>
  </si>
  <si>
    <t>Pre-tax WACC %</t>
  </si>
  <si>
    <t>PMICR (based on RAB depreciation) ((EBITDA-RAB depreciation-tax)/Notional interest)</t>
  </si>
  <si>
    <t>PMICR (based on RAB depreciation) ((EBITDA-RAB depreciation-tax)/Interest)</t>
  </si>
  <si>
    <t>Gross asset value for pre-construction assets transferred to NIE</t>
  </si>
  <si>
    <t>RPI index (CHAW) in April 2014 in SONI submission (paper 5) for RAB/Depreciation</t>
  </si>
  <si>
    <t>Average annual growth in RPI during the price control period (April 2015 - April 2020) (July 2015 OBR)</t>
  </si>
  <si>
    <t>Real Price Effects + Productivity (%)</t>
  </si>
  <si>
    <t>Base year</t>
  </si>
  <si>
    <t xml:space="preserve">The base year for the financial model is 2013/14. </t>
  </si>
  <si>
    <t>Each year starts on 1 October and ends on 30 September of the following year</t>
  </si>
  <si>
    <t>Preconstruction assets are assumed to transfer to NIE at the midpoint of the second year after the end of the year in which the investment took place</t>
  </si>
  <si>
    <t>SONI is assumed to meet its future cash requirements through borrowing, not equity</t>
  </si>
  <si>
    <t>RAB depreciation in any one year is calculated as the undepreciated amount (in constant prices) divided by the number of years of depreciation remaining</t>
  </si>
  <si>
    <t>Financial statements and ratios are calculated on the assumption that SONI's expenditure would be equal to its allowances. No over- or underspends are modelled</t>
  </si>
  <si>
    <t>Surplus cash is used to pay back borrowings. No dividends are paid.</t>
  </si>
  <si>
    <t>Trade and other receivables as a proportion of annual revenue in each year between 2015 and 2020 is assumed to be equal to the ratio of the aggregate trade and other receivables to the aggregate revenue between 2010-2015</t>
  </si>
  <si>
    <t>Trade and other payables as a proportion of annual cost (less depreciation) in each year between 2015 and 2020 is assumed to be equal to the ratio of the aggregate trade and other payables to the aggregate cost (less depreciation) between 2010-2015</t>
  </si>
  <si>
    <t>The adjustment to the allowed return for for tax on nominal interest rates is based on notional borrowing (which is based on assumed gearing)</t>
  </si>
  <si>
    <t>Non-trading income included in the statement of comprehensive income is treated as the balancing item in the balance sheet for the years 2014/15 and 2015/16</t>
  </si>
  <si>
    <t>No under- or over-recoveries of income are modelled (i.e. no k factor balances are included in the balance sheet for 2015-2020)</t>
  </si>
  <si>
    <t>Corporation tax paid in any year is assumed to be equal to the tax liability for that year (based on modelled accounting profit and the tax rate for that year)</t>
  </si>
  <si>
    <t>RPE plus productivity improvements are assumed to take place at the same annual rate in all years between 2015-2010</t>
  </si>
  <si>
    <t>All RAB investment in a year (including on pre construction assets and ISEM) is assumed to take place at the midpoint of the year</t>
  </si>
  <si>
    <t>No tax allowances in respect of pre construction assets are included</t>
  </si>
  <si>
    <t>Pre construction assets do not attract RAB-based depreciation</t>
  </si>
  <si>
    <t>DBC incentive income of £450,000 relating to the year 2013/14 is included in SONI's revenues for the year 2015/16</t>
  </si>
  <si>
    <t>Forecast annual RPI growth between 2015-2020 is estimated as the annual average growth rate of the OBR forecasts for RPI between the Q1 and Q2 2015 and Q1 and Q2 2020</t>
  </si>
  <si>
    <t>General</t>
  </si>
  <si>
    <t>DBC Incentive</t>
  </si>
  <si>
    <t>Financing</t>
  </si>
  <si>
    <t>Tax</t>
  </si>
  <si>
    <t>Balance sheet</t>
  </si>
  <si>
    <t>WACC and return</t>
  </si>
  <si>
    <t>List of assumptions</t>
  </si>
  <si>
    <t>SONI is assumed to borrow at the allowed real cost of debt inflated by the annual RPI growth during the price control period</t>
  </si>
  <si>
    <t>A special capex overspend allowance is added to the RAB on 1 October 2018. This element of the RAB is depreciated over two years.</t>
  </si>
  <si>
    <t>Balance check</t>
  </si>
  <si>
    <t>The model does not calculate capital allowances. Instead, an estimate based on depreciation is used.</t>
  </si>
  <si>
    <t>Pre construction assets are assumed to transfer to NIE at the cost to SONI plus RPI inflation</t>
  </si>
  <si>
    <t>Bt Totals (base year prices)</t>
  </si>
</sst>
</file>

<file path=xl/styles.xml><?xml version="1.0" encoding="utf-8"?>
<styleSheet xmlns="http://schemas.openxmlformats.org/spreadsheetml/2006/main">
  <numFmts count="17">
    <numFmt numFmtId="43" formatCode="_-* #,##0.00_-;\-* #,##0.00_-;_-* &quot;-&quot;??_-;_-@_-"/>
    <numFmt numFmtId="164" formatCode="_-[$€-2]* #,##0.00_-;\-[$€-2]* #,##0.00_-;_-[$€-2]* &quot;-&quot;??_-"/>
    <numFmt numFmtId="165" formatCode="#,###.00;\(#,###.00\)"/>
    <numFmt numFmtId="166" formatCode="General_)"/>
    <numFmt numFmtId="167" formatCode="0.000"/>
    <numFmt numFmtId="168" formatCode="0.000_ ;[Red]\-0.000\ "/>
    <numFmt numFmtId="169" formatCode="#,##0_ ;[Red]\-#,##0\ "/>
    <numFmt numFmtId="170" formatCode="0_ ;[Red]\-0\ "/>
    <numFmt numFmtId="171" formatCode="#,##0.0_ ;[Red]\-#,##0.0\ "/>
    <numFmt numFmtId="172" formatCode="#,##0.00_ ;[Red]\-#,##0.00\ "/>
    <numFmt numFmtId="173" formatCode="#,##0.000_ ;[Red]\-#,##0.000\ "/>
    <numFmt numFmtId="174" formatCode="dd/mm/yyyy;@"/>
    <numFmt numFmtId="175" formatCode="#,##0.0000_ ;[Red]\-#,##0.0000\ "/>
    <numFmt numFmtId="176" formatCode="0.00000"/>
    <numFmt numFmtId="177" formatCode="0.0000000"/>
    <numFmt numFmtId="178" formatCode="0.00000000"/>
    <numFmt numFmtId="179" formatCode="#,##0.00000_ ;[Red]\-#,##0.00000\ "/>
  </numFmts>
  <fonts count="1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10"/>
      <color theme="1"/>
      <name val="Verdana"/>
      <family val="2"/>
    </font>
    <font>
      <b/>
      <sz val="14"/>
      <color theme="1"/>
      <name val="Calibri"/>
      <family val="2"/>
      <scheme val="minor"/>
    </font>
    <font>
      <u/>
      <sz val="10"/>
      <color indexed="12"/>
      <name val="Arial"/>
      <family val="2"/>
    </font>
    <font>
      <sz val="10"/>
      <name val="Arial"/>
      <family val="2"/>
    </font>
    <font>
      <sz val="10"/>
      <name val="Courier"/>
      <family val="3"/>
    </font>
    <font>
      <sz val="10"/>
      <name val="Arial"/>
      <family val="2"/>
    </font>
    <font>
      <b/>
      <i/>
      <sz val="11"/>
      <color theme="1"/>
      <name val="Calibri"/>
      <family val="2"/>
      <scheme val="minor"/>
    </font>
    <font>
      <i/>
      <sz val="11"/>
      <color theme="1"/>
      <name val="Calibri"/>
      <family val="2"/>
      <scheme val="minor"/>
    </font>
    <font>
      <sz val="11"/>
      <color rgb="FFFF0000"/>
      <name val="Calibri"/>
      <family val="2"/>
      <scheme val="minor"/>
    </font>
    <font>
      <sz val="11"/>
      <color rgb="FF00B050"/>
      <name val="Calibri"/>
      <family val="2"/>
      <scheme val="minor"/>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CFDF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2">
    <xf numFmtId="0" fontId="0" fillId="0" borderId="0"/>
    <xf numFmtId="9" fontId="1" fillId="0" borderId="0" applyFont="0" applyFill="0" applyBorder="0" applyAlignment="0" applyProtection="0"/>
    <xf numFmtId="0" fontId="3" fillId="0" borderId="0"/>
    <xf numFmtId="0" fontId="3" fillId="0" borderId="0" applyFont="0" applyFill="0" applyBorder="0" applyAlignment="0" applyProtection="0"/>
    <xf numFmtId="9" fontId="3" fillId="0" borderId="0" applyFont="0" applyFill="0" applyBorder="0" applyAlignment="0" applyProtection="0"/>
    <xf numFmtId="0" fontId="3" fillId="0" borderId="0">
      <alignment vertical="top"/>
    </xf>
    <xf numFmtId="0" fontId="3" fillId="0" borderId="0"/>
    <xf numFmtId="164" fontId="5" fillId="0" borderId="0"/>
    <xf numFmtId="165" fontId="3" fillId="0" borderId="0" applyFont="0" applyFill="0" applyBorder="0" applyAlignment="0" applyProtection="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3"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6" fontId="9" fillId="0" borderId="0"/>
    <xf numFmtId="0" fontId="4"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10" fillId="0" borderId="0"/>
    <xf numFmtId="43" fontId="10"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cellStyleXfs>
  <cellXfs count="97">
    <xf numFmtId="0" fontId="0" fillId="0" borderId="0" xfId="0"/>
    <xf numFmtId="0" fontId="2" fillId="2" borderId="0" xfId="0" applyFont="1" applyFill="1"/>
    <xf numFmtId="0" fontId="2" fillId="0" borderId="0" xfId="0" applyFont="1"/>
    <xf numFmtId="0" fontId="0" fillId="0" borderId="0" xfId="0" applyFont="1"/>
    <xf numFmtId="0" fontId="2" fillId="4" borderId="0" xfId="0" applyFont="1" applyFill="1"/>
    <xf numFmtId="0" fontId="0" fillId="4" borderId="0" xfId="0" applyFont="1" applyFill="1"/>
    <xf numFmtId="0" fontId="6" fillId="2" borderId="0" xfId="0" applyFont="1" applyFill="1"/>
    <xf numFmtId="14" fontId="2" fillId="4" borderId="0" xfId="0" applyNumberFormat="1" applyFont="1" applyFill="1" applyAlignment="1">
      <alignment horizontal="center"/>
    </xf>
    <xf numFmtId="0" fontId="2" fillId="4" borderId="0" xfId="0" applyFont="1" applyFill="1" applyBorder="1"/>
    <xf numFmtId="0" fontId="11" fillId="4" borderId="0" xfId="0" applyFont="1" applyFill="1" applyBorder="1"/>
    <xf numFmtId="49" fontId="2" fillId="4" borderId="0" xfId="0" applyNumberFormat="1" applyFont="1" applyFill="1" applyBorder="1"/>
    <xf numFmtId="49" fontId="11" fillId="4" borderId="0" xfId="0" applyNumberFormat="1" applyFont="1" applyFill="1" applyBorder="1"/>
    <xf numFmtId="17" fontId="2" fillId="4" borderId="0" xfId="0" applyNumberFormat="1" applyFont="1" applyFill="1" applyAlignment="1">
      <alignment horizontal="center"/>
    </xf>
    <xf numFmtId="49" fontId="12" fillId="4" borderId="0" xfId="0" applyNumberFormat="1" applyFont="1" applyFill="1" applyBorder="1"/>
    <xf numFmtId="169" fontId="2" fillId="6" borderId="0" xfId="0" applyNumberFormat="1" applyFont="1" applyFill="1"/>
    <xf numFmtId="49" fontId="0" fillId="4" borderId="0" xfId="0" applyNumberFormat="1" applyFont="1" applyFill="1" applyBorder="1"/>
    <xf numFmtId="0" fontId="6" fillId="0" borderId="0" xfId="0" applyFont="1"/>
    <xf numFmtId="169" fontId="2" fillId="6" borderId="0" xfId="0" applyNumberFormat="1" applyFont="1" applyFill="1" applyBorder="1" applyAlignment="1">
      <alignment horizontal="right"/>
    </xf>
    <xf numFmtId="169" fontId="0" fillId="6" borderId="0" xfId="0" applyNumberFormat="1" applyFont="1" applyFill="1" applyBorder="1" applyAlignment="1">
      <alignment horizontal="right"/>
    </xf>
    <xf numFmtId="10" fontId="0" fillId="0" borderId="0" xfId="1" applyNumberFormat="1" applyFont="1"/>
    <xf numFmtId="10" fontId="0" fillId="6" borderId="0" xfId="1" applyNumberFormat="1" applyFont="1" applyFill="1" applyBorder="1" applyAlignment="1">
      <alignment horizontal="right"/>
    </xf>
    <xf numFmtId="0" fontId="13" fillId="0" borderId="0" xfId="0" applyFont="1" applyAlignment="1">
      <alignment horizontal="center"/>
    </xf>
    <xf numFmtId="0" fontId="2" fillId="4" borderId="0" xfId="0" applyFont="1" applyFill="1" applyAlignment="1">
      <alignment wrapText="1"/>
    </xf>
    <xf numFmtId="0" fontId="14" fillId="0" borderId="0" xfId="0" applyFont="1"/>
    <xf numFmtId="49" fontId="2" fillId="2" borderId="0" xfId="0" applyNumberFormat="1" applyFont="1" applyFill="1" applyBorder="1"/>
    <xf numFmtId="0" fontId="2" fillId="7" borderId="0" xfId="0" applyFont="1" applyFill="1" applyAlignment="1">
      <alignment horizontal="center"/>
    </xf>
    <xf numFmtId="0" fontId="0" fillId="9" borderId="0" xfId="0" applyFont="1" applyFill="1" applyBorder="1" applyAlignment="1">
      <alignment horizontal="center"/>
    </xf>
    <xf numFmtId="14" fontId="0" fillId="9" borderId="0" xfId="0" applyNumberFormat="1" applyFont="1" applyFill="1" applyBorder="1" applyAlignment="1">
      <alignment horizontal="center"/>
    </xf>
    <xf numFmtId="0" fontId="2" fillId="2" borderId="0" xfId="0" applyFont="1" applyFill="1" applyBorder="1"/>
    <xf numFmtId="0" fontId="0" fillId="11" borderId="0" xfId="0" applyFont="1" applyFill="1" applyBorder="1" applyAlignment="1">
      <alignment horizontal="center"/>
    </xf>
    <xf numFmtId="169" fontId="0" fillId="9" borderId="0" xfId="0" applyNumberFormat="1" applyFont="1" applyFill="1" applyBorder="1" applyAlignment="1">
      <alignment horizontal="right"/>
    </xf>
    <xf numFmtId="169" fontId="0" fillId="11" borderId="0" xfId="0" applyNumberFormat="1" applyFont="1" applyFill="1" applyBorder="1" applyAlignment="1">
      <alignment horizontal="right"/>
    </xf>
    <xf numFmtId="169" fontId="15" fillId="0" borderId="0" xfId="0" applyNumberFormat="1" applyFont="1"/>
    <xf numFmtId="0" fontId="13" fillId="0" borderId="0" xfId="0" applyFont="1"/>
    <xf numFmtId="0" fontId="2" fillId="4" borderId="0" xfId="0" applyFont="1" applyFill="1" applyAlignment="1">
      <alignment horizontal="center"/>
    </xf>
    <xf numFmtId="0" fontId="2" fillId="4" borderId="0" xfId="0" applyFont="1" applyFill="1" applyAlignment="1">
      <alignment horizontal="center" wrapText="1"/>
    </xf>
    <xf numFmtId="171" fontId="0" fillId="5" borderId="0" xfId="0" applyNumberFormat="1" applyFont="1" applyFill="1"/>
    <xf numFmtId="10" fontId="0" fillId="5" borderId="0" xfId="0" applyNumberFormat="1" applyFont="1" applyFill="1"/>
    <xf numFmtId="169" fontId="0" fillId="5" borderId="0" xfId="0" applyNumberFormat="1" applyFont="1" applyFill="1"/>
    <xf numFmtId="169" fontId="0" fillId="0" borderId="0" xfId="0" applyNumberFormat="1" applyFont="1"/>
    <xf numFmtId="0" fontId="0" fillId="7" borderId="0" xfId="0" applyFont="1" applyFill="1"/>
    <xf numFmtId="0" fontId="0" fillId="5" borderId="0" xfId="0" applyFont="1" applyFill="1"/>
    <xf numFmtId="174" fontId="0" fillId="5" borderId="0" xfId="0" applyNumberFormat="1" applyFont="1" applyFill="1"/>
    <xf numFmtId="167" fontId="0" fillId="0" borderId="0" xfId="0" applyNumberFormat="1" applyFont="1"/>
    <xf numFmtId="169" fontId="0" fillId="7" borderId="0" xfId="0" applyNumberFormat="1" applyFont="1" applyFill="1"/>
    <xf numFmtId="0" fontId="0" fillId="0" borderId="0" xfId="0" applyFont="1" applyBorder="1"/>
    <xf numFmtId="169" fontId="0" fillId="2" borderId="0" xfId="0" applyNumberFormat="1" applyFont="1" applyFill="1"/>
    <xf numFmtId="10" fontId="0" fillId="6" borderId="0" xfId="0" applyNumberFormat="1" applyFont="1" applyFill="1" applyAlignment="1">
      <alignment horizontal="right"/>
    </xf>
    <xf numFmtId="9" fontId="0" fillId="6" borderId="0" xfId="0" applyNumberFormat="1" applyFont="1" applyFill="1" applyAlignment="1">
      <alignment horizontal="right"/>
    </xf>
    <xf numFmtId="9" fontId="0" fillId="2" borderId="0" xfId="0" applyNumberFormat="1" applyFont="1" applyFill="1" applyAlignment="1">
      <alignment horizontal="right"/>
    </xf>
    <xf numFmtId="9" fontId="0" fillId="7" borderId="0" xfId="0" applyNumberFormat="1" applyFont="1" applyFill="1" applyAlignment="1">
      <alignment horizontal="right"/>
    </xf>
    <xf numFmtId="2" fontId="0" fillId="6" borderId="0" xfId="0" applyNumberFormat="1" applyFont="1" applyFill="1" applyAlignment="1">
      <alignment horizontal="right"/>
    </xf>
    <xf numFmtId="2" fontId="0" fillId="2" borderId="0" xfId="0" applyNumberFormat="1" applyFont="1" applyFill="1" applyAlignment="1">
      <alignment horizontal="right"/>
    </xf>
    <xf numFmtId="10" fontId="0" fillId="0" borderId="0" xfId="0" applyNumberFormat="1" applyFont="1"/>
    <xf numFmtId="9" fontId="0" fillId="0" borderId="0" xfId="0" applyNumberFormat="1" applyFont="1"/>
    <xf numFmtId="2" fontId="0" fillId="0" borderId="0" xfId="0" applyNumberFormat="1" applyFont="1"/>
    <xf numFmtId="178" fontId="0" fillId="0" borderId="0" xfId="0" applyNumberFormat="1" applyFont="1"/>
    <xf numFmtId="169" fontId="0" fillId="6" borderId="0" xfId="0" applyNumberFormat="1" applyFont="1" applyFill="1"/>
    <xf numFmtId="0" fontId="0" fillId="8" borderId="0" xfId="0" applyFont="1" applyFill="1"/>
    <xf numFmtId="179" fontId="0" fillId="8" borderId="0" xfId="0" applyNumberFormat="1" applyFont="1" applyFill="1"/>
    <xf numFmtId="173" fontId="0" fillId="2" borderId="0" xfId="0" applyNumberFormat="1" applyFont="1" applyFill="1"/>
    <xf numFmtId="169" fontId="0" fillId="2" borderId="0" xfId="0" applyNumberFormat="1" applyFont="1" applyFill="1" applyBorder="1" applyAlignment="1">
      <alignment horizontal="right"/>
    </xf>
    <xf numFmtId="177" fontId="0" fillId="0" borderId="0" xfId="0" applyNumberFormat="1" applyFont="1"/>
    <xf numFmtId="3" fontId="0" fillId="0" borderId="0" xfId="0" applyNumberFormat="1" applyFont="1" applyBorder="1"/>
    <xf numFmtId="176" fontId="0" fillId="0" borderId="0" xfId="0" applyNumberFormat="1" applyFont="1" applyBorder="1"/>
    <xf numFmtId="14" fontId="0" fillId="6" borderId="0" xfId="0" applyNumberFormat="1" applyFont="1" applyFill="1"/>
    <xf numFmtId="1" fontId="0" fillId="6" borderId="0" xfId="0" applyNumberFormat="1" applyFont="1" applyFill="1"/>
    <xf numFmtId="170" fontId="0" fillId="6" borderId="0" xfId="0" applyNumberFormat="1" applyFont="1" applyFill="1"/>
    <xf numFmtId="168" fontId="0" fillId="6" borderId="0" xfId="0" applyNumberFormat="1" applyFont="1" applyFill="1"/>
    <xf numFmtId="0" fontId="0" fillId="6" borderId="0" xfId="0" applyFont="1" applyFill="1"/>
    <xf numFmtId="0" fontId="0" fillId="4" borderId="0" xfId="0" applyFont="1" applyFill="1" applyAlignment="1">
      <alignment horizontal="right"/>
    </xf>
    <xf numFmtId="170" fontId="0" fillId="3" borderId="0" xfId="0" applyNumberFormat="1" applyFont="1" applyFill="1"/>
    <xf numFmtId="14" fontId="0" fillId="4" borderId="0" xfId="0" applyNumberFormat="1" applyFont="1" applyFill="1"/>
    <xf numFmtId="14" fontId="0" fillId="4" borderId="0" xfId="0" applyNumberFormat="1" applyFont="1" applyFill="1" applyAlignment="1">
      <alignment horizontal="right"/>
    </xf>
    <xf numFmtId="167" fontId="0" fillId="6" borderId="0" xfId="0" applyNumberFormat="1" applyFont="1" applyFill="1"/>
    <xf numFmtId="0" fontId="0" fillId="2" borderId="0" xfId="0" applyFont="1" applyFill="1"/>
    <xf numFmtId="170" fontId="0" fillId="0" borderId="0" xfId="0" applyNumberFormat="1" applyFont="1"/>
    <xf numFmtId="169" fontId="0" fillId="3" borderId="0" xfId="0" applyNumberFormat="1" applyFont="1" applyFill="1"/>
    <xf numFmtId="0" fontId="0" fillId="2" borderId="0" xfId="0" applyFont="1" applyFill="1" applyBorder="1"/>
    <xf numFmtId="14" fontId="0" fillId="2" borderId="0" xfId="0" applyNumberFormat="1" applyFont="1" applyFill="1" applyBorder="1"/>
    <xf numFmtId="0" fontId="0" fillId="10" borderId="0" xfId="0" applyFont="1" applyFill="1" applyBorder="1"/>
    <xf numFmtId="14" fontId="0" fillId="10" borderId="0" xfId="0" applyNumberFormat="1" applyFont="1" applyFill="1" applyBorder="1"/>
    <xf numFmtId="169" fontId="0" fillId="10" borderId="0" xfId="0" applyNumberFormat="1" applyFont="1" applyFill="1" applyBorder="1" applyAlignment="1">
      <alignment horizontal="right"/>
    </xf>
    <xf numFmtId="172" fontId="0" fillId="5" borderId="0" xfId="0" applyNumberFormat="1" applyFont="1" applyFill="1"/>
    <xf numFmtId="2" fontId="0" fillId="2" borderId="0" xfId="0" applyNumberFormat="1" applyFont="1" applyFill="1"/>
    <xf numFmtId="175" fontId="0" fillId="2" borderId="0" xfId="0" applyNumberFormat="1" applyFont="1" applyFill="1"/>
    <xf numFmtId="14" fontId="0" fillId="5" borderId="0" xfId="0" applyNumberFormat="1" applyFont="1" applyFill="1"/>
    <xf numFmtId="14" fontId="0" fillId="0" borderId="0" xfId="0" applyNumberFormat="1" applyFont="1"/>
    <xf numFmtId="14" fontId="0" fillId="5" borderId="0" xfId="0" applyNumberFormat="1" applyFont="1" applyFill="1" applyAlignment="1">
      <alignment horizontal="right"/>
    </xf>
    <xf numFmtId="0" fontId="2" fillId="4" borderId="0" xfId="0" applyFont="1" applyFill="1" applyAlignment="1">
      <alignment horizontal="center"/>
    </xf>
    <xf numFmtId="17" fontId="2" fillId="5" borderId="0" xfId="0" applyNumberFormat="1" applyFont="1" applyFill="1" applyAlignment="1">
      <alignment horizontal="right"/>
    </xf>
    <xf numFmtId="0" fontId="0" fillId="0" borderId="0" xfId="0" applyAlignment="1">
      <alignment wrapText="1"/>
    </xf>
    <xf numFmtId="0" fontId="0" fillId="4" borderId="1" xfId="0" applyFont="1" applyFill="1" applyBorder="1" applyAlignment="1">
      <alignment wrapText="1"/>
    </xf>
    <xf numFmtId="0" fontId="0" fillId="12" borderId="1" xfId="0" applyFont="1" applyFill="1" applyBorder="1" applyAlignment="1">
      <alignment wrapText="1"/>
    </xf>
    <xf numFmtId="0" fontId="2" fillId="4" borderId="0" xfId="0" applyFont="1" applyFill="1" applyAlignment="1">
      <alignment horizontal="center"/>
    </xf>
    <xf numFmtId="0" fontId="0" fillId="0" borderId="0" xfId="0" applyFont="1" applyAlignment="1">
      <alignment horizontal="center"/>
    </xf>
    <xf numFmtId="0" fontId="2" fillId="4" borderId="0" xfId="0" applyFont="1" applyFill="1" applyAlignment="1">
      <alignment horizontal="center" wrapText="1"/>
    </xf>
  </cellXfs>
  <cellStyles count="32">
    <cellStyle name="% 53" xfId="6"/>
    <cellStyle name="******************************************" xfId="5"/>
    <cellStyle name="Comma 2" xfId="3"/>
    <cellStyle name="Comma 2 2" xfId="9"/>
    <cellStyle name="Comma 3" xfId="8"/>
    <cellStyle name="Comma 3 2" xfId="15"/>
    <cellStyle name="Comma 3 2 2" xfId="25"/>
    <cellStyle name="Comma 4" xfId="14"/>
    <cellStyle name="Comma 4 2" xfId="24"/>
    <cellStyle name="Comma 5" xfId="22"/>
    <cellStyle name="Comma 5 2" xfId="29"/>
    <cellStyle name="Comma 6" xfId="31"/>
    <cellStyle name="Hyperlink 2" xfId="10"/>
    <cellStyle name="Normal" xfId="0" builtinId="0"/>
    <cellStyle name="Normal 11 2" xfId="7"/>
    <cellStyle name="Normal 17" xfId="30"/>
    <cellStyle name="Normal 2" xfId="11"/>
    <cellStyle name="Normal 2 2" xfId="16"/>
    <cellStyle name="Normal 2 3" xfId="12"/>
    <cellStyle name="Normal 3" xfId="2"/>
    <cellStyle name="Normal 4" xfId="17"/>
    <cellStyle name="Normal 5" xfId="18"/>
    <cellStyle name="Normal 6" xfId="13"/>
    <cellStyle name="Normal 6 2" xfId="23"/>
    <cellStyle name="Normal 7" xfId="21"/>
    <cellStyle name="Normal 7 2" xfId="28"/>
    <cellStyle name="Percent" xfId="1" builtinId="5"/>
    <cellStyle name="Percent 2" xfId="4"/>
    <cellStyle name="Percent 3" xfId="20"/>
    <cellStyle name="Percent 3 2" xfId="27"/>
    <cellStyle name="Percent 4" xfId="19"/>
    <cellStyle name="Percent 4 2" xfId="26"/>
  </cellStyles>
  <dxfs count="0"/>
  <tableStyles count="0" defaultTableStyle="TableStyleMedium9" defaultPivotStyle="PivotStyleLight16"/>
  <colors>
    <mruColors>
      <color rgb="FFCFDFE1"/>
      <color rgb="FFFFFF99"/>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20VERSION%20SONI%20financial%20model%20v7%204%20with%20assumptions%203011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nges made to model"/>
      <sheetName val="Assumptions"/>
      <sheetName val="Inputs"/>
      <sheetName val="Calc1"/>
      <sheetName val="Calc2"/>
      <sheetName val="Acct depreciation"/>
      <sheetName val="RAB&amp;Return"/>
      <sheetName val="Bt"/>
      <sheetName val="P&amp;L"/>
      <sheetName val="Cash flow"/>
      <sheetName val="Balance sheet"/>
      <sheetName val="Ratios"/>
      <sheetName val="10-15 Allowances"/>
      <sheetName val="SONI Actual, B Est, Submission"/>
      <sheetName val="Table 1 Overview"/>
      <sheetName val=" OPEX Summary"/>
      <sheetName val="FD RAB Tables"/>
      <sheetName val="FD Return Tables"/>
      <sheetName val="Charts with planning"/>
      <sheetName val="Charts without planning"/>
      <sheetName val="Charts with planning comparator"/>
      <sheetName val="Tariffs 1 &amp; 2 years"/>
      <sheetName val="Tariff Avg impact of PC"/>
      <sheetName val="Consumer Impact"/>
    </sheetNames>
    <sheetDataSet>
      <sheetData sheetId="0"/>
      <sheetData sheetId="1"/>
      <sheetData sheetId="2"/>
      <sheetData sheetId="3"/>
      <sheetData sheetId="4"/>
      <sheetData sheetId="5"/>
      <sheetData sheetId="6">
        <row r="113">
          <cell r="B113">
            <v>0</v>
          </cell>
          <cell r="C113">
            <v>0</v>
          </cell>
          <cell r="D113">
            <v>0</v>
          </cell>
          <cell r="E113">
            <v>0</v>
          </cell>
          <cell r="F113">
            <v>0</v>
          </cell>
          <cell r="G113">
            <v>0</v>
          </cell>
          <cell r="H113">
            <v>0</v>
          </cell>
          <cell r="I11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6" tint="0.79998168889431442"/>
  </sheetPr>
  <dimension ref="A1:B25"/>
  <sheetViews>
    <sheetView showGridLines="0" zoomScale="80" zoomScaleNormal="80" workbookViewId="0"/>
  </sheetViews>
  <sheetFormatPr defaultRowHeight="15"/>
  <cols>
    <col min="1" max="1" width="25.140625" customWidth="1"/>
    <col min="2" max="2" width="148.140625" customWidth="1"/>
  </cols>
  <sheetData>
    <row r="1" spans="1:2" ht="18.75">
      <c r="A1" s="6" t="s">
        <v>711</v>
      </c>
    </row>
    <row r="3" spans="1:2" s="91" customFormat="1" ht="30" customHeight="1">
      <c r="A3" s="92" t="s">
        <v>705</v>
      </c>
      <c r="B3" s="93" t="s">
        <v>687</v>
      </c>
    </row>
    <row r="4" spans="1:2" s="91" customFormat="1" ht="30" customHeight="1">
      <c r="A4" s="92" t="s">
        <v>705</v>
      </c>
      <c r="B4" s="93" t="s">
        <v>686</v>
      </c>
    </row>
    <row r="5" spans="1:2" s="91" customFormat="1" ht="30" customHeight="1">
      <c r="A5" s="92" t="s">
        <v>705</v>
      </c>
      <c r="B5" s="93" t="s">
        <v>699</v>
      </c>
    </row>
    <row r="6" spans="1:2" s="91" customFormat="1" ht="30" customHeight="1">
      <c r="A6" s="92" t="s">
        <v>705</v>
      </c>
      <c r="B6" s="93" t="s">
        <v>704</v>
      </c>
    </row>
    <row r="7" spans="1:2" s="91" customFormat="1" ht="30" customHeight="1">
      <c r="A7" s="92" t="s">
        <v>709</v>
      </c>
      <c r="B7" s="93" t="s">
        <v>693</v>
      </c>
    </row>
    <row r="8" spans="1:2" s="91" customFormat="1" ht="30" customHeight="1">
      <c r="A8" s="92" t="s">
        <v>709</v>
      </c>
      <c r="B8" s="93" t="s">
        <v>694</v>
      </c>
    </row>
    <row r="9" spans="1:2" s="91" customFormat="1" ht="30" customHeight="1">
      <c r="A9" s="92" t="s">
        <v>709</v>
      </c>
      <c r="B9" s="93" t="s">
        <v>696</v>
      </c>
    </row>
    <row r="10" spans="1:2" s="91" customFormat="1" ht="30" customHeight="1">
      <c r="A10" s="92" t="s">
        <v>709</v>
      </c>
      <c r="B10" s="93" t="s">
        <v>697</v>
      </c>
    </row>
    <row r="11" spans="1:2" s="91" customFormat="1" ht="30" customHeight="1">
      <c r="A11" s="92" t="s">
        <v>706</v>
      </c>
      <c r="B11" s="93" t="s">
        <v>703</v>
      </c>
    </row>
    <row r="12" spans="1:2" s="91" customFormat="1" ht="30" customHeight="1">
      <c r="A12" s="92" t="s">
        <v>707</v>
      </c>
      <c r="B12" s="93" t="s">
        <v>689</v>
      </c>
    </row>
    <row r="13" spans="1:2" s="91" customFormat="1" ht="30" customHeight="1">
      <c r="A13" s="92" t="s">
        <v>707</v>
      </c>
      <c r="B13" s="93" t="s">
        <v>692</v>
      </c>
    </row>
    <row r="14" spans="1:2" s="91" customFormat="1" ht="30" customHeight="1">
      <c r="A14" s="92" t="s">
        <v>707</v>
      </c>
      <c r="B14" s="93" t="s">
        <v>712</v>
      </c>
    </row>
    <row r="15" spans="1:2" s="91" customFormat="1" ht="30" customHeight="1">
      <c r="A15" s="92" t="s">
        <v>707</v>
      </c>
      <c r="B15" s="93" t="s">
        <v>691</v>
      </c>
    </row>
    <row r="16" spans="1:2" s="91" customFormat="1" ht="30" customHeight="1">
      <c r="A16" s="92" t="s">
        <v>228</v>
      </c>
      <c r="B16" s="93" t="s">
        <v>713</v>
      </c>
    </row>
    <row r="17" spans="1:2" s="91" customFormat="1" ht="30" customHeight="1">
      <c r="A17" s="92" t="s">
        <v>228</v>
      </c>
      <c r="B17" s="93" t="s">
        <v>690</v>
      </c>
    </row>
    <row r="18" spans="1:2" s="91" customFormat="1" ht="30" customHeight="1">
      <c r="A18" s="92" t="s">
        <v>228</v>
      </c>
      <c r="B18" s="93" t="s">
        <v>700</v>
      </c>
    </row>
    <row r="19" spans="1:2" s="91" customFormat="1" ht="30" customHeight="1">
      <c r="A19" s="92" t="s">
        <v>228</v>
      </c>
      <c r="B19" s="93" t="s">
        <v>688</v>
      </c>
    </row>
    <row r="20" spans="1:2" s="91" customFormat="1" ht="30" customHeight="1">
      <c r="A20" s="92" t="s">
        <v>228</v>
      </c>
      <c r="B20" s="93" t="s">
        <v>716</v>
      </c>
    </row>
    <row r="21" spans="1:2" s="91" customFormat="1" ht="30" customHeight="1">
      <c r="A21" s="92" t="s">
        <v>228</v>
      </c>
      <c r="B21" s="93" t="s">
        <v>702</v>
      </c>
    </row>
    <row r="22" spans="1:2" s="91" customFormat="1" ht="30" customHeight="1">
      <c r="A22" s="92" t="s">
        <v>708</v>
      </c>
      <c r="B22" s="93" t="s">
        <v>715</v>
      </c>
    </row>
    <row r="23" spans="1:2" s="91" customFormat="1" ht="30" customHeight="1">
      <c r="A23" s="92" t="s">
        <v>708</v>
      </c>
      <c r="B23" s="93" t="s">
        <v>701</v>
      </c>
    </row>
    <row r="24" spans="1:2" s="91" customFormat="1" ht="30" customHeight="1">
      <c r="A24" s="92" t="s">
        <v>708</v>
      </c>
      <c r="B24" s="93" t="s">
        <v>698</v>
      </c>
    </row>
    <row r="25" spans="1:2" s="91" customFormat="1" ht="30" customHeight="1">
      <c r="A25" s="92" t="s">
        <v>710</v>
      </c>
      <c r="B25" s="93" t="s">
        <v>695</v>
      </c>
    </row>
  </sheetData>
  <sortState ref="A2:C25">
    <sortCondition ref="C2:C25"/>
    <sortCondition ref="A2:A25"/>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6" tint="0.79998168889431442"/>
  </sheetPr>
  <dimension ref="A1:M36"/>
  <sheetViews>
    <sheetView showGridLines="0" zoomScale="75" zoomScaleNormal="75" workbookViewId="0">
      <selection activeCell="A37" sqref="A37"/>
    </sheetView>
  </sheetViews>
  <sheetFormatPr defaultRowHeight="15"/>
  <cols>
    <col min="1" max="1" width="36.42578125" style="3" customWidth="1"/>
    <col min="2" max="12" width="14.28515625" style="3" customWidth="1"/>
    <col min="13" max="16384" width="9.140625" style="3"/>
  </cols>
  <sheetData>
    <row r="1" spans="1:13" ht="18.75">
      <c r="A1" s="6" t="s">
        <v>252</v>
      </c>
    </row>
    <row r="2" spans="1:13">
      <c r="B2" s="94" t="s">
        <v>250</v>
      </c>
      <c r="C2" s="94"/>
      <c r="D2" s="94"/>
      <c r="E2" s="94"/>
      <c r="F2" s="94"/>
      <c r="G2" s="94"/>
      <c r="H2" s="94"/>
      <c r="I2" s="94"/>
      <c r="J2" s="94"/>
      <c r="K2" s="94"/>
    </row>
    <row r="3" spans="1:13">
      <c r="A3" s="2" t="s">
        <v>186</v>
      </c>
      <c r="B3" s="34" t="s">
        <v>10</v>
      </c>
      <c r="C3" s="34" t="s">
        <v>11</v>
      </c>
      <c r="D3" s="34" t="s">
        <v>9</v>
      </c>
      <c r="E3" s="34" t="s">
        <v>12</v>
      </c>
      <c r="F3" s="34" t="s">
        <v>13</v>
      </c>
      <c r="G3" s="34" t="s">
        <v>14</v>
      </c>
      <c r="H3" s="34" t="s">
        <v>15</v>
      </c>
      <c r="I3" s="34" t="s">
        <v>16</v>
      </c>
      <c r="J3" s="34" t="s">
        <v>17</v>
      </c>
      <c r="K3" s="34" t="s">
        <v>18</v>
      </c>
    </row>
    <row r="4" spans="1:13">
      <c r="A4" s="4" t="s">
        <v>176</v>
      </c>
      <c r="B4" s="46"/>
      <c r="C4" s="46"/>
      <c r="D4" s="46"/>
      <c r="E4" s="46"/>
      <c r="F4" s="46"/>
      <c r="G4" s="46"/>
      <c r="H4" s="46"/>
      <c r="I4" s="46"/>
      <c r="J4" s="46"/>
      <c r="K4" s="46"/>
    </row>
    <row r="5" spans="1:13">
      <c r="A5" s="5" t="s">
        <v>187</v>
      </c>
      <c r="B5" s="57">
        <f>Inputs!B269</f>
        <v>7913</v>
      </c>
      <c r="C5" s="57">
        <f>Inputs!C269</f>
        <v>7489</v>
      </c>
      <c r="D5" s="57">
        <f>Inputs!D269</f>
        <v>8161</v>
      </c>
      <c r="E5" s="57">
        <f>Inputs!E269</f>
        <v>10965</v>
      </c>
      <c r="F5" s="57">
        <f>Calc2!B70</f>
        <v>10898.206701075342</v>
      </c>
      <c r="G5" s="57">
        <f>Calc2!C70</f>
        <v>16431.856847814692</v>
      </c>
      <c r="H5" s="57">
        <f>Calc2!D70</f>
        <v>22178.650173000391</v>
      </c>
      <c r="I5" s="57">
        <f>Calc2!E70</f>
        <v>32555.101427778267</v>
      </c>
      <c r="J5" s="57">
        <f>Calc2!F70</f>
        <v>30706.886694486358</v>
      </c>
      <c r="K5" s="57">
        <f>Calc2!G70</f>
        <v>28775.24228144942</v>
      </c>
      <c r="L5" s="32"/>
      <c r="M5" s="39"/>
    </row>
    <row r="6" spans="1:13">
      <c r="A6" s="5" t="s">
        <v>188</v>
      </c>
      <c r="B6" s="57">
        <f>Inputs!B270</f>
        <v>824</v>
      </c>
      <c r="C6" s="57">
        <f>Inputs!C270</f>
        <v>553</v>
      </c>
      <c r="D6" s="57">
        <f>Inputs!D270</f>
        <v>251</v>
      </c>
      <c r="E6" s="57">
        <f>Inputs!E270</f>
        <v>591</v>
      </c>
      <c r="F6" s="57">
        <f>Calc2!B71</f>
        <v>250</v>
      </c>
      <c r="G6" s="57">
        <f>Calc2!C71</f>
        <v>250</v>
      </c>
      <c r="H6" s="57">
        <f>Calc2!D71</f>
        <v>250</v>
      </c>
      <c r="I6" s="57">
        <f>Calc2!E71</f>
        <v>250</v>
      </c>
      <c r="J6" s="57">
        <f>Calc2!F71</f>
        <v>250</v>
      </c>
      <c r="K6" s="57">
        <f>Calc2!G71</f>
        <v>250</v>
      </c>
      <c r="L6" s="32"/>
      <c r="M6" s="39"/>
    </row>
    <row r="7" spans="1:13">
      <c r="A7" s="4" t="s">
        <v>202</v>
      </c>
      <c r="B7" s="14">
        <f>SUM(B5:B6)</f>
        <v>8737</v>
      </c>
      <c r="C7" s="14">
        <f t="shared" ref="C7:E7" si="0">SUM(C5:C6)</f>
        <v>8042</v>
      </c>
      <c r="D7" s="14">
        <f t="shared" si="0"/>
        <v>8412</v>
      </c>
      <c r="E7" s="14">
        <f t="shared" si="0"/>
        <v>11556</v>
      </c>
      <c r="F7" s="14">
        <f t="shared" ref="F7" si="1">SUM(F5:F6)</f>
        <v>11148.206701075342</v>
      </c>
      <c r="G7" s="14">
        <f t="shared" ref="G7" si="2">SUM(G5:G6)</f>
        <v>16681.856847814692</v>
      </c>
      <c r="H7" s="14">
        <f t="shared" ref="H7" si="3">SUM(H5:H6)</f>
        <v>22428.650173000391</v>
      </c>
      <c r="I7" s="14">
        <f t="shared" ref="I7" si="4">SUM(I5:I6)</f>
        <v>32805.101427778267</v>
      </c>
      <c r="J7" s="14">
        <f t="shared" ref="J7" si="5">SUM(J5:J6)</f>
        <v>30956.886694486358</v>
      </c>
      <c r="K7" s="14">
        <f t="shared" ref="K7" si="6">SUM(K5:K6)</f>
        <v>29025.24228144942</v>
      </c>
      <c r="L7" s="32"/>
      <c r="M7" s="39"/>
    </row>
    <row r="8" spans="1:13">
      <c r="A8" s="4" t="s">
        <v>189</v>
      </c>
      <c r="B8" s="46"/>
      <c r="C8" s="46"/>
      <c r="D8" s="46"/>
      <c r="E8" s="46"/>
      <c r="F8" s="46"/>
      <c r="G8" s="46"/>
      <c r="H8" s="46"/>
      <c r="I8" s="46"/>
      <c r="J8" s="46"/>
      <c r="K8" s="46"/>
      <c r="L8" s="32"/>
      <c r="M8" s="39"/>
    </row>
    <row r="9" spans="1:13">
      <c r="A9" s="5" t="s">
        <v>177</v>
      </c>
      <c r="B9" s="57">
        <f>Inputs!B272</f>
        <v>7248</v>
      </c>
      <c r="C9" s="57">
        <f>Inputs!C272</f>
        <v>8224</v>
      </c>
      <c r="D9" s="57">
        <f>Inputs!D272</f>
        <v>8774</v>
      </c>
      <c r="E9" s="57">
        <f>Inputs!E272</f>
        <v>8589</v>
      </c>
      <c r="F9" s="57">
        <f>Calc2!B75</f>
        <v>9540.7763033676238</v>
      </c>
      <c r="G9" s="57">
        <f>Calc2!C75</f>
        <v>11823.167390470764</v>
      </c>
      <c r="H9" s="57">
        <f>Calc2!D75</f>
        <v>13413.822072460131</v>
      </c>
      <c r="I9" s="57">
        <f>Calc2!E75</f>
        <v>14848.495474307649</v>
      </c>
      <c r="J9" s="57">
        <f>Calc2!F75</f>
        <v>16454.378681367893</v>
      </c>
      <c r="K9" s="57">
        <f>Calc2!G75</f>
        <v>17874.603863621975</v>
      </c>
      <c r="L9" s="32"/>
      <c r="M9" s="39"/>
    </row>
    <row r="10" spans="1:13">
      <c r="A10" s="5" t="s">
        <v>200</v>
      </c>
      <c r="B10" s="57">
        <f>Inputs!B273</f>
        <v>11998</v>
      </c>
      <c r="C10" s="57">
        <f>Inputs!C273</f>
        <v>4324</v>
      </c>
      <c r="D10" s="57">
        <f>Inputs!D273</f>
        <v>5377</v>
      </c>
      <c r="E10" s="57">
        <f>Inputs!E273</f>
        <v>8004</v>
      </c>
      <c r="F10" s="57">
        <f>Calc2!B76</f>
        <v>0</v>
      </c>
      <c r="G10" s="57">
        <f>Calc2!C76</f>
        <v>0</v>
      </c>
      <c r="H10" s="57">
        <f>Calc2!D76</f>
        <v>0</v>
      </c>
      <c r="I10" s="57">
        <f>Calc2!E76</f>
        <v>0</v>
      </c>
      <c r="J10" s="57">
        <f>Calc2!F76</f>
        <v>0</v>
      </c>
      <c r="K10" s="57">
        <f>Calc2!G76</f>
        <v>0</v>
      </c>
      <c r="L10" s="32"/>
      <c r="M10" s="39"/>
    </row>
    <row r="11" spans="1:13">
      <c r="A11" s="5" t="s">
        <v>197</v>
      </c>
      <c r="B11" s="57">
        <f>Inputs!B274</f>
        <v>0</v>
      </c>
      <c r="C11" s="57">
        <f>Inputs!C274</f>
        <v>4950</v>
      </c>
      <c r="D11" s="57">
        <f>Inputs!D274</f>
        <v>0</v>
      </c>
      <c r="E11" s="57">
        <f>Inputs!E274</f>
        <v>0</v>
      </c>
      <c r="F11" s="57">
        <f>Calc2!B77</f>
        <v>4500</v>
      </c>
      <c r="G11" s="57">
        <f>Calc2!C77</f>
        <v>0</v>
      </c>
      <c r="H11" s="57">
        <f>Calc2!D77</f>
        <v>0</v>
      </c>
      <c r="I11" s="57">
        <f>Calc2!E77</f>
        <v>0</v>
      </c>
      <c r="J11" s="57">
        <f>Calc2!F77</f>
        <v>0</v>
      </c>
      <c r="K11" s="57">
        <f>Calc2!G77</f>
        <v>0</v>
      </c>
      <c r="L11" s="32"/>
      <c r="M11" s="39"/>
    </row>
    <row r="12" spans="1:13">
      <c r="A12" s="5" t="s">
        <v>190</v>
      </c>
      <c r="B12" s="57">
        <f>Inputs!B275</f>
        <v>0</v>
      </c>
      <c r="C12" s="57">
        <f>Inputs!C275</f>
        <v>1343</v>
      </c>
      <c r="D12" s="57">
        <f>Inputs!D275</f>
        <v>0</v>
      </c>
      <c r="E12" s="57">
        <f>Inputs!E275</f>
        <v>0</v>
      </c>
      <c r="F12" s="57">
        <f>Calc1!B164</f>
        <v>0</v>
      </c>
      <c r="G12" s="57">
        <f>Calc1!C164</f>
        <v>0</v>
      </c>
      <c r="H12" s="57">
        <f>Calc1!D164</f>
        <v>0</v>
      </c>
      <c r="I12" s="57">
        <f>Calc1!E164</f>
        <v>0</v>
      </c>
      <c r="J12" s="57">
        <f>Calc1!F164</f>
        <v>0</v>
      </c>
      <c r="K12" s="57">
        <f>Calc1!G164</f>
        <v>0</v>
      </c>
      <c r="L12" s="32"/>
      <c r="M12" s="39"/>
    </row>
    <row r="13" spans="1:13">
      <c r="A13" s="5" t="s">
        <v>178</v>
      </c>
      <c r="B13" s="57">
        <f>Inputs!B276</f>
        <v>1758</v>
      </c>
      <c r="C13" s="57">
        <f>Inputs!C276</f>
        <v>864</v>
      </c>
      <c r="D13" s="57">
        <f>Inputs!D276</f>
        <v>7364</v>
      </c>
      <c r="E13" s="57">
        <f>Inputs!E276</f>
        <v>247</v>
      </c>
      <c r="F13" s="57">
        <f>'Cash flow'!F23</f>
        <v>170.70050759926835</v>
      </c>
      <c r="G13" s="57">
        <f>'Cash flow'!G23</f>
        <v>762.64350176286825</v>
      </c>
      <c r="H13" s="57">
        <f>'Cash flow'!H23</f>
        <v>978.30978250657063</v>
      </c>
      <c r="I13" s="57">
        <f>'Cash flow'!I23</f>
        <v>1432.1926729304832</v>
      </c>
      <c r="J13" s="57">
        <f>'Cash flow'!J23</f>
        <v>1797.9022742619636</v>
      </c>
      <c r="K13" s="57">
        <f>'Cash flow'!K23</f>
        <v>1409.2027975229021</v>
      </c>
      <c r="L13" s="32"/>
      <c r="M13" s="39"/>
    </row>
    <row r="14" spans="1:13">
      <c r="A14" s="4" t="s">
        <v>203</v>
      </c>
      <c r="B14" s="14">
        <f t="shared" ref="B14:K14" si="7">SUM(B9:B13)</f>
        <v>21004</v>
      </c>
      <c r="C14" s="14">
        <f t="shared" si="7"/>
        <v>19705</v>
      </c>
      <c r="D14" s="14">
        <f t="shared" si="7"/>
        <v>21515</v>
      </c>
      <c r="E14" s="14">
        <f t="shared" si="7"/>
        <v>16840</v>
      </c>
      <c r="F14" s="14">
        <f t="shared" si="7"/>
        <v>14211.476810966891</v>
      </c>
      <c r="G14" s="14">
        <f t="shared" si="7"/>
        <v>12585.810892233632</v>
      </c>
      <c r="H14" s="14">
        <f t="shared" si="7"/>
        <v>14392.131854966701</v>
      </c>
      <c r="I14" s="14">
        <f t="shared" si="7"/>
        <v>16280.688147238132</v>
      </c>
      <c r="J14" s="14">
        <f t="shared" si="7"/>
        <v>18252.280955629856</v>
      </c>
      <c r="K14" s="14">
        <f t="shared" si="7"/>
        <v>19283.806661144878</v>
      </c>
      <c r="L14" s="32"/>
      <c r="M14" s="39"/>
    </row>
    <row r="15" spans="1:13">
      <c r="A15" s="4" t="s">
        <v>191</v>
      </c>
      <c r="B15" s="46"/>
      <c r="C15" s="46"/>
      <c r="D15" s="46"/>
      <c r="E15" s="46"/>
      <c r="F15" s="46"/>
      <c r="G15" s="46"/>
      <c r="H15" s="46"/>
      <c r="I15" s="46"/>
      <c r="J15" s="46"/>
      <c r="K15" s="46"/>
      <c r="L15" s="32"/>
      <c r="M15" s="39"/>
    </row>
    <row r="16" spans="1:13">
      <c r="A16" s="5" t="s">
        <v>179</v>
      </c>
      <c r="B16" s="57">
        <f>Inputs!B278</f>
        <v>0</v>
      </c>
      <c r="C16" s="57">
        <f>Inputs!C278</f>
        <v>0</v>
      </c>
      <c r="D16" s="57">
        <f>Inputs!D278</f>
        <v>0</v>
      </c>
      <c r="E16" s="57">
        <f>Inputs!E278</f>
        <v>0</v>
      </c>
      <c r="F16" s="57">
        <f>Calc2!B83</f>
        <v>0</v>
      </c>
      <c r="G16" s="57">
        <f>Calc2!C83</f>
        <v>0</v>
      </c>
      <c r="H16" s="57">
        <f>Calc2!D83</f>
        <v>0</v>
      </c>
      <c r="I16" s="57">
        <f>Calc2!E83</f>
        <v>0</v>
      </c>
      <c r="J16" s="57">
        <f>Calc2!F83</f>
        <v>0</v>
      </c>
      <c r="K16" s="57">
        <f>Calc2!G83</f>
        <v>0</v>
      </c>
      <c r="L16" s="32"/>
      <c r="M16" s="39"/>
    </row>
    <row r="17" spans="1:13">
      <c r="A17" s="5" t="s">
        <v>654</v>
      </c>
      <c r="B17" s="57">
        <f>Inputs!B279</f>
        <v>0</v>
      </c>
      <c r="C17" s="57">
        <f>Inputs!C279</f>
        <v>0</v>
      </c>
      <c r="D17" s="57">
        <f>Inputs!D279</f>
        <v>0</v>
      </c>
      <c r="E17" s="57">
        <f>Inputs!E279</f>
        <v>0</v>
      </c>
      <c r="F17" s="57">
        <f>Calc2!B84</f>
        <v>0</v>
      </c>
      <c r="G17" s="57">
        <f>Calc2!C84</f>
        <v>0</v>
      </c>
      <c r="H17" s="57">
        <f>Calc2!D84</f>
        <v>0</v>
      </c>
      <c r="I17" s="57">
        <f>Calc2!E84</f>
        <v>0</v>
      </c>
      <c r="J17" s="57">
        <f>Calc2!F84</f>
        <v>0</v>
      </c>
      <c r="K17" s="57">
        <f>Calc2!G84</f>
        <v>0</v>
      </c>
      <c r="L17" s="32"/>
      <c r="M17" s="39"/>
    </row>
    <row r="18" spans="1:13">
      <c r="A18" s="5" t="s">
        <v>192</v>
      </c>
      <c r="B18" s="57">
        <f>Inputs!B280</f>
        <v>-557</v>
      </c>
      <c r="C18" s="57">
        <f>Inputs!C280</f>
        <v>-439</v>
      </c>
      <c r="D18" s="57">
        <f>Inputs!D280</f>
        <v>-233</v>
      </c>
      <c r="E18" s="57">
        <f>Inputs!E280</f>
        <v>-77</v>
      </c>
      <c r="F18" s="57">
        <f>Calc2!B85</f>
        <v>-120</v>
      </c>
      <c r="G18" s="57">
        <f>Calc2!C85</f>
        <v>-120</v>
      </c>
      <c r="H18" s="57">
        <f>Calc2!D85</f>
        <v>-120</v>
      </c>
      <c r="I18" s="57">
        <f>Calc2!E85</f>
        <v>-120</v>
      </c>
      <c r="J18" s="57">
        <f>Calc2!F85</f>
        <v>-120</v>
      </c>
      <c r="K18" s="57">
        <f>Calc2!G85</f>
        <v>-120</v>
      </c>
      <c r="L18" s="32"/>
      <c r="M18" s="39"/>
    </row>
    <row r="19" spans="1:13">
      <c r="A19" s="5" t="s">
        <v>193</v>
      </c>
      <c r="B19" s="57">
        <f>Inputs!B281</f>
        <v>-2237</v>
      </c>
      <c r="C19" s="57">
        <f>B18+B19+'P&amp;L'!C24-C18+'Cash flow'!C19+Calc1!C78</f>
        <v>3096</v>
      </c>
      <c r="D19" s="57">
        <f>C18+C19+'P&amp;L'!D24-D18+'Cash flow'!D19+Calc1!D78</f>
        <v>3596</v>
      </c>
      <c r="E19" s="57">
        <f>D18+D19+'P&amp;L'!E24-E18+'Cash flow'!E19+Calc1!E78</f>
        <v>7722</v>
      </c>
      <c r="F19" s="57">
        <f>E18+E19+'P&amp;L'!F24-F18+'Cash flow'!F19+Calc1!F78</f>
        <v>11484.402588823465</v>
      </c>
      <c r="G19" s="57">
        <f>F18+F19+'P&amp;L'!G24-G18+'Cash flow'!G19+Calc1!G78</f>
        <v>13101.268219745369</v>
      </c>
      <c r="H19" s="57">
        <f>G18+G19+'P&amp;L'!H24-H18+'Cash flow'!H19+Calc1!H78</f>
        <v>13814.945725693495</v>
      </c>
      <c r="I19" s="57">
        <f>H18+H19+'P&amp;L'!I24-I18+'Cash flow'!I19+Calc1!I78</f>
        <v>14760.918541470166</v>
      </c>
      <c r="J19" s="57">
        <f>I18+I19+'P&amp;L'!J24-J18+'Cash flow'!J19+Calc1!J78</f>
        <v>16531.169554731085</v>
      </c>
      <c r="K19" s="57">
        <f>J18+J19+'P&amp;L'!K24-K18+'Cash flow'!K19+Calc1!K78</f>
        <v>18189.817182256484</v>
      </c>
      <c r="L19" s="32"/>
      <c r="M19" s="39"/>
    </row>
    <row r="20" spans="1:13">
      <c r="A20" s="4" t="s">
        <v>204</v>
      </c>
      <c r="B20" s="14">
        <f>SUM(B16:B19)</f>
        <v>-2794</v>
      </c>
      <c r="C20" s="14">
        <f t="shared" ref="C20:E20" si="8">SUM(C16:C19)</f>
        <v>2657</v>
      </c>
      <c r="D20" s="14">
        <f t="shared" si="8"/>
        <v>3363</v>
      </c>
      <c r="E20" s="14">
        <f t="shared" si="8"/>
        <v>7645</v>
      </c>
      <c r="F20" s="14">
        <f t="shared" ref="F20" si="9">SUM(F16:F19)</f>
        <v>11364.402588823465</v>
      </c>
      <c r="G20" s="14">
        <f t="shared" ref="G20" si="10">SUM(G16:G19)</f>
        <v>12981.268219745369</v>
      </c>
      <c r="H20" s="14">
        <f t="shared" ref="H20" si="11">SUM(H16:H19)</f>
        <v>13694.945725693495</v>
      </c>
      <c r="I20" s="14">
        <f t="shared" ref="I20" si="12">SUM(I16:I19)</f>
        <v>14640.918541470166</v>
      </c>
      <c r="J20" s="14">
        <f t="shared" ref="J20" si="13">SUM(J16:J19)</f>
        <v>16411.169554731085</v>
      </c>
      <c r="K20" s="14">
        <f t="shared" ref="K20" si="14">SUM(K16:K19)</f>
        <v>18069.817182256484</v>
      </c>
      <c r="L20" s="32"/>
      <c r="M20" s="39"/>
    </row>
    <row r="21" spans="1:13">
      <c r="A21" s="4" t="s">
        <v>180</v>
      </c>
      <c r="B21" s="46"/>
      <c r="C21" s="46"/>
      <c r="D21" s="46"/>
      <c r="E21" s="46"/>
      <c r="F21" s="46"/>
      <c r="G21" s="46"/>
      <c r="H21" s="46"/>
      <c r="I21" s="46"/>
      <c r="J21" s="46"/>
      <c r="K21" s="46"/>
      <c r="L21" s="32"/>
      <c r="M21" s="39"/>
    </row>
    <row r="22" spans="1:13">
      <c r="A22" s="5" t="s">
        <v>194</v>
      </c>
      <c r="B22" s="57">
        <f>Inputs!B283</f>
        <v>743</v>
      </c>
      <c r="C22" s="57">
        <f>Inputs!C283</f>
        <v>570</v>
      </c>
      <c r="D22" s="57">
        <f>Inputs!D283</f>
        <v>291</v>
      </c>
      <c r="E22" s="57">
        <f>Inputs!E283</f>
        <v>97</v>
      </c>
      <c r="F22" s="57">
        <f>Calc2!B90</f>
        <v>97</v>
      </c>
      <c r="G22" s="57">
        <f>Calc2!C90</f>
        <v>97</v>
      </c>
      <c r="H22" s="57">
        <f>Calc2!D90</f>
        <v>97</v>
      </c>
      <c r="I22" s="57">
        <f>Calc2!E90</f>
        <v>97</v>
      </c>
      <c r="J22" s="57">
        <f>Calc2!F90</f>
        <v>97</v>
      </c>
      <c r="K22" s="57">
        <f>Calc2!G90</f>
        <v>97</v>
      </c>
      <c r="L22" s="32"/>
      <c r="M22" s="39"/>
    </row>
    <row r="23" spans="1:13">
      <c r="A23" s="5" t="s">
        <v>181</v>
      </c>
      <c r="B23" s="57">
        <f>Inputs!B284</f>
        <v>13176</v>
      </c>
      <c r="C23" s="57">
        <f>Inputs!C284</f>
        <v>8568</v>
      </c>
      <c r="D23" s="57">
        <f>Inputs!D284</f>
        <v>3168</v>
      </c>
      <c r="E23" s="57">
        <f>Inputs!E284</f>
        <v>0</v>
      </c>
      <c r="F23" s="57">
        <f>Calc2!B91</f>
        <v>0</v>
      </c>
      <c r="G23" s="57">
        <f>Calc2!C91</f>
        <v>3000</v>
      </c>
      <c r="H23" s="57">
        <f>Calc2!D91</f>
        <v>8000</v>
      </c>
      <c r="I23" s="57">
        <f>Calc2!E91</f>
        <v>18000</v>
      </c>
      <c r="J23" s="57">
        <f>Calc2!F91</f>
        <v>15000</v>
      </c>
      <c r="K23" s="57">
        <f>Calc2!G91</f>
        <v>11000</v>
      </c>
      <c r="L23" s="32"/>
      <c r="M23" s="39"/>
    </row>
    <row r="24" spans="1:13">
      <c r="A24" s="5" t="s">
        <v>195</v>
      </c>
      <c r="B24" s="57">
        <f>Inputs!B285</f>
        <v>525</v>
      </c>
      <c r="C24" s="57">
        <f>Inputs!C285</f>
        <v>152</v>
      </c>
      <c r="D24" s="57">
        <f>Inputs!D285</f>
        <v>0</v>
      </c>
      <c r="E24" s="57">
        <f>Inputs!E285</f>
        <v>0</v>
      </c>
      <c r="F24" s="57">
        <f>Calc2!B92</f>
        <v>0</v>
      </c>
      <c r="G24" s="57">
        <f>Calc2!C92</f>
        <v>0</v>
      </c>
      <c r="H24" s="57">
        <f>Calc2!D92</f>
        <v>0</v>
      </c>
      <c r="I24" s="57">
        <f>Calc2!E92</f>
        <v>0</v>
      </c>
      <c r="J24" s="57">
        <f>Calc2!F92</f>
        <v>0</v>
      </c>
      <c r="K24" s="57">
        <f>Calc2!G92</f>
        <v>0</v>
      </c>
      <c r="L24" s="32"/>
      <c r="M24" s="39"/>
    </row>
    <row r="25" spans="1:13">
      <c r="A25" s="5" t="s">
        <v>54</v>
      </c>
      <c r="B25" s="57">
        <f>Inputs!B286</f>
        <v>0</v>
      </c>
      <c r="C25" s="57">
        <f>Inputs!C286</f>
        <v>557</v>
      </c>
      <c r="D25" s="57">
        <f>Inputs!D286</f>
        <v>944</v>
      </c>
      <c r="E25" s="57">
        <f>Inputs!E286</f>
        <v>1872</v>
      </c>
      <c r="F25" s="57">
        <f>Calc2!B93</f>
        <v>1022</v>
      </c>
      <c r="G25" s="57">
        <f>Calc2!C93</f>
        <v>1022</v>
      </c>
      <c r="H25" s="57">
        <f>Calc2!D93</f>
        <v>1022</v>
      </c>
      <c r="I25" s="57">
        <f>Calc2!E93</f>
        <v>1022</v>
      </c>
      <c r="J25" s="57">
        <f>Calc2!F93</f>
        <v>1022</v>
      </c>
      <c r="K25" s="57">
        <f>Calc2!G93</f>
        <v>1022</v>
      </c>
      <c r="L25" s="32"/>
      <c r="M25" s="39"/>
    </row>
    <row r="26" spans="1:13">
      <c r="A26" s="4" t="s">
        <v>182</v>
      </c>
      <c r="B26" s="14">
        <f>SUM(B22:B25)</f>
        <v>14444</v>
      </c>
      <c r="C26" s="14">
        <f t="shared" ref="C26:E26" si="15">SUM(C22:C25)</f>
        <v>9847</v>
      </c>
      <c r="D26" s="14">
        <f t="shared" si="15"/>
        <v>4403</v>
      </c>
      <c r="E26" s="14">
        <f t="shared" si="15"/>
        <v>1969</v>
      </c>
      <c r="F26" s="14">
        <f t="shared" ref="F26" si="16">SUM(F22:F25)</f>
        <v>1119</v>
      </c>
      <c r="G26" s="14">
        <f t="shared" ref="G26" si="17">SUM(G22:G25)</f>
        <v>4119</v>
      </c>
      <c r="H26" s="14">
        <f t="shared" ref="H26" si="18">SUM(H22:H25)</f>
        <v>9119</v>
      </c>
      <c r="I26" s="14">
        <f t="shared" ref="I26" si="19">SUM(I22:I25)</f>
        <v>19119</v>
      </c>
      <c r="J26" s="14">
        <f t="shared" ref="J26" si="20">SUM(J22:J25)</f>
        <v>16119</v>
      </c>
      <c r="K26" s="14">
        <f t="shared" ref="K26" si="21">SUM(K22:K25)</f>
        <v>12119</v>
      </c>
      <c r="L26" s="32"/>
      <c r="M26" s="39"/>
    </row>
    <row r="27" spans="1:13">
      <c r="A27" s="4" t="s">
        <v>196</v>
      </c>
      <c r="B27" s="46"/>
      <c r="C27" s="46"/>
      <c r="D27" s="46"/>
      <c r="E27" s="46"/>
      <c r="F27" s="46"/>
      <c r="G27" s="46"/>
      <c r="H27" s="46"/>
      <c r="I27" s="46"/>
      <c r="J27" s="46"/>
      <c r="K27" s="46"/>
      <c r="L27" s="32"/>
      <c r="M27" s="39"/>
    </row>
    <row r="28" spans="1:13">
      <c r="A28" s="5" t="s">
        <v>183</v>
      </c>
      <c r="B28" s="57">
        <f>Inputs!B288</f>
        <v>7247</v>
      </c>
      <c r="C28" s="57">
        <f>Inputs!C288</f>
        <v>7821</v>
      </c>
      <c r="D28" s="57">
        <f>Inputs!D288</f>
        <v>8578</v>
      </c>
      <c r="E28" s="57">
        <f>Inputs!E288</f>
        <v>7925</v>
      </c>
      <c r="F28" s="57">
        <f>Calc2!B97</f>
        <v>9156.2809232187701</v>
      </c>
      <c r="G28" s="57">
        <f>Calc2!C97</f>
        <v>11447.399520302954</v>
      </c>
      <c r="H28" s="57">
        <f>Calc2!D97</f>
        <v>13286.836302273594</v>
      </c>
      <c r="I28" s="57">
        <f>Calc2!E97</f>
        <v>14605.871033546235</v>
      </c>
      <c r="J28" s="57">
        <f>Calc2!F97</f>
        <v>15958.998095385132</v>
      </c>
      <c r="K28" s="57">
        <f>Calc2!G97</f>
        <v>17400.231760337814</v>
      </c>
      <c r="L28" s="32"/>
      <c r="M28" s="39"/>
    </row>
    <row r="29" spans="1:13">
      <c r="A29" s="5" t="s">
        <v>201</v>
      </c>
      <c r="B29" s="57">
        <f>Inputs!B289</f>
        <v>4069</v>
      </c>
      <c r="C29" s="57">
        <f>Inputs!C289</f>
        <v>5814</v>
      </c>
      <c r="D29" s="57">
        <f>Inputs!D289</f>
        <v>5563</v>
      </c>
      <c r="E29" s="57">
        <f>Inputs!E289</f>
        <v>7472</v>
      </c>
      <c r="F29" s="57">
        <f>Calc2!B98</f>
        <v>0</v>
      </c>
      <c r="G29" s="57">
        <f>Calc2!C98</f>
        <v>0</v>
      </c>
      <c r="H29" s="57">
        <f>Calc2!D98</f>
        <v>0</v>
      </c>
      <c r="I29" s="57">
        <f>Calc2!E98</f>
        <v>0</v>
      </c>
      <c r="J29" s="57">
        <f>Calc2!F98</f>
        <v>0</v>
      </c>
      <c r="K29" s="57">
        <f>Calc2!G98</f>
        <v>0</v>
      </c>
      <c r="L29" s="32"/>
      <c r="M29" s="39"/>
    </row>
    <row r="30" spans="1:13">
      <c r="A30" s="5" t="s">
        <v>198</v>
      </c>
      <c r="B30" s="57">
        <f>Inputs!B290</f>
        <v>4395</v>
      </c>
      <c r="C30" s="57">
        <f>Inputs!C290</f>
        <v>0</v>
      </c>
      <c r="D30" s="57">
        <f>Inputs!D290</f>
        <v>5191</v>
      </c>
      <c r="E30" s="57">
        <f>Inputs!E290</f>
        <v>0</v>
      </c>
      <c r="F30" s="57">
        <f>Calc2!B99</f>
        <v>0</v>
      </c>
      <c r="G30" s="57">
        <f>Calc2!C99</f>
        <v>0</v>
      </c>
      <c r="H30" s="57">
        <f>Calc2!D99</f>
        <v>0</v>
      </c>
      <c r="I30" s="57">
        <f>Calc2!E99</f>
        <v>0</v>
      </c>
      <c r="J30" s="57">
        <f>Calc2!F99</f>
        <v>0</v>
      </c>
      <c r="K30" s="57">
        <f>Calc2!G99</f>
        <v>0</v>
      </c>
      <c r="L30" s="32"/>
      <c r="M30" s="39"/>
    </row>
    <row r="31" spans="1:13">
      <c r="A31" s="5" t="s">
        <v>184</v>
      </c>
      <c r="B31" s="57">
        <f>Inputs!B291</f>
        <v>772</v>
      </c>
      <c r="C31" s="57">
        <f>Inputs!C291</f>
        <v>0</v>
      </c>
      <c r="D31" s="57">
        <f>Inputs!D291</f>
        <v>429</v>
      </c>
      <c r="E31" s="57">
        <f>Inputs!E291</f>
        <v>217</v>
      </c>
      <c r="F31" s="57">
        <f>Calc2!B100</f>
        <v>720</v>
      </c>
      <c r="G31" s="57">
        <f>Calc2!C100</f>
        <v>720</v>
      </c>
      <c r="H31" s="57">
        <f>Calc2!D100</f>
        <v>720</v>
      </c>
      <c r="I31" s="57">
        <f>Calc2!E100</f>
        <v>720</v>
      </c>
      <c r="J31" s="57">
        <f>Calc2!F100</f>
        <v>720</v>
      </c>
      <c r="K31" s="57">
        <f>Calc2!G100</f>
        <v>720</v>
      </c>
      <c r="L31" s="32"/>
      <c r="M31" s="39"/>
    </row>
    <row r="32" spans="1:13">
      <c r="A32" s="5" t="s">
        <v>181</v>
      </c>
      <c r="B32" s="57">
        <f>Inputs!B292</f>
        <v>1608</v>
      </c>
      <c r="C32" s="57">
        <f>Inputs!C292</f>
        <v>1608</v>
      </c>
      <c r="D32" s="57">
        <f>Inputs!D292</f>
        <v>2400</v>
      </c>
      <c r="E32" s="57">
        <f>Inputs!E292</f>
        <v>3168</v>
      </c>
      <c r="F32" s="57">
        <f>Calc2!B101</f>
        <v>3000</v>
      </c>
      <c r="G32" s="57">
        <f>Calc2!C101</f>
        <v>0</v>
      </c>
      <c r="H32" s="57">
        <f>Calc2!D101</f>
        <v>0</v>
      </c>
      <c r="I32" s="57">
        <f>Calc2!E101</f>
        <v>0</v>
      </c>
      <c r="J32" s="57">
        <f>Calc2!F101</f>
        <v>0</v>
      </c>
      <c r="K32" s="57">
        <f>Calc2!G101</f>
        <v>0</v>
      </c>
      <c r="L32" s="32"/>
      <c r="M32" s="39"/>
    </row>
    <row r="33" spans="1:13">
      <c r="A33" s="4" t="s">
        <v>185</v>
      </c>
      <c r="B33" s="14">
        <f>SUM(B28:B32)</f>
        <v>18091</v>
      </c>
      <c r="C33" s="14">
        <f t="shared" ref="C33:E33" si="22">SUM(C28:C32)</f>
        <v>15243</v>
      </c>
      <c r="D33" s="14">
        <f t="shared" si="22"/>
        <v>22161</v>
      </c>
      <c r="E33" s="14">
        <f t="shared" si="22"/>
        <v>18782</v>
      </c>
      <c r="F33" s="14">
        <f t="shared" ref="F33" si="23">SUM(F28:F32)</f>
        <v>12876.28092321877</v>
      </c>
      <c r="G33" s="14">
        <f t="shared" ref="G33" si="24">SUM(G28:G32)</f>
        <v>12167.399520302954</v>
      </c>
      <c r="H33" s="14">
        <f t="shared" ref="H33" si="25">SUM(H28:H32)</f>
        <v>14006.836302273594</v>
      </c>
      <c r="I33" s="14">
        <f t="shared" ref="I33" si="26">SUM(I28:I32)</f>
        <v>15325.871033546235</v>
      </c>
      <c r="J33" s="14">
        <f t="shared" ref="J33" si="27">SUM(J28:J32)</f>
        <v>16678.998095385134</v>
      </c>
      <c r="K33" s="14">
        <f t="shared" ref="K33" si="28">SUM(K28:K32)</f>
        <v>18120.231760337814</v>
      </c>
      <c r="L33" s="32"/>
      <c r="M33" s="39"/>
    </row>
    <row r="34" spans="1:13">
      <c r="G34" s="39"/>
      <c r="H34" s="39"/>
      <c r="L34" s="32"/>
    </row>
    <row r="35" spans="1:13">
      <c r="L35" s="32"/>
    </row>
    <row r="36" spans="1:13">
      <c r="A36" s="58" t="s">
        <v>714</v>
      </c>
      <c r="B36" s="59">
        <f>(B7+B14)-(B20+B26+B33)</f>
        <v>0</v>
      </c>
      <c r="C36" s="59">
        <f t="shared" ref="C36:K36" si="29">(C7+C14)-(C20+C26+C33)</f>
        <v>0</v>
      </c>
      <c r="D36" s="59">
        <f t="shared" si="29"/>
        <v>0</v>
      </c>
      <c r="E36" s="59">
        <f t="shared" si="29"/>
        <v>0</v>
      </c>
      <c r="F36" s="59">
        <f>(F7+F14)-(F20+F26+F33)</f>
        <v>0</v>
      </c>
      <c r="G36" s="59">
        <f t="shared" si="29"/>
        <v>0</v>
      </c>
      <c r="H36" s="59">
        <f t="shared" si="29"/>
        <v>0</v>
      </c>
      <c r="I36" s="59">
        <f t="shared" si="29"/>
        <v>0</v>
      </c>
      <c r="J36" s="59">
        <f t="shared" si="29"/>
        <v>0</v>
      </c>
      <c r="K36" s="59">
        <f t="shared" si="29"/>
        <v>0</v>
      </c>
      <c r="L36" s="32"/>
    </row>
  </sheetData>
  <mergeCells count="1">
    <mergeCell ref="B2:K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6" tint="0.79998168889431442"/>
  </sheetPr>
  <dimension ref="A1:K62"/>
  <sheetViews>
    <sheetView showGridLines="0" tabSelected="1" zoomScale="75" zoomScaleNormal="75" workbookViewId="0">
      <selection activeCell="A26" sqref="A26"/>
    </sheetView>
  </sheetViews>
  <sheetFormatPr defaultRowHeight="15"/>
  <cols>
    <col min="1" max="1" width="81.7109375" style="3" customWidth="1"/>
    <col min="2" max="12" width="13.85546875" style="3" customWidth="1"/>
    <col min="13" max="16384" width="9.140625" style="3"/>
  </cols>
  <sheetData>
    <row r="1" spans="1:11" ht="18.75">
      <c r="A1" s="6" t="s">
        <v>221</v>
      </c>
    </row>
    <row r="3" spans="1:11">
      <c r="A3" s="2"/>
      <c r="B3" s="34" t="s">
        <v>10</v>
      </c>
      <c r="C3" s="34" t="s">
        <v>11</v>
      </c>
      <c r="D3" s="34" t="s">
        <v>9</v>
      </c>
      <c r="E3" s="34" t="s">
        <v>12</v>
      </c>
      <c r="F3" s="34" t="s">
        <v>13</v>
      </c>
      <c r="G3" s="34" t="s">
        <v>14</v>
      </c>
      <c r="H3" s="34" t="s">
        <v>15</v>
      </c>
      <c r="I3" s="34" t="s">
        <v>16</v>
      </c>
      <c r="J3" s="34" t="s">
        <v>17</v>
      </c>
      <c r="K3" s="34" t="s">
        <v>18</v>
      </c>
    </row>
    <row r="4" spans="1:11">
      <c r="A4" s="5" t="s">
        <v>264</v>
      </c>
      <c r="B4" s="47">
        <f>'P&amp;L'!B16/'P&amp;L'!B7</f>
        <v>9.7298480816519012E-2</v>
      </c>
      <c r="C4" s="47">
        <f>'P&amp;L'!C16/'P&amp;L'!C7</f>
        <v>7.7576632607729901E-2</v>
      </c>
      <c r="D4" s="47">
        <f>'P&amp;L'!D16/'P&amp;L'!D7</f>
        <v>6.0198714202220921E-2</v>
      </c>
      <c r="E4" s="47">
        <f>'P&amp;L'!E16/'P&amp;L'!E7</f>
        <v>4.4835384727621393E-2</v>
      </c>
      <c r="F4" s="47">
        <f>'P&amp;L'!F16/'P&amp;L'!F7</f>
        <v>3.7638948219181033E-2</v>
      </c>
      <c r="G4" s="47">
        <f>'P&amp;L'!G16/'P&amp;L'!G7</f>
        <v>3.3621422355403587E-2</v>
      </c>
      <c r="H4" s="47">
        <f>'P&amp;L'!H16/'P&amp;L'!H7</f>
        <v>9.6947355926964452E-3</v>
      </c>
      <c r="I4" s="47">
        <f>'P&amp;L'!I16/'P&amp;L'!I7</f>
        <v>1.1568381470561292E-2</v>
      </c>
      <c r="J4" s="47">
        <f>'P&amp;L'!J16/'P&amp;L'!J7</f>
        <v>1.8358107227179198E-2</v>
      </c>
      <c r="K4" s="47">
        <f>'P&amp;L'!K16/'P&amp;L'!K7</f>
        <v>1.4806319795675036E-2</v>
      </c>
    </row>
    <row r="5" spans="1:11">
      <c r="A5" s="5" t="s">
        <v>236</v>
      </c>
      <c r="B5" s="48">
        <f>'P&amp;L'!B22/'Balance sheet'!B20</f>
        <v>-1.7902648532569791</v>
      </c>
      <c r="C5" s="48">
        <f>'P&amp;L'!C22/'Balance sheet'!C20</f>
        <v>1.6793375987956343</v>
      </c>
      <c r="D5" s="48">
        <f>'P&amp;L'!D22/'Balance sheet'!D20</f>
        <v>1.3092476955099615</v>
      </c>
      <c r="E5" s="48">
        <f>'P&amp;L'!E22/'Balance sheet'!E20</f>
        <v>0.52217135382603008</v>
      </c>
      <c r="F5" s="48">
        <f>'P&amp;L'!F22/'Balance sheet'!F20</f>
        <v>0.31147700767975239</v>
      </c>
      <c r="G5" s="48">
        <f>'P&amp;L'!G22/'Balance sheet'!G20</f>
        <v>0.27900955351408174</v>
      </c>
      <c r="H5" s="48">
        <f>'P&amp;L'!H22/'Balance sheet'!H20</f>
        <v>6.5140592763465163E-2</v>
      </c>
      <c r="I5" s="48">
        <f>'P&amp;L'!I22/'Balance sheet'!I20</f>
        <v>7.9767377332944922E-2</v>
      </c>
      <c r="J5" s="48">
        <f>'P&amp;L'!J22/'Balance sheet'!J20</f>
        <v>0.13317119604494329</v>
      </c>
      <c r="K5" s="48">
        <f>'P&amp;L'!K22/'Balance sheet'!K20</f>
        <v>0.11332229317806622</v>
      </c>
    </row>
    <row r="6" spans="1:11">
      <c r="A6" s="1" t="s">
        <v>646</v>
      </c>
      <c r="B6" s="49"/>
      <c r="C6" s="49"/>
      <c r="D6" s="49"/>
      <c r="E6" s="49"/>
      <c r="F6" s="49"/>
      <c r="G6" s="49"/>
      <c r="H6" s="49"/>
      <c r="I6" s="49"/>
      <c r="J6" s="49"/>
      <c r="K6" s="49"/>
    </row>
    <row r="7" spans="1:11">
      <c r="A7" s="5" t="s">
        <v>641</v>
      </c>
      <c r="B7" s="50"/>
      <c r="C7" s="48">
        <f>(('Balance sheet'!B23+'Balance sheet'!B32)+('Balance sheet'!C23+'Balance sheet'!C32))/2/('RAB&amp;Return'!C99*Calc1!G7)</f>
        <v>0.68959291110846244</v>
      </c>
      <c r="D7" s="48">
        <f>(('Balance sheet'!C23+'Balance sheet'!C32)+('Balance sheet'!D23+'Balance sheet'!D32))/2/('RAB&amp;Return'!D99*Calc1!H7)</f>
        <v>0.47995223604488246</v>
      </c>
      <c r="E7" s="48">
        <f>(('Balance sheet'!D23+'Balance sheet'!D32)+('Balance sheet'!E23+'Balance sheet'!E32))/2/('RAB&amp;Return'!E99*Calc1!I7)</f>
        <v>0.3166121693681711</v>
      </c>
      <c r="F7" s="48">
        <f>(('Balance sheet'!E23+'Balance sheet'!E32)+('Balance sheet'!F23+'Balance sheet'!F32))/2/('RAB&amp;Return'!F99*Calc1!J7)</f>
        <v>0.28484167604888899</v>
      </c>
      <c r="G7" s="48">
        <f>(('Balance sheet'!F23+'Balance sheet'!F32)+('Balance sheet'!G23+'Balance sheet'!G32))/2/('RAB&amp;Return'!G99*Calc1!K7)</f>
        <v>0.28044649588866294</v>
      </c>
      <c r="H7" s="48">
        <f>(('Balance sheet'!G23+'Balance sheet'!G32)+('Balance sheet'!H23+'Balance sheet'!H32))/2/('RAB&amp;Return'!H99*Calc1!L7)</f>
        <v>0.35991385614483079</v>
      </c>
      <c r="I7" s="48">
        <f>(('Balance sheet'!H23+'Balance sheet'!H32)+('Balance sheet'!I23+'Balance sheet'!I32))/2/('RAB&amp;Return'!I99*Calc1!M7)</f>
        <v>0.55411008948246243</v>
      </c>
      <c r="J7" s="48">
        <f>(('Balance sheet'!I23+'Balance sheet'!I32)+('Balance sheet'!J23+'Balance sheet'!J32))/2/('RAB&amp;Return'!J99*Calc1!N7)</f>
        <v>0.56006424383436149</v>
      </c>
      <c r="K7" s="48">
        <f>(('Balance sheet'!J23+'Balance sheet'!J32)+('Balance sheet'!K23+'Balance sheet'!K32))/2/('RAB&amp;Return'!K99*Calc1!O7)</f>
        <v>0.48068652365184411</v>
      </c>
    </row>
    <row r="8" spans="1:11">
      <c r="A8" s="5" t="s">
        <v>642</v>
      </c>
      <c r="B8" s="50"/>
      <c r="C8" s="48">
        <f>(('Balance sheet'!B23+'Balance sheet'!B32-'Balance sheet'!B13)+('Balance sheet'!C23+'Balance sheet'!C32-'Balance sheet'!C13))/2/('RAB&amp;Return'!C99*Calc1!G7)</f>
        <v>0.6171525019367321</v>
      </c>
      <c r="D8" s="48">
        <f>(('Balance sheet'!C23+'Balance sheet'!C32-'Balance sheet'!C13)+('Balance sheet'!D23+'Balance sheet'!D32-'Balance sheet'!D13))/2/('RAB&amp;Return'!D99*Calc1!H7)</f>
        <v>0.22912353951431252</v>
      </c>
      <c r="E8" s="48">
        <f>(('Balance sheet'!D23+'Balance sheet'!D32-'Balance sheet'!D13)+('Balance sheet'!E23+'Balance sheet'!E32-'Balance sheet'!E13))/2/('RAB&amp;Return'!E99*Calc1!I7)</f>
        <v>4.077251494267313E-2</v>
      </c>
      <c r="F8" s="48">
        <f>(('Balance sheet'!E23+'Balance sheet'!E32-'Balance sheet'!E13)+('Balance sheet'!F23+'Balance sheet'!F32-'Balance sheet'!F13))/2/('RAB&amp;Return'!F99*Calc1!J7)</f>
        <v>0.26555203391674775</v>
      </c>
      <c r="G8" s="48">
        <f>(('Balance sheet'!F23+'Balance sheet'!F32-'Balance sheet'!F13)+('Balance sheet'!G23+'Balance sheet'!G32-'Balance sheet'!G13))/2/('RAB&amp;Return'!G99*Calc1!K7)</f>
        <v>0.23682098640794849</v>
      </c>
      <c r="H8" s="48">
        <f>(('Balance sheet'!G23+'Balance sheet'!G32-'Balance sheet'!G13)+('Balance sheet'!H23+'Balance sheet'!H32-'Balance sheet'!H13))/2/('RAB&amp;Return'!H99*Calc1!L7)</f>
        <v>0.30295083706215609</v>
      </c>
      <c r="I8" s="48">
        <f>(('Balance sheet'!H23+'Balance sheet'!H32-'Balance sheet'!H13)+('Balance sheet'!I23+'Balance sheet'!I32-'Balance sheet'!I13))/2/('RAB&amp;Return'!I99*Calc1!M7)</f>
        <v>0.50273763827938855</v>
      </c>
      <c r="J8" s="48">
        <f>(('Balance sheet'!I23+'Balance sheet'!I32-'Balance sheet'!I13)+('Balance sheet'!J23+'Balance sheet'!J32-'Balance sheet'!J13))/2/('RAB&amp;Return'!J99*Calc1!N7)</f>
        <v>0.50524422310367878</v>
      </c>
      <c r="K8" s="48">
        <f>(('Balance sheet'!J23+'Balance sheet'!J32-'Balance sheet'!J13)+('Balance sheet'!K23+'Balance sheet'!K32-'Balance sheet'!K13))/2/('RAB&amp;Return'!K99*Calc1!O7)</f>
        <v>0.42139374719251854</v>
      </c>
    </row>
    <row r="9" spans="1:11">
      <c r="A9" s="1" t="s">
        <v>647</v>
      </c>
      <c r="B9" s="49"/>
      <c r="C9" s="49"/>
      <c r="D9" s="49"/>
      <c r="E9" s="49"/>
      <c r="F9" s="49"/>
      <c r="G9" s="49"/>
      <c r="H9" s="49"/>
      <c r="I9" s="49"/>
      <c r="J9" s="49"/>
      <c r="K9" s="49"/>
    </row>
    <row r="10" spans="1:11">
      <c r="A10" s="5" t="s">
        <v>649</v>
      </c>
      <c r="B10" s="51">
        <f>('RAB&amp;Return'!B$99*Calc1!$F$7)/'P&amp;L'!B7</f>
        <v>0.31023461016844373</v>
      </c>
      <c r="C10" s="51">
        <f>('RAB&amp;Return'!C$99*Calc1!$F$7)/'P&amp;L'!C7</f>
        <v>0.24285228161883016</v>
      </c>
      <c r="D10" s="51">
        <f>('RAB&amp;Return'!D$99*Calc1!$F$7)/'P&amp;L'!D7</f>
        <v>0.18762161785403333</v>
      </c>
      <c r="E10" s="51">
        <f>('RAB&amp;Return'!E$99*Calc1!$F$7)/'P&amp;L'!E7</f>
        <v>0.13180515623098357</v>
      </c>
      <c r="F10" s="51">
        <f>('RAB&amp;Return'!F$99*Calc1!$F$7)/'P&amp;L'!F7</f>
        <v>0.11048960845165655</v>
      </c>
      <c r="G10" s="51">
        <f>('RAB&amp;Return'!G$99*Calc1!$F$7)/'P&amp;L'!G7</f>
        <v>8.5797199875969538E-2</v>
      </c>
      <c r="H10" s="51">
        <f>('RAB&amp;Return'!H$99*Calc1!$F$7)/'P&amp;L'!H7</f>
        <v>0.10563789002178478</v>
      </c>
      <c r="I10" s="51">
        <f>('RAB&amp;Return'!I$99*Calc1!$F$7)/'P&amp;L'!I7</f>
        <v>0.14265636891961392</v>
      </c>
      <c r="J10" s="51">
        <f>('RAB&amp;Return'!J$99*Calc1!$F$7)/'P&amp;L'!J7</f>
        <v>0.15740092758785051</v>
      </c>
      <c r="K10" s="51">
        <f>('RAB&amp;Return'!K$99*Calc1!$F$7)/'P&amp;L'!K7</f>
        <v>0.12950752987574779</v>
      </c>
    </row>
    <row r="11" spans="1:11">
      <c r="A11" s="5" t="s">
        <v>650</v>
      </c>
      <c r="B11" s="51">
        <f>-('RAB&amp;Return'!B$99*Calc1!$F$7)/('P&amp;L'!B15-'P&amp;L'!B14-Calc1!B186)</f>
        <v>0.3522558963633346</v>
      </c>
      <c r="C11" s="51">
        <f>-('RAB&amp;Return'!C$99*Calc1!$F$7)/('P&amp;L'!C15-'P&amp;L'!C14-Calc1!C186)</f>
        <v>0.26797454556534706</v>
      </c>
      <c r="D11" s="51">
        <f>-('RAB&amp;Return'!D$99*Calc1!$F$7)/('P&amp;L'!D15-'P&amp;L'!D14-Calc1!D186)</f>
        <v>0.19871406959382446</v>
      </c>
      <c r="E11" s="51">
        <f>-('RAB&amp;Return'!E$99*Calc1!$F$7)/('P&amp;L'!E15-'P&amp;L'!E14-Calc1!E186)</f>
        <v>0.13776129365945741</v>
      </c>
      <c r="F11" s="51">
        <f>-('RAB&amp;Return'!F$99*Calc1!$F$7)/('P&amp;L'!F15-'P&amp;L'!F14-Calc1!F186)</f>
        <v>0.11490054829342196</v>
      </c>
      <c r="G11" s="51">
        <f>-('RAB&amp;Return'!G$99*Calc1!$F$7)/('P&amp;L'!G15-'P&amp;L'!G14-Calc1!G186)</f>
        <v>8.4400066846187616E-2</v>
      </c>
      <c r="H11" s="51">
        <f>-('RAB&amp;Return'!H$99*Calc1!$F$7)/('P&amp;L'!H15-'P&amp;L'!H14-Calc1!H186)</f>
        <v>0.10192440671167395</v>
      </c>
      <c r="I11" s="51">
        <f>-('RAB&amp;Return'!I$99*Calc1!$F$7)/('P&amp;L'!I15-'P&amp;L'!I14-Calc1!I186)</f>
        <v>0.12901148054627423</v>
      </c>
      <c r="J11" s="51">
        <f>-('RAB&amp;Return'!J$99*Calc1!$F$7)/('P&amp;L'!J15-'P&amp;L'!J14-Calc1!J186)</f>
        <v>0.1560655713904639</v>
      </c>
      <c r="K11" s="51">
        <f>-('RAB&amp;Return'!K$99*Calc1!$F$7)/('P&amp;L'!K15-'P&amp;L'!K14-Calc1!K186)</f>
        <v>0.12816926316220825</v>
      </c>
    </row>
    <row r="12" spans="1:11">
      <c r="A12" s="5" t="s">
        <v>651</v>
      </c>
      <c r="B12" s="51">
        <f>-('RAB&amp;Return'!B$99*Calc1!$F$7)/('P&amp;L'!B15-'P&amp;L'!B14)</f>
        <v>0.3542146406703815</v>
      </c>
      <c r="C12" s="51">
        <f>-('RAB&amp;Return'!C$99*Calc1!$F$7)/('P&amp;L'!C15-'P&amp;L'!C14)</f>
        <v>0.27031454630478063</v>
      </c>
      <c r="D12" s="51">
        <f>-('RAB&amp;Return'!D$99*Calc1!$F$7)/('P&amp;L'!D15-'P&amp;L'!D14)</f>
        <v>0.20465366277231681</v>
      </c>
      <c r="E12" s="51">
        <f>-('RAB&amp;Return'!E$99*Calc1!$F$7)/('P&amp;L'!E15-'P&amp;L'!E14)</f>
        <v>0.14090240814562932</v>
      </c>
      <c r="F12" s="51">
        <f>-('RAB&amp;Return'!F$99*Calc1!$F$7)/('P&amp;L'!F15-'P&amp;L'!F14)</f>
        <v>0.11741119616340205</v>
      </c>
      <c r="G12" s="51">
        <f>-('RAB&amp;Return'!G$99*Calc1!$F$7)/('P&amp;L'!G15-'P&amp;L'!G14)</f>
        <v>9.0337787914439124E-2</v>
      </c>
      <c r="H12" s="51">
        <f>-('RAB&amp;Return'!H$99*Calc1!$F$7)/('P&amp;L'!H15-'P&amp;L'!H14)</f>
        <v>0.10825173470145251</v>
      </c>
      <c r="I12" s="51">
        <f>-('RAB&amp;Return'!I$99*Calc1!$F$7)/('P&amp;L'!I15-'P&amp;L'!I14)</f>
        <v>0.14719715954104282</v>
      </c>
      <c r="J12" s="51">
        <f>-('RAB&amp;Return'!J$99*Calc1!$F$7)/('P&amp;L'!J15-'P&amp;L'!J14)</f>
        <v>0.16470521187910012</v>
      </c>
      <c r="K12" s="51">
        <f>-('RAB&amp;Return'!K$99*Calc1!$F$7)/('P&amp;L'!K15-'P&amp;L'!K14)</f>
        <v>0.13501453073601416</v>
      </c>
    </row>
    <row r="13" spans="1:11">
      <c r="A13" s="5" t="s">
        <v>655</v>
      </c>
      <c r="B13" s="51">
        <f>-('RAB&amp;Return'!B$99*Calc1!$F$7)/('P&amp;L'!B15-'P&amp;L'!B14-Calc2!B44-Calc2!B46)</f>
        <v>2.4059426503778898</v>
      </c>
      <c r="C13" s="51">
        <f>-('RAB&amp;Return'!C$99*Calc1!$F$7)/('P&amp;L'!C15-'P&amp;L'!C14-Calc2!C44-Calc2!C46)</f>
        <v>1.3925756001899459</v>
      </c>
      <c r="D13" s="51">
        <f>-('RAB&amp;Return'!D$99*Calc1!$F$7)/('P&amp;L'!D15-'P&amp;L'!D14-Calc2!D44-Calc2!D46)</f>
        <v>1.3574284850132359</v>
      </c>
      <c r="E13" s="51">
        <f>-('RAB&amp;Return'!E$99*Calc1!$F$7)/('P&amp;L'!E15-'P&amp;L'!E14-Calc2!E44-Calc2!E46)</f>
        <v>0.8420241270413994</v>
      </c>
      <c r="F13" s="51">
        <f>-('RAB&amp;Return'!F$99*Calc1!$F$7)/('P&amp;L'!F15-'P&amp;L'!F14-Calc2!F44-Calc2!F46)</f>
        <v>0.69421328084160194</v>
      </c>
      <c r="G13" s="51">
        <f>-('RAB&amp;Return'!G$99*Calc1!$F$7)/('P&amp;L'!G15-'P&amp;L'!G14-Calc2!G44-Calc2!G46)</f>
        <v>0.73269238752711086</v>
      </c>
      <c r="H13" s="51">
        <f>-('RAB&amp;Return'!H$99*Calc1!$F$7)/('P&amp;L'!H15-'P&amp;L'!H14-Calc2!H44-Calc2!H46)</f>
        <v>0.98073465730093667</v>
      </c>
      <c r="I13" s="51">
        <f>-('RAB&amp;Return'!I$99*Calc1!$F$7)/('P&amp;L'!I15-'P&amp;L'!I14-Calc2!I44-Calc2!I46)</f>
        <v>1.4243532033356876</v>
      </c>
      <c r="J13" s="51">
        <f>-('RAB&amp;Return'!J$99*Calc1!$F$7)/('P&amp;L'!J15-'P&amp;L'!J14-Calc2!J44-Calc2!J46)</f>
        <v>1.7226548849707204</v>
      </c>
      <c r="K13" s="51">
        <f>-('RAB&amp;Return'!K$99*Calc1!$F$7)/('P&amp;L'!K15-'P&amp;L'!K14-Calc2!K44-Calc2!K46)</f>
        <v>1.4837563645114755</v>
      </c>
    </row>
    <row r="14" spans="1:11">
      <c r="A14" s="5" t="s">
        <v>656</v>
      </c>
      <c r="B14" s="51">
        <f>('RAB&amp;Return'!B$99*Calc1!$F$7)/(5*AVERAGE(Calc1!B186:F186))</f>
        <v>2.6382116956314996</v>
      </c>
      <c r="C14" s="51">
        <f>('RAB&amp;Return'!C$99*Calc1!$F$7)/(5*AVERAGE(Calc1!C186:G186))</f>
        <v>1.2440258389917649</v>
      </c>
      <c r="D14" s="51">
        <f>('RAB&amp;Return'!D$99*Calc1!$F$7)/(5*AVERAGE(Calc1!D186:H186))</f>
        <v>0.73223462818269769</v>
      </c>
      <c r="E14" s="51">
        <f>('RAB&amp;Return'!E$99*Calc1!$F$7)/(5*AVERAGE(Calc1!E186:I186))</f>
        <v>0.33606717240750283</v>
      </c>
      <c r="F14" s="51">
        <f>('RAB&amp;Return'!F$99*Calc1!$F$7)/(5*AVERAGE(Calc1!F186:J186))</f>
        <v>0.2252549845143039</v>
      </c>
      <c r="G14" s="51">
        <f>('RAB&amp;Return'!B$99*Calc1!$F$7)/(5*AVERAGE(Calc1!G186:$K186))</f>
        <v>0.36589718253737324</v>
      </c>
      <c r="H14" s="51">
        <f>('RAB&amp;Return'!C$99*Calc1!$F$7)/(5*AVERAGE(Calc1!H186:$K186))</f>
        <v>0.32566019064162555</v>
      </c>
      <c r="I14" s="51">
        <f>('RAB&amp;Return'!D$99*Calc1!$F$7)/(5*AVERAGE(Calc1!I186:$K186))</f>
        <v>0.26098079718529532</v>
      </c>
      <c r="J14" s="51">
        <f>('RAB&amp;Return'!E$99*Calc1!$F$7)/(5*AVERAGE(Calc1!J186:$K186))</f>
        <v>0.30498257352044539</v>
      </c>
      <c r="K14" s="51">
        <f>('RAB&amp;Return'!F$99*Calc1!$F$7)/(5*AVERAGE(Calc1!K186:$K186))</f>
        <v>0.23136467059002974</v>
      </c>
    </row>
    <row r="15" spans="1:11">
      <c r="A15" s="1" t="s">
        <v>648</v>
      </c>
      <c r="B15" s="52"/>
      <c r="C15" s="52"/>
      <c r="D15" s="52"/>
      <c r="E15" s="52"/>
      <c r="F15" s="52"/>
      <c r="G15" s="52"/>
      <c r="H15" s="52"/>
      <c r="I15" s="52"/>
      <c r="J15" s="52"/>
      <c r="K15" s="52"/>
    </row>
    <row r="16" spans="1:11">
      <c r="A16" s="5" t="s">
        <v>643</v>
      </c>
      <c r="B16" s="51">
        <f>'P&amp;L'!B16/'RAB&amp;Return'!B105</f>
        <v>5.8808793741104237</v>
      </c>
      <c r="C16" s="51">
        <f>'P&amp;L'!C16/'RAB&amp;Return'!C105</f>
        <v>7.523667555602084</v>
      </c>
      <c r="D16" s="51">
        <f>'P&amp;L'!D16/'RAB&amp;Return'!D105</f>
        <v>8.2429474461930745</v>
      </c>
      <c r="E16" s="51">
        <f>'P&amp;L'!E16/'RAB&amp;Return'!E105</f>
        <v>9.3373780080651461</v>
      </c>
      <c r="F16" s="51">
        <f>'P&amp;L'!F16/'RAB&amp;Return'!F105</f>
        <v>12.813891798873847</v>
      </c>
      <c r="G16" s="51">
        <f>'P&amp;L'!G16/'RAB&amp;Return'!G105</f>
        <v>11.378877628574703</v>
      </c>
      <c r="H16" s="51">
        <f>'P&amp;L'!H16/'RAB&amp;Return'!H105</f>
        <v>2.6648496395228327</v>
      </c>
      <c r="I16" s="51">
        <f>'P&amp;L'!I16/'RAB&amp;Return'!I105</f>
        <v>2.3547125277985756</v>
      </c>
      <c r="J16" s="51">
        <f>'P&amp;L'!J16/'RAB&amp;Return'!J105</f>
        <v>3.3867026968777489</v>
      </c>
      <c r="K16" s="51">
        <f>'P&amp;L'!K16/'RAB&amp;Return'!K105</f>
        <v>3.3197743421441248</v>
      </c>
    </row>
    <row r="17" spans="1:11">
      <c r="A17" s="5" t="s">
        <v>644</v>
      </c>
      <c r="B17" s="51">
        <f>('P&amp;L'!B16-'P&amp;L'!B14)/'RAB&amp;Return'!B105</f>
        <v>7.5045599352504837</v>
      </c>
      <c r="C17" s="51">
        <f>('P&amp;L'!C16-'P&amp;L'!C14)/'RAB&amp;Return'!C105</f>
        <v>9.8529347122219129</v>
      </c>
      <c r="D17" s="51">
        <f>('P&amp;L'!D16-'P&amp;L'!D14)/'RAB&amp;Return'!D105</f>
        <v>11.395741463335289</v>
      </c>
      <c r="E17" s="51">
        <f>('P&amp;L'!E16-'P&amp;L'!E14)/'RAB&amp;Return'!E105</f>
        <v>13.446084788462013</v>
      </c>
      <c r="F17" s="51">
        <f>('P&amp;L'!F16-'P&amp;L'!F14)/'RAB&amp;Return'!F105</f>
        <v>20.069649483253887</v>
      </c>
      <c r="G17" s="51">
        <f>('P&amp;L'!G16-'P&amp;L'!G14)/'RAB&amp;Return'!G105</f>
        <v>17.010849155165982</v>
      </c>
      <c r="H17" s="51">
        <f>('P&amp;L'!H16-'P&amp;L'!H14)/'RAB&amp;Return'!H105</f>
        <v>6.637150314533117</v>
      </c>
      <c r="I17" s="51">
        <f>('P&amp;L'!I16-'P&amp;L'!I14)/'RAB&amp;Return'!I105</f>
        <v>6.2790991450965681</v>
      </c>
      <c r="J17" s="51">
        <f>('P&amp;L'!J16-'P&amp;L'!J14)/'RAB&amp;Return'!J105</f>
        <v>8.1812468645110421</v>
      </c>
      <c r="K17" s="51">
        <f>('P&amp;L'!K16-'P&amp;L'!K14)/'RAB&amp;Return'!K105</f>
        <v>9.1452603110327964</v>
      </c>
    </row>
    <row r="18" spans="1:11">
      <c r="A18" s="5" t="s">
        <v>679</v>
      </c>
      <c r="B18" s="51">
        <f>('P&amp;L'!B16-'P&amp;L'!B14-('RAB&amp;Return'!B90*Calc1!F7)+'P&amp;L'!B23)/('RAB&amp;Return'!B105*Calc1!F7)</f>
        <v>2.7569457852529364</v>
      </c>
      <c r="C18" s="51">
        <f>('P&amp;L'!C16-'P&amp;L'!C14-('RAB&amp;Return'!C90*Calc1!G7)+'P&amp;L'!C23)/('RAB&amp;Return'!C105*Calc1!G7)</f>
        <v>7.1125906104488292</v>
      </c>
      <c r="D18" s="51">
        <f>('P&amp;L'!D16-'P&amp;L'!D14-('RAB&amp;Return'!D90*Calc1!H7)+'P&amp;L'!D23)/('RAB&amp;Return'!D105*Calc1!H7)</f>
        <v>-0.99226493835990293</v>
      </c>
      <c r="E18" s="51">
        <f>('P&amp;L'!E16-'P&amp;L'!E14-('RAB&amp;Return'!E90*Calc1!I7)+'P&amp;L'!E23)/('RAB&amp;Return'!E105*Calc1!I7)</f>
        <v>5.0117186091028776</v>
      </c>
      <c r="F18" s="51">
        <f>('P&amp;L'!F16-'P&amp;L'!F14-('RAB&amp;Return'!F90*Calc1!J7)+'P&amp;L'!F23)/('RAB&amp;Return'!F105*Calc1!J7)</f>
        <v>1.2709705317937687</v>
      </c>
      <c r="G18" s="51">
        <f>('P&amp;L'!G16-'P&amp;L'!G14-('RAB&amp;Return'!G90*Calc1!K7)+'P&amp;L'!G23)/('RAB&amp;Return'!G105*Calc1!K7)</f>
        <v>1.3384091803332983</v>
      </c>
      <c r="H18" s="51">
        <f>('P&amp;L'!H16-'P&amp;L'!H14-('RAB&amp;Return'!H90*Calc1!L7)+'P&amp;L'!H23)/('RAB&amp;Return'!H105*Calc1!L7)</f>
        <v>1.633035458551914</v>
      </c>
      <c r="I18" s="51">
        <f>('P&amp;L'!I16-'P&amp;L'!I14-('RAB&amp;Return'!I90*Calc1!M7)+'P&amp;L'!I23)/('RAB&amp;Return'!I105*Calc1!M7)</f>
        <v>1.6097021584087181</v>
      </c>
      <c r="J18" s="51">
        <f>('P&amp;L'!J16-'P&amp;L'!J14-('RAB&amp;Return'!J90*Calc1!N7)+'P&amp;L'!J23)/('RAB&amp;Return'!J105*Calc1!N7)</f>
        <v>1.4317910597258587</v>
      </c>
      <c r="K18" s="51">
        <f>('P&amp;L'!K16-'P&amp;L'!K14-('RAB&amp;Return'!K90*Calc1!O7)+'P&amp;L'!K23)/('RAB&amp;Return'!K105*Calc1!O7)</f>
        <v>1.4391375290927373</v>
      </c>
    </row>
    <row r="19" spans="1:11">
      <c r="A19" s="5" t="s">
        <v>645</v>
      </c>
      <c r="B19" s="51">
        <f>IF('P&amp;L'!B19=0,"N/A",-'P&amp;L'!B16/'P&amp;L'!B19)</f>
        <v>6.2454054054054051</v>
      </c>
      <c r="C19" s="51">
        <f>IF('P&amp;L'!C19=0,"N/A",-'P&amp;L'!C16/'P&amp;L'!C19)</f>
        <v>3.6957671957671958</v>
      </c>
      <c r="D19" s="51">
        <f>IF('P&amp;L'!D19=0,"N/A",-'P&amp;L'!D16/'P&amp;L'!D19)</f>
        <v>4.5109489051094886</v>
      </c>
      <c r="E19" s="51">
        <f>IF('P&amp;L'!E19=0,"N/A",-'P&amp;L'!E16/'P&amp;L'!E19)</f>
        <v>4.1686046511627906</v>
      </c>
      <c r="F19" s="51">
        <f>IF('P&amp;L'!F19=0,"N/A",-'P&amp;L'!F16/'P&amp;L'!F19)</f>
        <v>12.506224034378491</v>
      </c>
      <c r="G19" s="51">
        <f>IF('P&amp;L'!G19=0,"N/A",-'P&amp;L'!G16/'P&amp;L'!G19)</f>
        <v>43.066580197054151</v>
      </c>
      <c r="H19" s="51">
        <f>IF('P&amp;L'!H19=0,"N/A",-'P&amp;L'!H16/'P&amp;L'!H19)</f>
        <v>3.825801173530913</v>
      </c>
      <c r="I19" s="51">
        <f>IF('P&amp;L'!I19=0,"N/A",-'P&amp;L'!I16/'P&amp;L'!I19)</f>
        <v>2.1378506404524744</v>
      </c>
      <c r="J19" s="51">
        <f>IF('P&amp;L'!J19=0,"N/A",-'P&amp;L'!J16/'P&amp;L'!J19)</f>
        <v>2.9618429144464411</v>
      </c>
      <c r="K19" s="51">
        <f>IF('P&amp;L'!K19=0,"N/A",-'P&amp;L'!K16/'P&amp;L'!K19)</f>
        <v>3.2934925312537398</v>
      </c>
    </row>
    <row r="20" spans="1:11">
      <c r="A20" s="5" t="s">
        <v>652</v>
      </c>
      <c r="B20" s="51">
        <f>IF('P&amp;L'!B19=0,"N/A",-('P&amp;L'!B16-'P&amp;L'!B14)/'P&amp;L'!B19)</f>
        <v>7.96972972972973</v>
      </c>
      <c r="C20" s="51">
        <f>IF('P&amp;L'!C19=0,"N/A",-('P&amp;L'!C16-'P&amp;L'!C14)/'P&amp;L'!C19)</f>
        <v>4.8399470899470902</v>
      </c>
      <c r="D20" s="51">
        <f>IF('P&amp;L'!D19=0,"N/A",-('P&amp;L'!D16-'P&amp;L'!D14)/'P&amp;L'!D19)</f>
        <v>6.2363138686131387</v>
      </c>
      <c r="E20" s="51">
        <f>IF('P&amp;L'!E19=0,"N/A",-('P&amp;L'!E16-'P&amp;L'!E14)/'P&amp;L'!E19)</f>
        <v>6.0029069767441863</v>
      </c>
      <c r="F20" s="51">
        <f>IF('P&amp;L'!F19=0,"N/A",-('P&amp;L'!F16-'P&amp;L'!F14)/'P&amp;L'!F19)</f>
        <v>19.587767453372788</v>
      </c>
      <c r="G20" s="51">
        <f>IF('P&amp;L'!G19=0,"N/A",-('P&amp;L'!G16-'P&amp;L'!G14)/'P&amp;L'!G19)</f>
        <v>64.382369094227656</v>
      </c>
      <c r="H20" s="51">
        <f>IF('P&amp;L'!H19=0,"N/A",-('P&amp;L'!H16-'P&amp;L'!H14)/'P&amp;L'!H19)</f>
        <v>9.5286492287004343</v>
      </c>
      <c r="I20" s="51">
        <f>IF('P&amp;L'!I19=0,"N/A",-('P&amp;L'!I16-'P&amp;L'!I14)/'P&amp;L'!I19)</f>
        <v>5.7008131439973226</v>
      </c>
      <c r="J20" s="51">
        <f>IF('P&amp;L'!J19=0,"N/A",-('P&amp;L'!J16-'P&amp;L'!J14)/'P&amp;L'!J19)</f>
        <v>7.1549144480053215</v>
      </c>
      <c r="K20" s="51">
        <f>IF('P&amp;L'!K19=0,"N/A",-('P&amp;L'!K16-'P&amp;L'!K14)/'P&amp;L'!K19)</f>
        <v>9.0728596062660163</v>
      </c>
    </row>
    <row r="21" spans="1:11">
      <c r="A21" s="5" t="s">
        <v>680</v>
      </c>
      <c r="B21" s="51">
        <f>-('P&amp;L'!B16-'P&amp;L'!B14-('RAB&amp;Return'!B90*Calc1!F7)+'P&amp;L'!B23)/'P&amp;L'!B19</f>
        <v>2.6839441139744795</v>
      </c>
      <c r="C21" s="51">
        <f>-('P&amp;L'!C16-'P&amp;L'!C14-('RAB&amp;Return'!C90*Calc1!G7)+'P&amp;L'!C23)/'P&amp;L'!C19</f>
        <v>3.3134760508232715</v>
      </c>
      <c r="D21" s="51">
        <f>-('P&amp;L'!D16-'P&amp;L'!D14-('RAB&amp;Return'!D90*Calc1!H7)+'P&amp;L'!D23)/'P&amp;L'!D19</f>
        <v>-0.52984988541817968</v>
      </c>
      <c r="E21" s="51">
        <f>-('P&amp;L'!E16-'P&amp;L'!E14-('RAB&amp;Return'!E90*Calc1!I7)+'P&amp;L'!E23)/'P&amp;L'!E19</f>
        <v>2.2374454034291045</v>
      </c>
      <c r="F21" s="51">
        <f>-('P&amp;L'!F16-'P&amp;L'!F14-('RAB&amp;Return'!F90*Calc1!J7)+'P&amp;L'!F23)/'P&amp;L'!F19</f>
        <v>1.2516116907830022</v>
      </c>
      <c r="G21" s="51">
        <f>-('P&amp;L'!G16-'P&amp;L'!G14-('RAB&amp;Return'!G90*Calc1!K7)+'P&amp;L'!G23)/'P&amp;L'!G19</f>
        <v>5.249664802198529</v>
      </c>
      <c r="H21" s="51">
        <f>-('P&amp;L'!H16-'P&amp;L'!H14-('RAB&amp;Return'!H90*Calc1!L7)+'P&amp;L'!H23)/'P&amp;L'!H19</f>
        <v>2.4955124312916861</v>
      </c>
      <c r="I21" s="51">
        <f>-('P&amp;L'!I16-'P&amp;L'!I14-('RAB&amp;Return'!I90*Calc1!M7)+'P&amp;L'!I23)/'P&amp;L'!I19</f>
        <v>1.5977622568679395</v>
      </c>
      <c r="J21" s="51">
        <f>-('P&amp;L'!J16-'P&amp;L'!J14-('RAB&amp;Return'!J90*Calc1!N7)+'P&amp;L'!J23)/'P&amp;L'!J19</f>
        <v>1.4060620571987816</v>
      </c>
      <c r="K21" s="51">
        <f>-('P&amp;L'!K16-'P&amp;L'!K14-('RAB&amp;Return'!K90*Calc1!O7)+'P&amp;L'!K23)/'P&amp;L'!K19</f>
        <v>1.6466566089427104</v>
      </c>
    </row>
    <row r="24" spans="1:11">
      <c r="B24" s="53"/>
      <c r="C24" s="53"/>
      <c r="D24" s="53"/>
      <c r="E24" s="53"/>
      <c r="F24" s="53"/>
      <c r="G24" s="53"/>
      <c r="H24" s="53"/>
      <c r="I24" s="53"/>
      <c r="J24" s="53"/>
      <c r="K24" s="53"/>
    </row>
    <row r="25" spans="1:11">
      <c r="B25" s="54"/>
      <c r="C25" s="54"/>
      <c r="D25" s="54"/>
      <c r="E25" s="54"/>
      <c r="F25" s="54"/>
      <c r="G25" s="54"/>
      <c r="H25" s="54"/>
      <c r="I25" s="54"/>
      <c r="J25" s="54"/>
      <c r="K25" s="54"/>
    </row>
    <row r="26" spans="1:11">
      <c r="B26" s="54"/>
      <c r="C26" s="54"/>
      <c r="D26" s="54"/>
      <c r="E26" s="54"/>
      <c r="F26" s="54"/>
      <c r="G26" s="54"/>
      <c r="H26" s="54"/>
      <c r="I26" s="54"/>
      <c r="J26" s="54"/>
      <c r="K26" s="54"/>
    </row>
    <row r="27" spans="1:11">
      <c r="B27" s="54"/>
      <c r="C27" s="54"/>
      <c r="D27" s="54"/>
      <c r="E27" s="54"/>
      <c r="F27" s="54"/>
      <c r="G27" s="54"/>
      <c r="H27" s="54"/>
      <c r="I27" s="54"/>
      <c r="J27" s="54"/>
      <c r="K27" s="54"/>
    </row>
    <row r="28" spans="1:11">
      <c r="B28" s="54"/>
      <c r="C28" s="54"/>
      <c r="D28" s="54"/>
      <c r="E28" s="54"/>
      <c r="F28" s="54"/>
      <c r="G28" s="54"/>
      <c r="H28" s="54"/>
      <c r="I28" s="54"/>
      <c r="J28" s="54"/>
      <c r="K28" s="54"/>
    </row>
    <row r="29" spans="1:11">
      <c r="B29" s="54"/>
      <c r="C29" s="54"/>
      <c r="D29" s="54"/>
      <c r="E29" s="54"/>
      <c r="F29" s="54"/>
      <c r="G29" s="54"/>
      <c r="H29" s="54"/>
      <c r="I29" s="54"/>
      <c r="J29" s="54"/>
      <c r="K29" s="54"/>
    </row>
    <row r="30" spans="1:11">
      <c r="B30" s="55"/>
      <c r="C30" s="55"/>
      <c r="D30" s="55"/>
      <c r="E30" s="55"/>
      <c r="F30" s="55"/>
      <c r="G30" s="55"/>
      <c r="H30" s="55"/>
      <c r="I30" s="55"/>
      <c r="J30" s="55"/>
      <c r="K30" s="55"/>
    </row>
    <row r="31" spans="1:11">
      <c r="B31" s="55"/>
      <c r="C31" s="55"/>
      <c r="D31" s="55"/>
      <c r="E31" s="55"/>
      <c r="F31" s="55"/>
      <c r="G31" s="55"/>
      <c r="H31" s="55"/>
      <c r="I31" s="55"/>
      <c r="J31" s="55"/>
      <c r="K31" s="55"/>
    </row>
    <row r="32" spans="1:11">
      <c r="B32" s="55"/>
      <c r="C32" s="55"/>
      <c r="D32" s="55"/>
      <c r="E32" s="55"/>
      <c r="F32" s="55"/>
      <c r="G32" s="55"/>
      <c r="H32" s="55"/>
      <c r="I32" s="55"/>
      <c r="J32" s="55"/>
      <c r="K32" s="55"/>
    </row>
    <row r="33" spans="2:11">
      <c r="B33" s="55"/>
      <c r="C33" s="55"/>
      <c r="D33" s="55"/>
      <c r="E33" s="55"/>
      <c r="F33" s="55"/>
      <c r="G33" s="55"/>
      <c r="H33" s="55"/>
      <c r="I33" s="55"/>
      <c r="J33" s="55"/>
      <c r="K33" s="55"/>
    </row>
    <row r="34" spans="2:11">
      <c r="B34" s="55"/>
      <c r="C34" s="55"/>
      <c r="D34" s="55"/>
      <c r="E34" s="55"/>
      <c r="F34" s="55"/>
      <c r="G34" s="55"/>
      <c r="H34" s="55"/>
      <c r="I34" s="55"/>
      <c r="J34" s="55"/>
      <c r="K34" s="55"/>
    </row>
    <row r="35" spans="2:11">
      <c r="B35" s="55"/>
      <c r="C35" s="55"/>
      <c r="D35" s="55"/>
      <c r="E35" s="55"/>
      <c r="F35" s="55"/>
      <c r="G35" s="55"/>
      <c r="H35" s="55"/>
      <c r="I35" s="55"/>
      <c r="J35" s="55"/>
      <c r="K35" s="55"/>
    </row>
    <row r="36" spans="2:11">
      <c r="B36" s="55"/>
      <c r="C36" s="55"/>
      <c r="D36" s="55"/>
      <c r="E36" s="55"/>
      <c r="F36" s="55"/>
      <c r="G36" s="55"/>
      <c r="H36" s="55"/>
      <c r="I36" s="55"/>
      <c r="J36" s="55"/>
      <c r="K36" s="55"/>
    </row>
    <row r="37" spans="2:11">
      <c r="B37" s="55"/>
      <c r="C37" s="55"/>
      <c r="D37" s="55"/>
      <c r="E37" s="55"/>
      <c r="F37" s="55"/>
      <c r="G37" s="55"/>
      <c r="H37" s="55"/>
      <c r="I37" s="55"/>
      <c r="J37" s="55"/>
      <c r="K37" s="55"/>
    </row>
    <row r="38" spans="2:11">
      <c r="B38" s="55"/>
      <c r="C38" s="55"/>
      <c r="D38" s="55"/>
      <c r="E38" s="55"/>
      <c r="F38" s="55"/>
      <c r="G38" s="55"/>
      <c r="H38" s="55"/>
      <c r="I38" s="55"/>
      <c r="J38" s="55"/>
      <c r="K38" s="55"/>
    </row>
    <row r="39" spans="2:11">
      <c r="B39" s="55"/>
      <c r="C39" s="55"/>
      <c r="D39" s="55"/>
      <c r="E39" s="55"/>
      <c r="F39" s="55"/>
      <c r="G39" s="55"/>
      <c r="H39" s="55"/>
      <c r="I39" s="55"/>
      <c r="J39" s="55"/>
      <c r="K39" s="55"/>
    </row>
    <row r="40" spans="2:11">
      <c r="B40" s="55"/>
      <c r="C40" s="55"/>
      <c r="D40" s="55"/>
      <c r="E40" s="55"/>
      <c r="F40" s="55"/>
      <c r="G40" s="55"/>
      <c r="H40" s="55"/>
      <c r="I40" s="55"/>
      <c r="J40" s="55"/>
      <c r="K40" s="55"/>
    </row>
    <row r="42" spans="2:11">
      <c r="B42" s="56"/>
      <c r="C42" s="56"/>
      <c r="D42" s="56"/>
      <c r="E42" s="56"/>
      <c r="F42" s="56"/>
      <c r="G42" s="56"/>
      <c r="H42" s="56"/>
      <c r="I42" s="56"/>
      <c r="J42" s="56"/>
      <c r="K42" s="56"/>
    </row>
    <row r="43" spans="2:11">
      <c r="B43" s="56"/>
      <c r="C43" s="56"/>
      <c r="D43" s="56"/>
      <c r="E43" s="56"/>
      <c r="F43" s="56"/>
      <c r="G43" s="56"/>
      <c r="H43" s="56"/>
      <c r="I43" s="56"/>
      <c r="J43" s="56"/>
      <c r="K43" s="56"/>
    </row>
    <row r="44" spans="2:11">
      <c r="B44" s="56"/>
      <c r="C44" s="56"/>
      <c r="D44" s="56"/>
      <c r="E44" s="56"/>
      <c r="F44" s="56"/>
      <c r="G44" s="56"/>
      <c r="H44" s="56"/>
      <c r="I44" s="56"/>
      <c r="J44" s="56"/>
      <c r="K44" s="56"/>
    </row>
    <row r="45" spans="2:11">
      <c r="B45" s="56"/>
      <c r="C45" s="56"/>
      <c r="D45" s="56"/>
      <c r="E45" s="56"/>
      <c r="F45" s="56"/>
      <c r="G45" s="56"/>
      <c r="H45" s="56"/>
      <c r="I45" s="56"/>
      <c r="J45" s="56"/>
      <c r="K45" s="56"/>
    </row>
    <row r="46" spans="2:11">
      <c r="B46" s="56"/>
      <c r="C46" s="56"/>
      <c r="D46" s="56"/>
      <c r="E46" s="56"/>
      <c r="F46" s="56"/>
      <c r="G46" s="56"/>
      <c r="H46" s="56"/>
      <c r="I46" s="56"/>
      <c r="J46" s="56"/>
      <c r="K46" s="56"/>
    </row>
    <row r="47" spans="2:11">
      <c r="B47" s="56"/>
      <c r="C47" s="56"/>
      <c r="D47" s="56"/>
      <c r="E47" s="56"/>
      <c r="F47" s="56"/>
      <c r="G47" s="56"/>
      <c r="H47" s="56"/>
      <c r="I47" s="56"/>
      <c r="J47" s="56"/>
      <c r="K47" s="56"/>
    </row>
    <row r="48" spans="2:11">
      <c r="B48" s="56"/>
      <c r="C48" s="56"/>
      <c r="D48" s="56"/>
      <c r="E48" s="56"/>
      <c r="F48" s="56"/>
      <c r="G48" s="56"/>
      <c r="H48" s="56"/>
      <c r="I48" s="56"/>
      <c r="J48" s="56"/>
      <c r="K48" s="56"/>
    </row>
    <row r="49" spans="2:11">
      <c r="B49" s="56"/>
      <c r="C49" s="56"/>
      <c r="D49" s="56"/>
      <c r="E49" s="56"/>
      <c r="F49" s="56"/>
      <c r="G49" s="56"/>
      <c r="H49" s="56"/>
      <c r="I49" s="56"/>
      <c r="J49" s="56"/>
      <c r="K49" s="56"/>
    </row>
    <row r="50" spans="2:11">
      <c r="B50" s="56"/>
      <c r="C50" s="56"/>
      <c r="D50" s="56"/>
      <c r="E50" s="56"/>
      <c r="F50" s="56"/>
      <c r="G50" s="56"/>
      <c r="H50" s="56"/>
      <c r="I50" s="56"/>
      <c r="J50" s="56"/>
      <c r="K50" s="56"/>
    </row>
    <row r="51" spans="2:11">
      <c r="B51" s="56"/>
      <c r="C51" s="56"/>
      <c r="D51" s="56"/>
      <c r="E51" s="56"/>
      <c r="F51" s="56"/>
      <c r="G51" s="56"/>
      <c r="H51" s="56"/>
      <c r="I51" s="56"/>
      <c r="J51" s="56"/>
      <c r="K51" s="56"/>
    </row>
    <row r="52" spans="2:11">
      <c r="B52" s="56"/>
      <c r="C52" s="56"/>
      <c r="D52" s="56"/>
      <c r="E52" s="56"/>
      <c r="F52" s="56"/>
      <c r="G52" s="56"/>
      <c r="H52" s="56"/>
      <c r="I52" s="56"/>
      <c r="J52" s="56"/>
      <c r="K52" s="56"/>
    </row>
    <row r="53" spans="2:11">
      <c r="B53" s="56"/>
      <c r="C53" s="56"/>
      <c r="D53" s="56"/>
      <c r="E53" s="56"/>
      <c r="F53" s="56"/>
      <c r="G53" s="56"/>
      <c r="H53" s="56"/>
      <c r="I53" s="56"/>
      <c r="J53" s="56"/>
      <c r="K53" s="56"/>
    </row>
    <row r="54" spans="2:11">
      <c r="B54" s="56"/>
      <c r="C54" s="56"/>
      <c r="D54" s="56"/>
      <c r="E54" s="56"/>
      <c r="F54" s="56"/>
      <c r="G54" s="56"/>
      <c r="H54" s="56"/>
      <c r="I54" s="56"/>
      <c r="J54" s="56"/>
      <c r="K54" s="56"/>
    </row>
    <row r="55" spans="2:11">
      <c r="B55" s="56"/>
      <c r="C55" s="56"/>
      <c r="D55" s="56"/>
      <c r="E55" s="56"/>
      <c r="F55" s="56"/>
      <c r="G55" s="56"/>
      <c r="H55" s="56"/>
      <c r="I55" s="56"/>
      <c r="J55" s="56"/>
      <c r="K55" s="56"/>
    </row>
    <row r="56" spans="2:11">
      <c r="B56" s="56"/>
      <c r="C56" s="56"/>
      <c r="D56" s="56"/>
      <c r="E56" s="56"/>
      <c r="F56" s="56"/>
      <c r="G56" s="56"/>
      <c r="H56" s="56"/>
      <c r="I56" s="56"/>
      <c r="J56" s="56"/>
      <c r="K56" s="56"/>
    </row>
    <row r="57" spans="2:11">
      <c r="B57" s="56"/>
      <c r="C57" s="56"/>
      <c r="D57" s="56"/>
      <c r="E57" s="56"/>
      <c r="F57" s="56"/>
      <c r="G57" s="56"/>
      <c r="H57" s="56"/>
      <c r="I57" s="56"/>
      <c r="J57" s="56"/>
      <c r="K57" s="56"/>
    </row>
    <row r="58" spans="2:11">
      <c r="B58" s="56"/>
      <c r="C58" s="56"/>
      <c r="D58" s="56"/>
      <c r="E58" s="56"/>
      <c r="F58" s="56"/>
      <c r="G58" s="56"/>
      <c r="H58" s="56"/>
      <c r="I58" s="56"/>
      <c r="J58" s="56"/>
      <c r="K58" s="56"/>
    </row>
    <row r="59" spans="2:11">
      <c r="B59" s="56"/>
      <c r="C59" s="56"/>
      <c r="D59" s="56"/>
      <c r="E59" s="56"/>
      <c r="F59" s="56"/>
      <c r="G59" s="56"/>
      <c r="H59" s="56"/>
      <c r="I59" s="56"/>
      <c r="J59" s="56"/>
      <c r="K59" s="56"/>
    </row>
    <row r="60" spans="2:11">
      <c r="B60" s="56"/>
      <c r="C60" s="56"/>
      <c r="D60" s="56"/>
      <c r="E60" s="56"/>
      <c r="F60" s="56"/>
      <c r="G60" s="56"/>
      <c r="H60" s="56"/>
      <c r="I60" s="56"/>
      <c r="J60" s="56"/>
      <c r="K60" s="56"/>
    </row>
    <row r="61" spans="2:11">
      <c r="B61" s="56"/>
      <c r="C61" s="56"/>
      <c r="D61" s="56"/>
      <c r="E61" s="56"/>
      <c r="F61" s="56"/>
      <c r="G61" s="56"/>
      <c r="H61" s="56"/>
      <c r="I61" s="56"/>
      <c r="J61" s="56"/>
      <c r="K61" s="56"/>
    </row>
    <row r="62" spans="2:11">
      <c r="B62" s="56"/>
      <c r="C62" s="56"/>
      <c r="D62" s="56"/>
      <c r="E62" s="56"/>
      <c r="F62" s="56"/>
      <c r="G62" s="56"/>
      <c r="H62" s="56"/>
      <c r="I62" s="56"/>
      <c r="J62" s="56"/>
      <c r="K62"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6" tint="0.79998168889431442"/>
  </sheetPr>
  <dimension ref="A1:AB314"/>
  <sheetViews>
    <sheetView showGridLines="0" zoomScale="75" zoomScaleNormal="75" workbookViewId="0"/>
  </sheetViews>
  <sheetFormatPr defaultRowHeight="15"/>
  <cols>
    <col min="1" max="1" width="90.7109375" style="3" customWidth="1"/>
    <col min="2" max="12" width="13.5703125" style="3" customWidth="1"/>
    <col min="13" max="15" width="12.42578125" style="3" customWidth="1"/>
    <col min="16" max="16384" width="9.140625" style="3"/>
  </cols>
  <sheetData>
    <row r="1" spans="1:10" ht="18.75">
      <c r="A1" s="16" t="s">
        <v>223</v>
      </c>
    </row>
    <row r="3" spans="1:10" ht="18.75">
      <c r="A3" s="16" t="s">
        <v>226</v>
      </c>
    </row>
    <row r="5" spans="1:10">
      <c r="A5" s="1" t="s">
        <v>114</v>
      </c>
      <c r="B5" s="12">
        <v>39173</v>
      </c>
      <c r="C5" s="12">
        <v>39539</v>
      </c>
      <c r="D5" s="12">
        <v>39904</v>
      </c>
      <c r="E5" s="12">
        <v>40269</v>
      </c>
      <c r="F5" s="12">
        <v>40634</v>
      </c>
      <c r="G5" s="12">
        <v>41000</v>
      </c>
      <c r="H5" s="12">
        <v>41365</v>
      </c>
      <c r="I5" s="12">
        <v>41730</v>
      </c>
      <c r="J5" s="12">
        <v>42095</v>
      </c>
    </row>
    <row r="6" spans="1:10">
      <c r="A6" s="5" t="s">
        <v>115</v>
      </c>
      <c r="B6" s="36">
        <v>205.4</v>
      </c>
      <c r="C6" s="36">
        <v>214</v>
      </c>
      <c r="D6" s="36">
        <v>211.5</v>
      </c>
      <c r="E6" s="36">
        <v>222.8</v>
      </c>
      <c r="F6" s="36">
        <v>234.4</v>
      </c>
      <c r="G6" s="36">
        <v>242.5</v>
      </c>
      <c r="H6" s="36">
        <v>249.5</v>
      </c>
      <c r="I6" s="36">
        <v>255.7</v>
      </c>
      <c r="J6" s="36">
        <v>258</v>
      </c>
    </row>
    <row r="7" spans="1:10">
      <c r="J7" s="21"/>
    </row>
    <row r="8" spans="1:10">
      <c r="A8" s="1" t="s">
        <v>237</v>
      </c>
      <c r="B8" s="5"/>
    </row>
    <row r="9" spans="1:10">
      <c r="A9" s="5" t="s">
        <v>685</v>
      </c>
      <c r="B9" s="90">
        <v>41730</v>
      </c>
    </row>
    <row r="11" spans="1:10">
      <c r="A11" s="1" t="s">
        <v>260</v>
      </c>
      <c r="B11" s="5"/>
    </row>
    <row r="12" spans="1:10">
      <c r="A12" s="5" t="s">
        <v>682</v>
      </c>
      <c r="B12" s="36">
        <v>255.7</v>
      </c>
      <c r="C12" s="23"/>
    </row>
    <row r="13" spans="1:10">
      <c r="A13" s="5" t="s">
        <v>683</v>
      </c>
      <c r="B13" s="37">
        <v>2.7099999999999999E-2</v>
      </c>
    </row>
    <row r="15" spans="1:10">
      <c r="A15" s="1" t="s">
        <v>224</v>
      </c>
      <c r="B15" s="89"/>
    </row>
    <row r="16" spans="1:10">
      <c r="A16" s="5" t="s">
        <v>684</v>
      </c>
      <c r="B16" s="37">
        <v>7.0000000000000001E-3</v>
      </c>
    </row>
    <row r="18" spans="1:12">
      <c r="A18" s="1" t="s">
        <v>61</v>
      </c>
      <c r="B18" s="34" t="s">
        <v>10</v>
      </c>
      <c r="C18" s="34" t="s">
        <v>11</v>
      </c>
      <c r="D18" s="34" t="s">
        <v>9</v>
      </c>
      <c r="E18" s="34" t="s">
        <v>12</v>
      </c>
      <c r="F18" s="34" t="s">
        <v>13</v>
      </c>
      <c r="G18" s="34" t="s">
        <v>14</v>
      </c>
      <c r="H18" s="34" t="s">
        <v>15</v>
      </c>
      <c r="I18" s="34" t="s">
        <v>16</v>
      </c>
      <c r="J18" s="34" t="s">
        <v>17</v>
      </c>
      <c r="K18" s="34" t="s">
        <v>18</v>
      </c>
    </row>
    <row r="19" spans="1:12">
      <c r="A19" s="5" t="s">
        <v>58</v>
      </c>
      <c r="B19" s="37">
        <v>6.1699999999999998E-2</v>
      </c>
      <c r="C19" s="37">
        <v>6.1699999999999998E-2</v>
      </c>
      <c r="D19" s="37">
        <v>6.1699999999999998E-2</v>
      </c>
      <c r="E19" s="37">
        <v>6.1699999999999998E-2</v>
      </c>
      <c r="F19" s="37">
        <v>6.1699999999999998E-2</v>
      </c>
      <c r="G19" s="37">
        <v>7.6083333333333295E-2</v>
      </c>
      <c r="H19" s="37">
        <v>7.6083333333333295E-2</v>
      </c>
      <c r="I19" s="37">
        <v>7.6083333333333295E-2</v>
      </c>
      <c r="J19" s="37">
        <v>7.6083333333333295E-2</v>
      </c>
      <c r="K19" s="37">
        <v>7.6083333333333295E-2</v>
      </c>
    </row>
    <row r="20" spans="1:12">
      <c r="A20" s="5" t="s">
        <v>59</v>
      </c>
      <c r="B20" s="37">
        <v>3.5000000000000003E-2</v>
      </c>
      <c r="C20" s="37">
        <v>3.5000000000000003E-2</v>
      </c>
      <c r="D20" s="37">
        <v>3.5000000000000003E-2</v>
      </c>
      <c r="E20" s="37">
        <v>3.5000000000000003E-2</v>
      </c>
      <c r="F20" s="37">
        <v>3.5000000000000003E-2</v>
      </c>
      <c r="G20" s="37">
        <v>2.9499999999999998E-2</v>
      </c>
      <c r="H20" s="37">
        <v>2.9499999999999998E-2</v>
      </c>
      <c r="I20" s="37">
        <v>2.9499999999999998E-2</v>
      </c>
      <c r="J20" s="37">
        <v>2.9499999999999998E-2</v>
      </c>
      <c r="K20" s="37">
        <v>2.9499999999999998E-2</v>
      </c>
    </row>
    <row r="21" spans="1:12">
      <c r="A21" s="5" t="s">
        <v>8</v>
      </c>
      <c r="B21" s="37">
        <v>0.55000000000000004</v>
      </c>
      <c r="C21" s="37">
        <v>0.55000000000000004</v>
      </c>
      <c r="D21" s="37">
        <v>0.55000000000000004</v>
      </c>
      <c r="E21" s="37">
        <v>0.55000000000000004</v>
      </c>
      <c r="F21" s="37">
        <v>0.55000000000000004</v>
      </c>
      <c r="G21" s="37">
        <v>0.55000000000000004</v>
      </c>
      <c r="H21" s="37">
        <v>0.55000000000000004</v>
      </c>
      <c r="I21" s="37">
        <v>0.55000000000000004</v>
      </c>
      <c r="J21" s="37">
        <v>0.55000000000000004</v>
      </c>
      <c r="K21" s="37">
        <v>0.55000000000000004</v>
      </c>
    </row>
    <row r="22" spans="1:12">
      <c r="A22" s="5" t="s">
        <v>60</v>
      </c>
      <c r="B22" s="37">
        <v>0.26</v>
      </c>
      <c r="C22" s="37">
        <v>0.26</v>
      </c>
      <c r="D22" s="37">
        <v>0.24</v>
      </c>
      <c r="E22" s="37">
        <v>0.23</v>
      </c>
      <c r="F22" s="37">
        <v>0.21</v>
      </c>
      <c r="G22" s="37">
        <v>0.2</v>
      </c>
      <c r="H22" s="37">
        <v>0.2</v>
      </c>
      <c r="I22" s="37">
        <v>0.19</v>
      </c>
      <c r="J22" s="37">
        <v>0.19</v>
      </c>
      <c r="K22" s="37">
        <v>0.19</v>
      </c>
    </row>
    <row r="24" spans="1:12" ht="18.75">
      <c r="A24" s="16" t="s">
        <v>225</v>
      </c>
    </row>
    <row r="25" spans="1:12">
      <c r="B25" s="94" t="s">
        <v>173</v>
      </c>
      <c r="C25" s="94"/>
      <c r="D25" s="94"/>
      <c r="E25" s="94"/>
      <c r="G25" s="94" t="s">
        <v>238</v>
      </c>
      <c r="H25" s="94"/>
      <c r="I25" s="94"/>
      <c r="J25" s="94"/>
      <c r="K25" s="94"/>
      <c r="L25" s="94"/>
    </row>
    <row r="26" spans="1:12">
      <c r="A26" s="1" t="s">
        <v>272</v>
      </c>
      <c r="B26" s="34" t="s">
        <v>10</v>
      </c>
      <c r="C26" s="34" t="s">
        <v>11</v>
      </c>
      <c r="D26" s="34" t="s">
        <v>9</v>
      </c>
      <c r="E26" s="34" t="s">
        <v>12</v>
      </c>
      <c r="G26" s="34" t="s">
        <v>13</v>
      </c>
      <c r="H26" s="34" t="s">
        <v>14</v>
      </c>
      <c r="I26" s="34" t="s">
        <v>15</v>
      </c>
      <c r="J26" s="34" t="s">
        <v>16</v>
      </c>
      <c r="K26" s="34" t="s">
        <v>17</v>
      </c>
      <c r="L26" s="34" t="s">
        <v>18</v>
      </c>
    </row>
    <row r="27" spans="1:12">
      <c r="A27" s="5" t="s">
        <v>5</v>
      </c>
      <c r="B27" s="38">
        <v>-3379.34031</v>
      </c>
      <c r="C27" s="38">
        <v>-3902.2665299999999</v>
      </c>
      <c r="D27" s="38">
        <v>-4427.6038400000007</v>
      </c>
      <c r="E27" s="38">
        <v>-4917.1440299999995</v>
      </c>
      <c r="G27" s="38">
        <v>-5289.1345257429775</v>
      </c>
      <c r="H27" s="38">
        <v>-4745.452816054054</v>
      </c>
      <c r="I27" s="38">
        <v>-4745.452816054054</v>
      </c>
      <c r="J27" s="38">
        <v>-4745.452816054054</v>
      </c>
      <c r="K27" s="38">
        <v>-4745.452816054054</v>
      </c>
      <c r="L27" s="38">
        <v>-4745.452816054054</v>
      </c>
    </row>
    <row r="28" spans="1:12">
      <c r="A28" s="5" t="s">
        <v>2</v>
      </c>
      <c r="B28" s="38">
        <v>-136.46943999999996</v>
      </c>
      <c r="C28" s="38">
        <v>-192.47091</v>
      </c>
      <c r="D28" s="38">
        <v>-192.25369999999998</v>
      </c>
      <c r="E28" s="38">
        <v>-176.45482000000004</v>
      </c>
      <c r="G28" s="38">
        <v>-172.58148999999997</v>
      </c>
      <c r="H28" s="38">
        <v>-173.29141999999999</v>
      </c>
      <c r="I28" s="38">
        <v>-173.29141999999999</v>
      </c>
      <c r="J28" s="38">
        <v>-173.29141999999999</v>
      </c>
      <c r="K28" s="38">
        <v>-173.29141999999999</v>
      </c>
      <c r="L28" s="38">
        <v>-173.29141999999999</v>
      </c>
    </row>
    <row r="29" spans="1:12">
      <c r="A29" s="5" t="s">
        <v>3</v>
      </c>
      <c r="B29" s="38">
        <v>-22.110099999999999</v>
      </c>
      <c r="C29" s="38">
        <v>-31.673899999999996</v>
      </c>
      <c r="D29" s="38">
        <v>-42.999209999999991</v>
      </c>
      <c r="E29" s="38">
        <v>-45.822330000000001</v>
      </c>
      <c r="G29" s="38">
        <v>-17.096399999999999</v>
      </c>
      <c r="H29" s="38">
        <v>-17</v>
      </c>
      <c r="I29" s="38">
        <v>-17</v>
      </c>
      <c r="J29" s="38">
        <v>-17</v>
      </c>
      <c r="K29" s="38">
        <v>-17</v>
      </c>
      <c r="L29" s="38">
        <v>-17</v>
      </c>
    </row>
    <row r="30" spans="1:12">
      <c r="A30" s="5" t="s">
        <v>4</v>
      </c>
      <c r="B30" s="38">
        <v>-257.51799000000005</v>
      </c>
      <c r="C30" s="38">
        <v>-392.16313000000002</v>
      </c>
      <c r="D30" s="38">
        <v>-410.32094999999998</v>
      </c>
      <c r="E30" s="38">
        <v>-429.47375999999997</v>
      </c>
      <c r="G30" s="38">
        <v>-571.10341557354741</v>
      </c>
      <c r="H30" s="38">
        <v>-474.54528160540542</v>
      </c>
      <c r="I30" s="38">
        <v>-474.54528160540542</v>
      </c>
      <c r="J30" s="38">
        <v>-474.54528160540542</v>
      </c>
      <c r="K30" s="38">
        <v>-474.54528160540542</v>
      </c>
      <c r="L30" s="38">
        <v>-474.54528160540542</v>
      </c>
    </row>
    <row r="31" spans="1:12">
      <c r="A31" s="5" t="s">
        <v>6</v>
      </c>
      <c r="B31" s="38">
        <v>-401.91399000000001</v>
      </c>
      <c r="C31" s="38">
        <v>-498.04844000000003</v>
      </c>
      <c r="D31" s="38">
        <v>-559.00558000000001</v>
      </c>
      <c r="E31" s="38">
        <v>-578.88112000000012</v>
      </c>
      <c r="G31" s="38">
        <v>-757.1494505549008</v>
      </c>
      <c r="H31" s="38">
        <v>-697.92734777807027</v>
      </c>
      <c r="I31" s="38">
        <v>-697.92734777807027</v>
      </c>
      <c r="J31" s="38">
        <v>-697.92734777807027</v>
      </c>
      <c r="K31" s="38">
        <v>-697.92734777807027</v>
      </c>
      <c r="L31" s="38">
        <v>-697.92734777807027</v>
      </c>
    </row>
    <row r="32" spans="1:12">
      <c r="A32" s="5" t="s">
        <v>24</v>
      </c>
      <c r="B32" s="38">
        <v>-588.78224</v>
      </c>
      <c r="C32" s="38">
        <v>-493.17698000000001</v>
      </c>
      <c r="D32" s="38">
        <v>-571.11054000000001</v>
      </c>
      <c r="E32" s="38">
        <v>-545.05032000000006</v>
      </c>
      <c r="G32" s="38">
        <v>-769.74660556187496</v>
      </c>
      <c r="H32" s="38">
        <v>-399.92860114538723</v>
      </c>
      <c r="I32" s="38">
        <v>-399.92860114538723</v>
      </c>
      <c r="J32" s="38">
        <v>-399.92860114538723</v>
      </c>
      <c r="K32" s="38">
        <v>-399.92860114538723</v>
      </c>
      <c r="L32" s="38">
        <v>-399.92860114538723</v>
      </c>
    </row>
    <row r="33" spans="1:12">
      <c r="A33" s="5" t="s">
        <v>20</v>
      </c>
      <c r="B33" s="38">
        <v>-135.87145000000001</v>
      </c>
      <c r="C33" s="38">
        <v>-127.99121</v>
      </c>
      <c r="D33" s="38">
        <v>-166.22603000000001</v>
      </c>
      <c r="E33" s="38">
        <v>-340.79727000000003</v>
      </c>
      <c r="G33" s="38">
        <v>-489.50279107601364</v>
      </c>
      <c r="H33" s="38">
        <v>-358.3775776497626</v>
      </c>
      <c r="I33" s="38">
        <v>-358.3775776497626</v>
      </c>
      <c r="J33" s="38">
        <v>-358.3775776497626</v>
      </c>
      <c r="K33" s="38">
        <v>-358.3775776497626</v>
      </c>
      <c r="L33" s="38">
        <v>-358.3775776497626</v>
      </c>
    </row>
    <row r="34" spans="1:12">
      <c r="A34" s="5" t="s">
        <v>7</v>
      </c>
      <c r="B34" s="38">
        <v>0</v>
      </c>
      <c r="C34" s="38">
        <v>-15.196199999999999</v>
      </c>
      <c r="D34" s="38">
        <v>0</v>
      </c>
      <c r="E34" s="38">
        <v>-21.488230000000001</v>
      </c>
      <c r="G34" s="38">
        <v>-126.82866666666666</v>
      </c>
      <c r="H34" s="38">
        <v>0</v>
      </c>
      <c r="I34" s="38">
        <v>0</v>
      </c>
      <c r="J34" s="38">
        <v>0</v>
      </c>
      <c r="K34" s="38">
        <v>0</v>
      </c>
      <c r="L34" s="38">
        <v>0</v>
      </c>
    </row>
    <row r="35" spans="1:12">
      <c r="A35" s="5" t="s">
        <v>28</v>
      </c>
      <c r="B35" s="38">
        <v>71.963570000000004</v>
      </c>
      <c r="C35" s="38">
        <v>226.15494000000001</v>
      </c>
      <c r="D35" s="38">
        <v>328.11554999999998</v>
      </c>
      <c r="E35" s="38">
        <v>736.57408999999984</v>
      </c>
      <c r="G35" s="38">
        <v>497.67495393723743</v>
      </c>
      <c r="H35" s="38">
        <v>-350</v>
      </c>
      <c r="I35" s="38">
        <v>-350</v>
      </c>
      <c r="J35" s="38">
        <v>-350</v>
      </c>
      <c r="K35" s="38">
        <v>-350</v>
      </c>
      <c r="L35" s="38">
        <v>-350</v>
      </c>
    </row>
    <row r="36" spans="1:12">
      <c r="A36" s="5" t="s">
        <v>19</v>
      </c>
      <c r="B36" s="38">
        <v>75</v>
      </c>
      <c r="C36" s="38">
        <v>82</v>
      </c>
      <c r="D36" s="38">
        <v>95</v>
      </c>
      <c r="E36" s="38">
        <v>98</v>
      </c>
      <c r="G36" s="38">
        <v>99.75</v>
      </c>
      <c r="H36" s="38">
        <v>98</v>
      </c>
      <c r="I36" s="38">
        <v>98</v>
      </c>
      <c r="J36" s="38">
        <v>98</v>
      </c>
      <c r="K36" s="38">
        <v>98</v>
      </c>
      <c r="L36" s="38">
        <v>98</v>
      </c>
    </row>
    <row r="38" spans="1:12">
      <c r="B38" s="94" t="s">
        <v>173</v>
      </c>
      <c r="C38" s="94"/>
      <c r="D38" s="94"/>
      <c r="E38" s="94"/>
      <c r="G38" s="94" t="s">
        <v>238</v>
      </c>
      <c r="H38" s="94"/>
      <c r="I38" s="94"/>
      <c r="J38" s="94"/>
      <c r="K38" s="94"/>
      <c r="L38" s="94"/>
    </row>
    <row r="39" spans="1:12">
      <c r="A39" s="1" t="s">
        <v>21</v>
      </c>
      <c r="B39" s="34" t="s">
        <v>10</v>
      </c>
      <c r="C39" s="34" t="s">
        <v>11</v>
      </c>
      <c r="D39" s="34" t="s">
        <v>9</v>
      </c>
      <c r="E39" s="34" t="s">
        <v>12</v>
      </c>
      <c r="G39" s="34" t="s">
        <v>13</v>
      </c>
      <c r="H39" s="34" t="s">
        <v>14</v>
      </c>
      <c r="I39" s="34" t="s">
        <v>15</v>
      </c>
      <c r="J39" s="34" t="s">
        <v>16</v>
      </c>
      <c r="K39" s="34" t="s">
        <v>17</v>
      </c>
      <c r="L39" s="34" t="s">
        <v>18</v>
      </c>
    </row>
    <row r="40" spans="1:12">
      <c r="A40" s="5" t="s">
        <v>273</v>
      </c>
      <c r="B40" s="38">
        <v>-737.73514</v>
      </c>
      <c r="C40" s="38">
        <v>-873.86848000000009</v>
      </c>
      <c r="D40" s="38">
        <v>-967.57308</v>
      </c>
      <c r="E40" s="38">
        <v>-736.92700000000002</v>
      </c>
      <c r="G40" s="38">
        <v>-992.94799999999998</v>
      </c>
      <c r="H40" s="38">
        <v>-1004.524</v>
      </c>
      <c r="I40" s="38">
        <v>-1016.7329999999999</v>
      </c>
      <c r="J40" s="38">
        <v>-1029.6559999999999</v>
      </c>
      <c r="K40" s="38">
        <v>-1029.6559999999999</v>
      </c>
      <c r="L40" s="38">
        <v>-1029.6559999999999</v>
      </c>
    </row>
    <row r="41" spans="1:12">
      <c r="A41" s="5" t="s">
        <v>274</v>
      </c>
      <c r="B41" s="38">
        <v>-53.562339999999999</v>
      </c>
      <c r="C41" s="38">
        <v>-51.914900000000003</v>
      </c>
      <c r="D41" s="38">
        <v>-83.679580000000001</v>
      </c>
      <c r="E41" s="38">
        <v>-85</v>
      </c>
      <c r="G41" s="38">
        <v>-85</v>
      </c>
      <c r="H41" s="38">
        <v>-85</v>
      </c>
      <c r="I41" s="38">
        <v>-85</v>
      </c>
      <c r="J41" s="38">
        <v>-116.25</v>
      </c>
      <c r="K41" s="38">
        <v>-116.25</v>
      </c>
      <c r="L41" s="38">
        <v>-85</v>
      </c>
    </row>
    <row r="42" spans="1:12">
      <c r="A42" s="5" t="s">
        <v>22</v>
      </c>
      <c r="B42" s="38">
        <v>-648.45944000000009</v>
      </c>
      <c r="C42" s="38">
        <v>-575.25557000000003</v>
      </c>
      <c r="D42" s="38">
        <v>-547.78356999999994</v>
      </c>
      <c r="E42" s="38">
        <v>-607.48900000000003</v>
      </c>
      <c r="G42" s="38">
        <v>-689.00033333333295</v>
      </c>
      <c r="H42" s="38">
        <v>-693</v>
      </c>
      <c r="I42" s="38">
        <v>-747.90599999999995</v>
      </c>
      <c r="J42" s="38">
        <v>-778.197</v>
      </c>
      <c r="K42" s="38">
        <v>-801.947</v>
      </c>
      <c r="L42" s="38">
        <v>-882.36299999999994</v>
      </c>
    </row>
    <row r="43" spans="1:12">
      <c r="B43" s="39"/>
      <c r="C43" s="39"/>
      <c r="D43" s="39"/>
      <c r="E43" s="39"/>
      <c r="F43" s="39"/>
      <c r="G43" s="39"/>
    </row>
    <row r="44" spans="1:12">
      <c r="B44" s="94" t="s">
        <v>173</v>
      </c>
      <c r="C44" s="94"/>
      <c r="D44" s="94"/>
      <c r="E44" s="94"/>
      <c r="G44" s="94" t="s">
        <v>238</v>
      </c>
      <c r="H44" s="94"/>
      <c r="I44" s="94"/>
      <c r="J44" s="94"/>
      <c r="K44" s="94"/>
      <c r="L44" s="94"/>
    </row>
    <row r="45" spans="1:12">
      <c r="A45" s="1" t="s">
        <v>48</v>
      </c>
      <c r="B45" s="34" t="s">
        <v>10</v>
      </c>
      <c r="C45" s="34" t="s">
        <v>11</v>
      </c>
      <c r="D45" s="34" t="s">
        <v>9</v>
      </c>
      <c r="E45" s="34" t="s">
        <v>12</v>
      </c>
      <c r="G45" s="34" t="s">
        <v>13</v>
      </c>
      <c r="H45" s="34" t="s">
        <v>14</v>
      </c>
      <c r="I45" s="34" t="s">
        <v>15</v>
      </c>
      <c r="J45" s="34" t="s">
        <v>16</v>
      </c>
      <c r="K45" s="34" t="s">
        <v>17</v>
      </c>
      <c r="L45" s="34" t="s">
        <v>18</v>
      </c>
    </row>
    <row r="46" spans="1:12">
      <c r="A46" s="5" t="s">
        <v>40</v>
      </c>
      <c r="B46" s="38">
        <v>0</v>
      </c>
      <c r="C46" s="38">
        <v>0</v>
      </c>
      <c r="D46" s="38">
        <v>0</v>
      </c>
      <c r="E46" s="38">
        <v>0</v>
      </c>
      <c r="G46" s="38">
        <v>-37.5</v>
      </c>
      <c r="H46" s="38">
        <v>-50</v>
      </c>
      <c r="I46" s="38">
        <v>-50</v>
      </c>
      <c r="J46" s="38">
        <v>-50</v>
      </c>
      <c r="K46" s="38">
        <v>-50</v>
      </c>
      <c r="L46" s="38">
        <v>-50</v>
      </c>
    </row>
    <row r="47" spans="1:12">
      <c r="A47" s="5" t="s">
        <v>41</v>
      </c>
      <c r="B47" s="38">
        <v>-19.71688</v>
      </c>
      <c r="C47" s="38">
        <v>-90.715319999999991</v>
      </c>
      <c r="D47" s="38">
        <v>-64</v>
      </c>
      <c r="E47" s="38">
        <v>-39.462820000000001</v>
      </c>
      <c r="G47" s="38">
        <v>-45.626423690205016</v>
      </c>
      <c r="H47" s="38">
        <v>-45.626423690205016</v>
      </c>
      <c r="I47" s="38">
        <v>-45.626423690205016</v>
      </c>
      <c r="J47" s="38">
        <v>-45.626423690205016</v>
      </c>
      <c r="K47" s="38">
        <v>-46</v>
      </c>
      <c r="L47" s="38">
        <v>-46</v>
      </c>
    </row>
    <row r="48" spans="1:12">
      <c r="A48" s="5" t="s">
        <v>26</v>
      </c>
      <c r="B48" s="38">
        <v>-110.24759</v>
      </c>
      <c r="C48" s="38">
        <v>-90.283469999999994</v>
      </c>
      <c r="D48" s="38">
        <v>-65</v>
      </c>
      <c r="E48" s="38">
        <v>-42.982500000000002</v>
      </c>
      <c r="G48" s="38">
        <v>-100</v>
      </c>
      <c r="H48" s="38">
        <v>-65</v>
      </c>
      <c r="I48" s="38">
        <v>-65</v>
      </c>
      <c r="J48" s="38">
        <v>-65</v>
      </c>
      <c r="K48" s="38">
        <v>-65</v>
      </c>
      <c r="L48" s="38">
        <v>-65</v>
      </c>
    </row>
    <row r="49" spans="1:12">
      <c r="A49" s="5" t="s">
        <v>27</v>
      </c>
      <c r="B49" s="38">
        <v>-19.641879999999997</v>
      </c>
      <c r="C49" s="38">
        <v>-45.124110000000002</v>
      </c>
      <c r="D49" s="38">
        <v>-177</v>
      </c>
      <c r="E49" s="38">
        <v>-51.030159999999995</v>
      </c>
      <c r="G49" s="38">
        <v>-107.59451811693242</v>
      </c>
      <c r="H49" s="38">
        <v>-65</v>
      </c>
      <c r="I49" s="38">
        <v>-65</v>
      </c>
      <c r="J49" s="38">
        <v>-65</v>
      </c>
      <c r="K49" s="38">
        <v>-65</v>
      </c>
      <c r="L49" s="38">
        <v>-65</v>
      </c>
    </row>
    <row r="50" spans="1:12">
      <c r="A50" s="5" t="s">
        <v>30</v>
      </c>
      <c r="B50" s="38">
        <v>0</v>
      </c>
      <c r="C50" s="38">
        <v>0</v>
      </c>
      <c r="D50" s="38">
        <v>0</v>
      </c>
      <c r="E50" s="38">
        <v>0</v>
      </c>
      <c r="G50" s="38">
        <v>-208.33333333333334</v>
      </c>
      <c r="H50" s="38">
        <v>0</v>
      </c>
      <c r="I50" s="38">
        <v>0</v>
      </c>
      <c r="J50" s="38">
        <v>0</v>
      </c>
      <c r="K50" s="38">
        <v>0</v>
      </c>
      <c r="L50" s="38">
        <v>0</v>
      </c>
    </row>
    <row r="51" spans="1:12">
      <c r="A51" s="5" t="s">
        <v>39</v>
      </c>
      <c r="B51" s="38">
        <v>0</v>
      </c>
      <c r="C51" s="38">
        <v>0</v>
      </c>
      <c r="D51" s="38">
        <v>0</v>
      </c>
      <c r="E51" s="38">
        <v>0</v>
      </c>
      <c r="G51" s="38">
        <v>0</v>
      </c>
      <c r="H51" s="38">
        <v>-417</v>
      </c>
      <c r="I51" s="38">
        <v>-417</v>
      </c>
      <c r="J51" s="38">
        <v>-292</v>
      </c>
      <c r="K51" s="38">
        <v>0</v>
      </c>
      <c r="L51" s="38">
        <v>0</v>
      </c>
    </row>
    <row r="53" spans="1:12">
      <c r="B53" s="94" t="s">
        <v>173</v>
      </c>
      <c r="C53" s="94"/>
      <c r="D53" s="94"/>
      <c r="E53" s="94"/>
      <c r="G53" s="94" t="s">
        <v>238</v>
      </c>
      <c r="H53" s="94"/>
      <c r="I53" s="94"/>
      <c r="J53" s="94"/>
      <c r="K53" s="94"/>
      <c r="L53" s="94"/>
    </row>
    <row r="54" spans="1:12">
      <c r="A54" s="1" t="s">
        <v>0</v>
      </c>
      <c r="B54" s="34" t="s">
        <v>10</v>
      </c>
      <c r="C54" s="34" t="s">
        <v>11</v>
      </c>
      <c r="D54" s="34" t="s">
        <v>9</v>
      </c>
      <c r="E54" s="34" t="s">
        <v>12</v>
      </c>
      <c r="G54" s="34" t="s">
        <v>13</v>
      </c>
      <c r="H54" s="34" t="s">
        <v>14</v>
      </c>
      <c r="I54" s="34" t="s">
        <v>15</v>
      </c>
      <c r="J54" s="34" t="s">
        <v>16</v>
      </c>
      <c r="K54" s="34" t="s">
        <v>17</v>
      </c>
      <c r="L54" s="34" t="s">
        <v>18</v>
      </c>
    </row>
    <row r="55" spans="1:12">
      <c r="A55" s="5" t="s">
        <v>278</v>
      </c>
      <c r="B55" s="38">
        <v>-268.71767</v>
      </c>
      <c r="C55" s="38">
        <v>-274.63887</v>
      </c>
      <c r="D55" s="38">
        <v>-316.96451000000002</v>
      </c>
      <c r="E55" s="38">
        <v>-371.71755000000002</v>
      </c>
      <c r="G55" s="38">
        <v>-367.18566666666698</v>
      </c>
      <c r="H55" s="38">
        <v>-564</v>
      </c>
      <c r="I55" s="38">
        <v>-564</v>
      </c>
      <c r="J55" s="38">
        <v>-564</v>
      </c>
      <c r="K55" s="38">
        <v>-564</v>
      </c>
      <c r="L55" s="38">
        <v>-564</v>
      </c>
    </row>
    <row r="57" spans="1:12">
      <c r="B57" s="94" t="s">
        <v>173</v>
      </c>
      <c r="C57" s="94"/>
      <c r="D57" s="94"/>
      <c r="E57" s="94"/>
      <c r="G57" s="94" t="s">
        <v>238</v>
      </c>
      <c r="H57" s="94"/>
      <c r="I57" s="94"/>
      <c r="J57" s="94"/>
      <c r="K57" s="94"/>
      <c r="L57" s="94"/>
    </row>
    <row r="58" spans="1:12">
      <c r="A58" s="1" t="s">
        <v>62</v>
      </c>
      <c r="B58" s="34" t="s">
        <v>10</v>
      </c>
      <c r="C58" s="34" t="s">
        <v>11</v>
      </c>
      <c r="D58" s="34" t="s">
        <v>9</v>
      </c>
      <c r="E58" s="34" t="s">
        <v>12</v>
      </c>
      <c r="G58" s="34" t="s">
        <v>13</v>
      </c>
      <c r="H58" s="34" t="s">
        <v>14</v>
      </c>
      <c r="I58" s="34" t="s">
        <v>15</v>
      </c>
      <c r="J58" s="34" t="s">
        <v>16</v>
      </c>
      <c r="K58" s="34" t="s">
        <v>17</v>
      </c>
      <c r="L58" s="34" t="s">
        <v>18</v>
      </c>
    </row>
    <row r="59" spans="1:12">
      <c r="A59" s="5" t="s">
        <v>35</v>
      </c>
      <c r="B59" s="38">
        <v>0</v>
      </c>
      <c r="C59" s="38">
        <v>0</v>
      </c>
      <c r="D59" s="38">
        <v>0</v>
      </c>
      <c r="E59" s="38">
        <v>500</v>
      </c>
      <c r="G59" s="38">
        <v>483.33333333333337</v>
      </c>
      <c r="H59" s="38">
        <v>0</v>
      </c>
      <c r="I59" s="38">
        <v>0</v>
      </c>
      <c r="J59" s="38">
        <v>0</v>
      </c>
      <c r="K59" s="38">
        <v>0</v>
      </c>
      <c r="L59" s="38">
        <v>0</v>
      </c>
    </row>
    <row r="60" spans="1:12">
      <c r="A60" s="5" t="s">
        <v>36</v>
      </c>
      <c r="B60" s="38">
        <v>-265.64100000000002</v>
      </c>
      <c r="C60" s="38">
        <v>-389.08883000000003</v>
      </c>
      <c r="D60" s="38">
        <v>-386.27695</v>
      </c>
      <c r="E60" s="38">
        <v>-1566.6666666666667</v>
      </c>
      <c r="G60" s="38">
        <v>-1525</v>
      </c>
      <c r="H60" s="38">
        <v>0</v>
      </c>
      <c r="I60" s="38">
        <v>0</v>
      </c>
      <c r="J60" s="38">
        <v>0</v>
      </c>
      <c r="K60" s="38">
        <v>0</v>
      </c>
      <c r="L60" s="38">
        <v>0</v>
      </c>
    </row>
    <row r="61" spans="1:12">
      <c r="A61" s="5" t="s">
        <v>280</v>
      </c>
      <c r="B61" s="38">
        <v>52.386130000000001</v>
      </c>
      <c r="C61" s="38">
        <v>68.978530000000006</v>
      </c>
      <c r="D61" s="38">
        <v>71.320689999999999</v>
      </c>
      <c r="E61" s="38">
        <v>71.02901</v>
      </c>
      <c r="G61" s="38">
        <v>83.3333333333333</v>
      </c>
      <c r="H61" s="38">
        <v>0</v>
      </c>
      <c r="I61" s="38">
        <v>0</v>
      </c>
      <c r="J61" s="38">
        <v>0</v>
      </c>
      <c r="K61" s="38">
        <v>0</v>
      </c>
      <c r="L61" s="38">
        <v>0</v>
      </c>
    </row>
    <row r="62" spans="1:12">
      <c r="A62" s="5" t="s">
        <v>279</v>
      </c>
      <c r="B62" s="38">
        <v>0</v>
      </c>
      <c r="C62" s="38">
        <v>0</v>
      </c>
      <c r="D62" s="38">
        <v>0</v>
      </c>
      <c r="E62" s="38">
        <v>201</v>
      </c>
      <c r="G62" s="38">
        <v>0</v>
      </c>
      <c r="H62" s="38">
        <v>0</v>
      </c>
      <c r="I62" s="38">
        <v>0</v>
      </c>
      <c r="J62" s="38">
        <v>0</v>
      </c>
      <c r="K62" s="38">
        <v>0</v>
      </c>
      <c r="L62" s="38">
        <v>0</v>
      </c>
    </row>
    <row r="64" spans="1:12">
      <c r="B64" s="94" t="s">
        <v>173</v>
      </c>
      <c r="C64" s="94"/>
      <c r="D64" s="94"/>
      <c r="E64" s="94"/>
      <c r="G64" s="94" t="s">
        <v>238</v>
      </c>
      <c r="H64" s="94"/>
      <c r="I64" s="94"/>
      <c r="J64" s="94"/>
      <c r="K64" s="94"/>
      <c r="L64" s="94"/>
    </row>
    <row r="65" spans="1:18">
      <c r="A65" s="1" t="s">
        <v>54</v>
      </c>
      <c r="B65" s="34" t="s">
        <v>10</v>
      </c>
      <c r="C65" s="34" t="s">
        <v>11</v>
      </c>
      <c r="D65" s="34" t="s">
        <v>9</v>
      </c>
      <c r="E65" s="34" t="s">
        <v>12</v>
      </c>
      <c r="G65" s="34" t="s">
        <v>13</v>
      </c>
      <c r="H65" s="34" t="s">
        <v>14</v>
      </c>
      <c r="I65" s="34" t="s">
        <v>15</v>
      </c>
      <c r="J65" s="34" t="s">
        <v>16</v>
      </c>
      <c r="K65" s="34" t="s">
        <v>17</v>
      </c>
      <c r="L65" s="34" t="s">
        <v>18</v>
      </c>
    </row>
    <row r="66" spans="1:18">
      <c r="A66" s="5" t="s">
        <v>122</v>
      </c>
      <c r="B66" s="38">
        <v>-30</v>
      </c>
      <c r="C66" s="38">
        <v>-30</v>
      </c>
      <c r="D66" s="38">
        <v>-30</v>
      </c>
      <c r="E66" s="38">
        <v>-148</v>
      </c>
      <c r="G66" s="38">
        <v>-148</v>
      </c>
      <c r="H66" s="38">
        <v>-188.5</v>
      </c>
      <c r="I66" s="38">
        <v>-188.5</v>
      </c>
      <c r="J66" s="38">
        <v>-188.5</v>
      </c>
      <c r="K66" s="38">
        <v>-188.5</v>
      </c>
      <c r="L66" s="38">
        <v>-188.5</v>
      </c>
    </row>
    <row r="67" spans="1:18">
      <c r="A67" s="5" t="s">
        <v>63</v>
      </c>
      <c r="B67" s="38">
        <v>0</v>
      </c>
      <c r="C67" s="38">
        <v>0</v>
      </c>
      <c r="D67" s="38">
        <v>0</v>
      </c>
      <c r="E67" s="38">
        <v>0</v>
      </c>
      <c r="G67" s="38">
        <v>-500</v>
      </c>
      <c r="H67" s="38">
        <v>0</v>
      </c>
      <c r="I67" s="38">
        <v>0</v>
      </c>
      <c r="J67" s="38">
        <v>0</v>
      </c>
      <c r="K67" s="38">
        <v>0</v>
      </c>
      <c r="L67" s="38">
        <v>0</v>
      </c>
    </row>
    <row r="69" spans="1:18">
      <c r="B69" s="94" t="s">
        <v>173</v>
      </c>
      <c r="C69" s="94"/>
      <c r="D69" s="94"/>
      <c r="E69" s="94"/>
      <c r="G69" s="94" t="s">
        <v>238</v>
      </c>
      <c r="H69" s="94"/>
      <c r="I69" s="94"/>
      <c r="J69" s="94"/>
      <c r="K69" s="94"/>
      <c r="L69" s="94"/>
    </row>
    <row r="70" spans="1:18">
      <c r="A70" s="1" t="s">
        <v>281</v>
      </c>
      <c r="B70" s="34" t="s">
        <v>10</v>
      </c>
      <c r="C70" s="34" t="s">
        <v>11</v>
      </c>
      <c r="D70" s="34" t="s">
        <v>9</v>
      </c>
      <c r="E70" s="34" t="s">
        <v>12</v>
      </c>
      <c r="G70" s="34" t="s">
        <v>13</v>
      </c>
      <c r="H70" s="34" t="s">
        <v>14</v>
      </c>
      <c r="I70" s="34" t="s">
        <v>15</v>
      </c>
      <c r="J70" s="34" t="s">
        <v>16</v>
      </c>
      <c r="K70" s="34" t="s">
        <v>17</v>
      </c>
      <c r="L70" s="34" t="s">
        <v>18</v>
      </c>
    </row>
    <row r="71" spans="1:18">
      <c r="A71" s="5" t="s">
        <v>281</v>
      </c>
      <c r="B71" s="38">
        <v>-23.654330000000002</v>
      </c>
      <c r="C71" s="38">
        <v>-25.683949999999999</v>
      </c>
      <c r="D71" s="38">
        <v>-21.623049999999999</v>
      </c>
      <c r="E71" s="38">
        <v>-39.606859999999998</v>
      </c>
      <c r="G71" s="38">
        <v>-50</v>
      </c>
      <c r="H71" s="38">
        <v>0</v>
      </c>
      <c r="I71" s="38">
        <v>0</v>
      </c>
      <c r="J71" s="38">
        <v>0</v>
      </c>
      <c r="K71" s="38">
        <v>0</v>
      </c>
      <c r="L71" s="38">
        <v>0</v>
      </c>
    </row>
    <row r="73" spans="1:18">
      <c r="B73" s="94" t="s">
        <v>173</v>
      </c>
      <c r="C73" s="94"/>
      <c r="D73" s="94"/>
      <c r="E73" s="94"/>
      <c r="G73" s="94" t="s">
        <v>238</v>
      </c>
      <c r="H73" s="94"/>
      <c r="I73" s="94"/>
      <c r="J73" s="94"/>
      <c r="K73" s="94"/>
      <c r="L73" s="94"/>
    </row>
    <row r="74" spans="1:18">
      <c r="A74" s="1" t="s">
        <v>29</v>
      </c>
      <c r="B74" s="34" t="s">
        <v>10</v>
      </c>
      <c r="C74" s="34" t="s">
        <v>11</v>
      </c>
      <c r="D74" s="34" t="s">
        <v>9</v>
      </c>
      <c r="E74" s="34" t="s">
        <v>12</v>
      </c>
      <c r="G74" s="34" t="s">
        <v>13</v>
      </c>
      <c r="H74" s="34" t="s">
        <v>14</v>
      </c>
      <c r="I74" s="34" t="s">
        <v>15</v>
      </c>
      <c r="J74" s="34" t="s">
        <v>16</v>
      </c>
      <c r="K74" s="34" t="s">
        <v>17</v>
      </c>
      <c r="L74" s="34" t="s">
        <v>18</v>
      </c>
    </row>
    <row r="75" spans="1:18">
      <c r="A75" s="5" t="s">
        <v>657</v>
      </c>
      <c r="B75" s="38">
        <v>-292.66307999999992</v>
      </c>
      <c r="C75" s="38">
        <v>-368.59472000000005</v>
      </c>
      <c r="D75" s="38">
        <v>-402.91129000000006</v>
      </c>
      <c r="E75" s="38">
        <v>-478.35872999999998</v>
      </c>
      <c r="G75" s="38">
        <v>-524.89078728449067</v>
      </c>
      <c r="H75" s="38">
        <v>-407.46333654200566</v>
      </c>
      <c r="I75" s="38">
        <v>-407.46333654200566</v>
      </c>
      <c r="J75" s="38">
        <v>-407.46333654200566</v>
      </c>
      <c r="K75" s="38">
        <v>-407.46333654200566</v>
      </c>
      <c r="L75" s="38">
        <v>-407.46333654200566</v>
      </c>
    </row>
    <row r="76" spans="1:18">
      <c r="A76" s="5" t="s">
        <v>658</v>
      </c>
      <c r="B76" s="38">
        <v>-157.4169</v>
      </c>
      <c r="C76" s="38">
        <v>-121.12184999999999</v>
      </c>
      <c r="D76" s="38">
        <v>-184.6815</v>
      </c>
      <c r="E76" s="38">
        <v>-100.47192999999997</v>
      </c>
      <c r="G76" s="38">
        <v>-106.02883500000002</v>
      </c>
      <c r="H76" s="38">
        <v>-214.02883500000002</v>
      </c>
      <c r="I76" s="38">
        <v>-214.02883500000002</v>
      </c>
      <c r="J76" s="38">
        <v>-214.02883500000002</v>
      </c>
      <c r="K76" s="38">
        <v>-214.02883500000002</v>
      </c>
      <c r="L76" s="38">
        <v>-214.02883500000002</v>
      </c>
      <c r="M76" s="39"/>
      <c r="N76" s="39"/>
      <c r="O76" s="39"/>
      <c r="P76" s="39"/>
      <c r="Q76" s="39"/>
      <c r="R76" s="39"/>
    </row>
    <row r="78" spans="1:18">
      <c r="B78" s="94" t="s">
        <v>173</v>
      </c>
      <c r="C78" s="94"/>
      <c r="D78" s="94"/>
      <c r="E78" s="94"/>
      <c r="G78" s="94" t="s">
        <v>238</v>
      </c>
      <c r="H78" s="94"/>
      <c r="I78" s="94"/>
      <c r="J78" s="94"/>
      <c r="K78" s="94"/>
      <c r="L78" s="94"/>
    </row>
    <row r="79" spans="1:18">
      <c r="A79" s="1" t="s">
        <v>102</v>
      </c>
      <c r="B79" s="34" t="s">
        <v>10</v>
      </c>
      <c r="C79" s="34" t="s">
        <v>11</v>
      </c>
      <c r="D79" s="34" t="s">
        <v>9</v>
      </c>
      <c r="E79" s="34" t="s">
        <v>12</v>
      </c>
      <c r="G79" s="34" t="s">
        <v>13</v>
      </c>
      <c r="H79" s="34" t="s">
        <v>14</v>
      </c>
      <c r="I79" s="34" t="s">
        <v>15</v>
      </c>
      <c r="J79" s="34" t="s">
        <v>16</v>
      </c>
      <c r="K79" s="34" t="s">
        <v>17</v>
      </c>
      <c r="L79" s="34" t="s">
        <v>18</v>
      </c>
    </row>
    <row r="80" spans="1:18">
      <c r="A80" s="5" t="s">
        <v>38</v>
      </c>
      <c r="B80" s="38">
        <v>0</v>
      </c>
      <c r="C80" s="38">
        <v>0</v>
      </c>
      <c r="D80" s="38">
        <v>0</v>
      </c>
      <c r="E80" s="38">
        <v>0</v>
      </c>
      <c r="G80" s="38">
        <v>0</v>
      </c>
      <c r="H80" s="38">
        <v>0</v>
      </c>
      <c r="I80" s="38">
        <v>0</v>
      </c>
      <c r="J80" s="38">
        <v>0</v>
      </c>
      <c r="K80" s="38">
        <v>0</v>
      </c>
      <c r="L80" s="38">
        <v>0</v>
      </c>
    </row>
    <row r="81" spans="1:12">
      <c r="A81" s="5" t="s">
        <v>105</v>
      </c>
      <c r="B81" s="38">
        <v>-1594.63183</v>
      </c>
      <c r="C81" s="38">
        <v>-1729.8462</v>
      </c>
      <c r="D81" s="38">
        <v>-1890.8625400000001</v>
      </c>
      <c r="E81" s="38">
        <v>-1889.8563899999999</v>
      </c>
      <c r="G81" s="38">
        <v>-2534.3891666666668</v>
      </c>
      <c r="H81" s="40"/>
      <c r="I81" s="40"/>
      <c r="J81" s="40"/>
      <c r="K81" s="40"/>
      <c r="L81" s="40"/>
    </row>
    <row r="82" spans="1:12">
      <c r="A82" s="5" t="s">
        <v>106</v>
      </c>
      <c r="B82" s="38">
        <v>-1011.3592697691601</v>
      </c>
      <c r="C82" s="38">
        <v>-944.43826836689198</v>
      </c>
      <c r="D82" s="38">
        <v>-818.46162780891666</v>
      </c>
      <c r="E82" s="38">
        <v>-665.89989719920391</v>
      </c>
      <c r="G82" s="38">
        <v>-511.68473634731879</v>
      </c>
      <c r="H82" s="40"/>
      <c r="I82" s="40"/>
      <c r="J82" s="40"/>
      <c r="K82" s="40"/>
      <c r="L82" s="40"/>
    </row>
    <row r="84" spans="1:12" ht="18.75">
      <c r="A84" s="16" t="s">
        <v>227</v>
      </c>
    </row>
    <row r="85" spans="1:12">
      <c r="B85" s="95" t="s">
        <v>288</v>
      </c>
      <c r="C85" s="95"/>
      <c r="D85" s="95"/>
      <c r="E85" s="95"/>
    </row>
    <row r="86" spans="1:12">
      <c r="B86" s="94" t="s">
        <v>173</v>
      </c>
      <c r="C86" s="94"/>
      <c r="D86" s="94"/>
      <c r="E86" s="94"/>
    </row>
    <row r="87" spans="1:12">
      <c r="A87" s="2" t="s">
        <v>632</v>
      </c>
      <c r="B87" s="34" t="s">
        <v>10</v>
      </c>
      <c r="C87" s="34" t="s">
        <v>11</v>
      </c>
      <c r="D87" s="34" t="s">
        <v>9</v>
      </c>
      <c r="E87" s="34" t="s">
        <v>12</v>
      </c>
    </row>
    <row r="88" spans="1:12">
      <c r="A88" s="5" t="s">
        <v>172</v>
      </c>
      <c r="B88" s="38">
        <v>58917</v>
      </c>
      <c r="C88" s="38">
        <v>62665</v>
      </c>
      <c r="D88" s="38">
        <v>92294</v>
      </c>
      <c r="E88" s="38">
        <v>90782</v>
      </c>
    </row>
    <row r="89" spans="1:12">
      <c r="A89" s="5" t="s">
        <v>283</v>
      </c>
      <c r="B89" s="38">
        <v>457</v>
      </c>
      <c r="C89" s="38">
        <v>9367</v>
      </c>
      <c r="D89" s="38">
        <v>-10166</v>
      </c>
      <c r="E89" s="38">
        <v>5169</v>
      </c>
    </row>
    <row r="90" spans="1:12">
      <c r="A90" s="5" t="s">
        <v>284</v>
      </c>
      <c r="B90" s="38">
        <v>-44914</v>
      </c>
      <c r="C90" s="38">
        <v>-56336</v>
      </c>
      <c r="D90" s="38">
        <v>-65991</v>
      </c>
      <c r="E90" s="38">
        <v>-78423</v>
      </c>
    </row>
    <row r="91" spans="1:12">
      <c r="A91" s="5" t="s">
        <v>285</v>
      </c>
      <c r="B91" s="38">
        <v>-8683</v>
      </c>
      <c r="C91" s="38">
        <v>-10108</v>
      </c>
      <c r="D91" s="38">
        <v>-11193</v>
      </c>
      <c r="E91" s="38">
        <v>-13226</v>
      </c>
    </row>
    <row r="92" spans="1:12">
      <c r="A92" s="5" t="s">
        <v>637</v>
      </c>
      <c r="B92" s="38">
        <v>-24</v>
      </c>
      <c r="C92" s="38">
        <v>-22</v>
      </c>
      <c r="D92" s="38">
        <v>25</v>
      </c>
      <c r="E92" s="38">
        <v>0</v>
      </c>
    </row>
    <row r="93" spans="1:12">
      <c r="A93" s="5" t="s">
        <v>286</v>
      </c>
      <c r="B93" s="38">
        <v>150</v>
      </c>
      <c r="C93" s="38">
        <v>386</v>
      </c>
      <c r="D93" s="38">
        <v>555</v>
      </c>
      <c r="E93" s="38">
        <v>722</v>
      </c>
    </row>
    <row r="94" spans="1:12">
      <c r="A94" s="5" t="s">
        <v>287</v>
      </c>
      <c r="B94" s="38">
        <v>-901</v>
      </c>
      <c r="C94" s="38">
        <v>-1490</v>
      </c>
      <c r="D94" s="38">
        <v>-1121</v>
      </c>
      <c r="E94" s="38">
        <v>-1032</v>
      </c>
    </row>
    <row r="95" spans="1:12">
      <c r="A95" s="5" t="s">
        <v>638</v>
      </c>
      <c r="B95" s="38">
        <v>-1634</v>
      </c>
      <c r="C95" s="38">
        <v>1256</v>
      </c>
      <c r="D95" s="38">
        <v>-3620</v>
      </c>
      <c r="E95" s="38">
        <v>121</v>
      </c>
    </row>
    <row r="96" spans="1:12">
      <c r="A96" s="5" t="s">
        <v>168</v>
      </c>
      <c r="B96" s="38">
        <v>-1595</v>
      </c>
      <c r="C96" s="38">
        <v>-1730</v>
      </c>
      <c r="D96" s="38">
        <v>-1891</v>
      </c>
      <c r="E96" s="38">
        <v>-1893</v>
      </c>
    </row>
    <row r="98" spans="1:12">
      <c r="A98" s="5"/>
      <c r="B98" s="94" t="s">
        <v>173</v>
      </c>
      <c r="C98" s="94"/>
      <c r="D98" s="94"/>
      <c r="E98" s="94"/>
      <c r="G98" s="94" t="s">
        <v>290</v>
      </c>
      <c r="H98" s="94"/>
      <c r="I98" s="94"/>
      <c r="J98" s="94"/>
      <c r="K98" s="94"/>
      <c r="L98" s="94"/>
    </row>
    <row r="99" spans="1:12">
      <c r="A99" s="5"/>
      <c r="B99" s="34" t="s">
        <v>10</v>
      </c>
      <c r="C99" s="34" t="s">
        <v>11</v>
      </c>
      <c r="D99" s="34" t="s">
        <v>9</v>
      </c>
      <c r="E99" s="34" t="s">
        <v>12</v>
      </c>
      <c r="G99" s="34" t="s">
        <v>13</v>
      </c>
      <c r="H99" s="34" t="s">
        <v>14</v>
      </c>
      <c r="I99" s="34" t="s">
        <v>15</v>
      </c>
      <c r="J99" s="34" t="s">
        <v>16</v>
      </c>
      <c r="K99" s="34" t="s">
        <v>17</v>
      </c>
      <c r="L99" s="34" t="s">
        <v>18</v>
      </c>
    </row>
    <row r="100" spans="1:12">
      <c r="A100" s="5" t="s">
        <v>291</v>
      </c>
      <c r="B100" s="38">
        <v>15</v>
      </c>
      <c r="C100" s="38">
        <v>-267</v>
      </c>
      <c r="D100" s="38">
        <v>-77</v>
      </c>
      <c r="E100" s="38">
        <v>169</v>
      </c>
      <c r="G100" s="38">
        <v>923</v>
      </c>
      <c r="H100" s="38">
        <v>-1280.6526491082514</v>
      </c>
      <c r="I100" s="38">
        <v>0</v>
      </c>
      <c r="J100" s="38">
        <v>0</v>
      </c>
      <c r="K100" s="38">
        <v>0</v>
      </c>
      <c r="L100" s="38">
        <v>0</v>
      </c>
    </row>
    <row r="102" spans="1:12">
      <c r="B102" s="95"/>
      <c r="C102" s="95"/>
      <c r="D102" s="95"/>
      <c r="E102" s="95"/>
    </row>
    <row r="103" spans="1:12">
      <c r="B103" s="94" t="s">
        <v>173</v>
      </c>
      <c r="C103" s="94"/>
      <c r="D103" s="94"/>
      <c r="E103" s="94"/>
      <c r="G103" s="94" t="s">
        <v>238</v>
      </c>
      <c r="H103" s="94"/>
      <c r="I103" s="94"/>
      <c r="J103" s="94"/>
      <c r="K103" s="94"/>
      <c r="L103" s="94"/>
    </row>
    <row r="104" spans="1:12">
      <c r="A104" s="2" t="s">
        <v>633</v>
      </c>
      <c r="B104" s="34" t="s">
        <v>10</v>
      </c>
      <c r="C104" s="34" t="s">
        <v>11</v>
      </c>
      <c r="D104" s="34" t="s">
        <v>9</v>
      </c>
      <c r="E104" s="34" t="s">
        <v>12</v>
      </c>
      <c r="G104" s="34" t="s">
        <v>13</v>
      </c>
      <c r="H104" s="34" t="s">
        <v>14</v>
      </c>
      <c r="I104" s="34" t="s">
        <v>15</v>
      </c>
      <c r="J104" s="34" t="s">
        <v>16</v>
      </c>
      <c r="K104" s="34" t="s">
        <v>17</v>
      </c>
      <c r="L104" s="34" t="s">
        <v>18</v>
      </c>
    </row>
    <row r="105" spans="1:12">
      <c r="A105" s="5" t="s">
        <v>143</v>
      </c>
      <c r="B105" s="38">
        <v>24385.17137</v>
      </c>
      <c r="C105" s="38">
        <v>26140.82069</v>
      </c>
      <c r="D105" s="38">
        <v>31993.618760000001</v>
      </c>
      <c r="E105" s="38">
        <v>26233.567449999999</v>
      </c>
      <c r="G105" s="38">
        <v>34318.499999999993</v>
      </c>
      <c r="H105" s="38">
        <v>33470</v>
      </c>
      <c r="I105" s="38">
        <v>33076</v>
      </c>
      <c r="J105" s="38">
        <v>32866</v>
      </c>
      <c r="K105" s="38">
        <v>32992</v>
      </c>
      <c r="L105" s="38">
        <v>33637</v>
      </c>
    </row>
    <row r="106" spans="1:12">
      <c r="A106" s="5" t="s">
        <v>144</v>
      </c>
      <c r="B106" s="38">
        <v>457</v>
      </c>
      <c r="C106" s="38">
        <v>9367</v>
      </c>
      <c r="D106" s="38">
        <v>-10165.62703</v>
      </c>
      <c r="E106" s="38">
        <v>4457.1311500000093</v>
      </c>
      <c r="G106" s="38">
        <v>0</v>
      </c>
      <c r="H106" s="38">
        <v>0</v>
      </c>
      <c r="I106" s="38">
        <v>0</v>
      </c>
      <c r="J106" s="38">
        <v>0</v>
      </c>
      <c r="K106" s="38">
        <v>0</v>
      </c>
      <c r="L106" s="38">
        <v>0</v>
      </c>
    </row>
    <row r="107" spans="1:12">
      <c r="A107" s="5" t="s">
        <v>145</v>
      </c>
      <c r="B107" s="38">
        <v>2572.0569999999998</v>
      </c>
      <c r="C107" s="38">
        <v>277.54822000000001</v>
      </c>
      <c r="D107" s="38">
        <v>210.524</v>
      </c>
      <c r="E107" s="38">
        <v>60.931359999999998</v>
      </c>
      <c r="G107" s="38">
        <v>609</v>
      </c>
      <c r="H107" s="38">
        <v>609</v>
      </c>
      <c r="I107" s="38">
        <v>609</v>
      </c>
      <c r="J107" s="38">
        <v>609</v>
      </c>
      <c r="K107" s="38">
        <v>609</v>
      </c>
      <c r="L107" s="38">
        <v>609</v>
      </c>
    </row>
    <row r="108" spans="1:12">
      <c r="A108" s="5" t="s">
        <v>146</v>
      </c>
      <c r="B108" s="38">
        <v>31900.618409999999</v>
      </c>
      <c r="C108" s="38">
        <v>36196.60383</v>
      </c>
      <c r="D108" s="38">
        <v>45294.977559999999</v>
      </c>
      <c r="E108" s="38">
        <v>44888.029539999996</v>
      </c>
      <c r="G108" s="38">
        <v>30161.578856704054</v>
      </c>
      <c r="H108" s="38">
        <v>49000</v>
      </c>
      <c r="I108" s="38">
        <v>54000</v>
      </c>
      <c r="J108" s="38">
        <v>54000</v>
      </c>
      <c r="K108" s="38">
        <v>54000</v>
      </c>
      <c r="L108" s="38">
        <v>54000</v>
      </c>
    </row>
    <row r="109" spans="1:12">
      <c r="A109" s="5" t="s">
        <v>147</v>
      </c>
      <c r="B109" s="38">
        <v>0</v>
      </c>
      <c r="C109" s="38">
        <v>0</v>
      </c>
      <c r="D109" s="38">
        <v>14546.147510000001</v>
      </c>
      <c r="E109" s="38">
        <v>19288.163570000001</v>
      </c>
      <c r="G109" s="38">
        <v>23964.499999999993</v>
      </c>
      <c r="H109" s="38">
        <v>24000</v>
      </c>
      <c r="I109" s="38">
        <v>24000</v>
      </c>
      <c r="J109" s="38">
        <v>24000</v>
      </c>
      <c r="K109" s="38">
        <v>24000</v>
      </c>
      <c r="L109" s="38">
        <v>24000</v>
      </c>
    </row>
    <row r="110" spans="1:12">
      <c r="A110" s="5" t="s">
        <v>107</v>
      </c>
      <c r="B110" s="38">
        <v>25.84769</v>
      </c>
      <c r="C110" s="38">
        <v>26.770420000000001</v>
      </c>
      <c r="D110" s="38">
        <v>27.648689999999998</v>
      </c>
      <c r="E110" s="38">
        <v>28.326840000000001</v>
      </c>
      <c r="G110" s="38">
        <v>28.326840000000001</v>
      </c>
      <c r="H110" s="38">
        <v>28.326840000000001</v>
      </c>
      <c r="I110" s="38">
        <v>28.326840000000001</v>
      </c>
      <c r="J110" s="38">
        <v>28.326840000000001</v>
      </c>
      <c r="K110" s="38">
        <v>28.326840000000001</v>
      </c>
      <c r="L110" s="38">
        <v>28.326840000000001</v>
      </c>
    </row>
    <row r="111" spans="1:12">
      <c r="A111" s="5" t="s">
        <v>108</v>
      </c>
      <c r="B111" s="38">
        <v>33.562220000000003</v>
      </c>
      <c r="C111" s="38">
        <v>23.007010000000001</v>
      </c>
      <c r="D111" s="38">
        <v>221.35183000000001</v>
      </c>
      <c r="E111" s="38">
        <v>282.89775999999995</v>
      </c>
      <c r="G111" s="38">
        <v>0</v>
      </c>
      <c r="H111" s="38">
        <v>0</v>
      </c>
      <c r="I111" s="38">
        <v>0</v>
      </c>
      <c r="J111" s="38">
        <v>0</v>
      </c>
      <c r="K111" s="38">
        <v>0</v>
      </c>
      <c r="L111" s="38">
        <v>0</v>
      </c>
    </row>
    <row r="112" spans="1:12">
      <c r="A112" s="2" t="s">
        <v>160</v>
      </c>
    </row>
    <row r="113" spans="1:12">
      <c r="A113" s="5" t="s">
        <v>109</v>
      </c>
      <c r="B113" s="38">
        <v>-10121.615220000002</v>
      </c>
      <c r="C113" s="38">
        <v>-10827.81408</v>
      </c>
      <c r="D113" s="38">
        <v>-8180.1376300000002</v>
      </c>
      <c r="E113" s="38">
        <v>-11252.929</v>
      </c>
      <c r="G113" s="38">
        <v>-14254.487429539455</v>
      </c>
      <c r="H113" s="38">
        <v>-15000</v>
      </c>
      <c r="I113" s="38">
        <v>-23000</v>
      </c>
      <c r="J113" s="38">
        <v>-31000</v>
      </c>
      <c r="K113" s="38">
        <v>-39000</v>
      </c>
      <c r="L113" s="38">
        <v>-46875</v>
      </c>
    </row>
    <row r="114" spans="1:12">
      <c r="A114" s="5" t="s">
        <v>110</v>
      </c>
      <c r="B114" s="38">
        <v>-447.86378000000002</v>
      </c>
      <c r="C114" s="38">
        <v>-449.70301999999998</v>
      </c>
      <c r="D114" s="38">
        <v>-677.33687999999995</v>
      </c>
      <c r="E114" s="38">
        <v>0</v>
      </c>
      <c r="G114" s="38">
        <v>0</v>
      </c>
      <c r="H114" s="38">
        <v>0</v>
      </c>
      <c r="I114" s="38">
        <v>0</v>
      </c>
      <c r="J114" s="38">
        <v>0</v>
      </c>
      <c r="K114" s="38">
        <v>0</v>
      </c>
      <c r="L114" s="38">
        <v>0</v>
      </c>
    </row>
    <row r="115" spans="1:12">
      <c r="A115" s="5" t="s">
        <v>111</v>
      </c>
      <c r="B115" s="38">
        <v>-331.67344000000003</v>
      </c>
      <c r="C115" s="38">
        <v>-201.33622</v>
      </c>
      <c r="D115" s="38">
        <v>-700.77828</v>
      </c>
      <c r="E115" s="38">
        <v>0</v>
      </c>
      <c r="G115" s="38">
        <v>0</v>
      </c>
      <c r="H115" s="38">
        <v>0</v>
      </c>
      <c r="I115" s="38">
        <v>0</v>
      </c>
      <c r="J115" s="38">
        <v>0</v>
      </c>
      <c r="K115" s="38">
        <v>0</v>
      </c>
      <c r="L115" s="38">
        <v>0</v>
      </c>
    </row>
    <row r="116" spans="1:12">
      <c r="A116" s="5" t="s">
        <v>145</v>
      </c>
      <c r="B116" s="38">
        <v>-2572.0569999999998</v>
      </c>
      <c r="C116" s="38">
        <v>-102.62922</v>
      </c>
      <c r="D116" s="38">
        <v>-70.144999999999996</v>
      </c>
      <c r="E116" s="38">
        <v>123.3428</v>
      </c>
      <c r="G116" s="38">
        <v>-609.11699999999996</v>
      </c>
      <c r="H116" s="38">
        <v>-609.11699999999996</v>
      </c>
      <c r="I116" s="38">
        <v>-609.11699999999996</v>
      </c>
      <c r="J116" s="38">
        <v>-609.11699999999996</v>
      </c>
      <c r="K116" s="38">
        <v>-609.11699999999996</v>
      </c>
      <c r="L116" s="38">
        <v>-609.11699999999996</v>
      </c>
    </row>
    <row r="117" spans="1:12">
      <c r="A117" s="5" t="s">
        <v>112</v>
      </c>
      <c r="B117" s="38">
        <v>0</v>
      </c>
      <c r="C117" s="38">
        <v>0</v>
      </c>
      <c r="D117" s="38">
        <v>0</v>
      </c>
      <c r="E117" s="38">
        <v>0</v>
      </c>
      <c r="G117" s="38">
        <v>0</v>
      </c>
      <c r="H117" s="38">
        <v>0</v>
      </c>
      <c r="I117" s="38">
        <v>0</v>
      </c>
      <c r="J117" s="38">
        <v>0</v>
      </c>
      <c r="K117" s="38">
        <v>0</v>
      </c>
      <c r="L117" s="38">
        <v>0</v>
      </c>
    </row>
    <row r="118" spans="1:12">
      <c r="A118" s="5" t="s">
        <v>150</v>
      </c>
      <c r="B118" s="38">
        <v>-30872.80186</v>
      </c>
      <c r="C118" s="38">
        <v>-40570.804080000002</v>
      </c>
      <c r="D118" s="38">
        <v>-39813</v>
      </c>
      <c r="E118" s="38">
        <v>-43796.848259999999</v>
      </c>
      <c r="G118" s="38">
        <v>-30161.578856704054</v>
      </c>
      <c r="H118" s="38">
        <v>-49000</v>
      </c>
      <c r="I118" s="38">
        <v>-54000</v>
      </c>
      <c r="J118" s="38">
        <v>-54000</v>
      </c>
      <c r="K118" s="38">
        <v>-54000</v>
      </c>
      <c r="L118" s="38">
        <v>-54000</v>
      </c>
    </row>
    <row r="119" spans="1:12">
      <c r="A119" s="5" t="s">
        <v>151</v>
      </c>
      <c r="B119" s="38">
        <v>0</v>
      </c>
      <c r="C119" s="38">
        <v>0</v>
      </c>
      <c r="D119" s="38">
        <v>-14499.999970000001</v>
      </c>
      <c r="E119" s="38">
        <v>-19810.000019999999</v>
      </c>
      <c r="G119" s="38">
        <v>-23964.499999999993</v>
      </c>
      <c r="H119" s="38">
        <v>-24000</v>
      </c>
      <c r="I119" s="38">
        <v>-24000</v>
      </c>
      <c r="J119" s="38">
        <v>-24000</v>
      </c>
      <c r="K119" s="38">
        <v>-24000</v>
      </c>
      <c r="L119" s="38">
        <v>-24000</v>
      </c>
    </row>
    <row r="120" spans="1:12">
      <c r="A120" s="5" t="s">
        <v>152</v>
      </c>
      <c r="B120" s="38">
        <v>0</v>
      </c>
      <c r="C120" s="38">
        <v>-3543.0319</v>
      </c>
      <c r="D120" s="38">
        <v>-1311.7877800000001</v>
      </c>
      <c r="E120" s="38">
        <v>-2356.9339</v>
      </c>
      <c r="G120" s="38">
        <v>0</v>
      </c>
      <c r="H120" s="38">
        <v>0</v>
      </c>
      <c r="I120" s="38">
        <v>0</v>
      </c>
      <c r="J120" s="38">
        <v>0</v>
      </c>
      <c r="K120" s="38">
        <v>0</v>
      </c>
      <c r="L120" s="38">
        <v>0</v>
      </c>
    </row>
    <row r="121" spans="1:12">
      <c r="A121" s="2" t="s">
        <v>161</v>
      </c>
      <c r="B121" s="3">
        <v>0</v>
      </c>
      <c r="C121" s="3">
        <v>0</v>
      </c>
      <c r="D121" s="3">
        <v>0</v>
      </c>
      <c r="E121" s="3">
        <v>0</v>
      </c>
      <c r="G121" s="3">
        <v>0</v>
      </c>
      <c r="H121" s="3">
        <v>0</v>
      </c>
      <c r="I121" s="3">
        <v>0</v>
      </c>
      <c r="J121" s="3">
        <v>0</v>
      </c>
      <c r="K121" s="3">
        <v>0</v>
      </c>
      <c r="L121" s="3">
        <v>0</v>
      </c>
    </row>
    <row r="122" spans="1:12">
      <c r="A122" s="5" t="s">
        <v>153</v>
      </c>
      <c r="B122" s="38">
        <v>-513.11590999999999</v>
      </c>
      <c r="C122" s="38">
        <v>-615.29303000000004</v>
      </c>
      <c r="D122" s="38">
        <v>-721.07333000000006</v>
      </c>
      <c r="E122" s="38">
        <v>-419.06761</v>
      </c>
      <c r="G122" s="38">
        <v>-763.04599999999994</v>
      </c>
      <c r="H122" s="38">
        <v>-763.04599999999994</v>
      </c>
      <c r="I122" s="38">
        <v>-763.04599999999994</v>
      </c>
      <c r="J122" s="38">
        <v>-763.04599999999994</v>
      </c>
      <c r="K122" s="38">
        <v>-763.04599999999994</v>
      </c>
      <c r="L122" s="38">
        <v>-763.04599999999994</v>
      </c>
    </row>
    <row r="123" spans="1:12">
      <c r="A123" s="5" t="s">
        <v>155</v>
      </c>
      <c r="B123" s="38">
        <v>-54.881639999999997</v>
      </c>
      <c r="C123" s="38">
        <v>-24.561360000000001</v>
      </c>
      <c r="D123" s="38">
        <v>-16.424659999999999</v>
      </c>
      <c r="E123" s="38">
        <v>-157.40523999999999</v>
      </c>
      <c r="G123" s="38">
        <v>-388.15499999999997</v>
      </c>
      <c r="H123" s="38">
        <v>-388.15499999999997</v>
      </c>
      <c r="I123" s="38">
        <v>-388.15499999999997</v>
      </c>
      <c r="J123" s="38">
        <v>-388.15499999999997</v>
      </c>
      <c r="K123" s="38">
        <v>-388.15499999999997</v>
      </c>
      <c r="L123" s="38">
        <v>-388.15499999999997</v>
      </c>
    </row>
    <row r="124" spans="1:12">
      <c r="A124" s="5" t="s">
        <v>156</v>
      </c>
      <c r="B124" s="38">
        <v>409.58031</v>
      </c>
      <c r="C124" s="38">
        <v>-79.008900000000011</v>
      </c>
      <c r="D124" s="38">
        <v>-81.479140000000001</v>
      </c>
      <c r="E124" s="38">
        <v>-84.06237999999999</v>
      </c>
      <c r="G124" s="38">
        <v>-146.95699999999999</v>
      </c>
      <c r="H124" s="38">
        <v>0</v>
      </c>
      <c r="I124" s="38">
        <v>0</v>
      </c>
      <c r="J124" s="38">
        <v>0</v>
      </c>
      <c r="K124" s="38">
        <v>0</v>
      </c>
      <c r="L124" s="38">
        <v>0</v>
      </c>
    </row>
    <row r="125" spans="1:12">
      <c r="A125" s="5" t="s">
        <v>157</v>
      </c>
      <c r="B125" s="38">
        <v>-103.38339999999999</v>
      </c>
      <c r="C125" s="38">
        <v>-35</v>
      </c>
      <c r="D125" s="38">
        <v>-34</v>
      </c>
      <c r="E125" s="38">
        <v>-424.27377999999993</v>
      </c>
      <c r="G125" s="38">
        <v>0</v>
      </c>
      <c r="H125" s="38">
        <v>0</v>
      </c>
      <c r="I125" s="38">
        <v>0</v>
      </c>
      <c r="J125" s="38">
        <v>0</v>
      </c>
      <c r="K125" s="38">
        <v>0</v>
      </c>
      <c r="L125" s="38">
        <v>0</v>
      </c>
    </row>
    <row r="126" spans="1:12">
      <c r="A126" s="5" t="s">
        <v>158</v>
      </c>
      <c r="B126" s="38">
        <v>0</v>
      </c>
      <c r="C126" s="38">
        <v>-377</v>
      </c>
      <c r="D126" s="38">
        <v>-160</v>
      </c>
      <c r="E126" s="38">
        <v>-131.74</v>
      </c>
      <c r="G126" s="38">
        <v>-129.15700000000001</v>
      </c>
      <c r="H126" s="38">
        <v>-142.6</v>
      </c>
      <c r="I126" s="38">
        <v>-142.6</v>
      </c>
      <c r="J126" s="38">
        <v>-142.6</v>
      </c>
      <c r="K126" s="38">
        <v>-142.6</v>
      </c>
      <c r="L126" s="38">
        <v>-142.6</v>
      </c>
    </row>
    <row r="127" spans="1:12">
      <c r="A127" s="2" t="s">
        <v>1</v>
      </c>
      <c r="B127" s="3">
        <v>0</v>
      </c>
      <c r="C127" s="3">
        <v>0</v>
      </c>
      <c r="D127" s="3">
        <v>0</v>
      </c>
      <c r="E127" s="3">
        <v>0</v>
      </c>
      <c r="G127" s="3">
        <v>0</v>
      </c>
      <c r="H127" s="3">
        <v>0</v>
      </c>
      <c r="I127" s="3">
        <v>0</v>
      </c>
      <c r="J127" s="3">
        <v>0</v>
      </c>
      <c r="K127" s="3">
        <v>0</v>
      </c>
      <c r="L127" s="3">
        <v>0</v>
      </c>
    </row>
    <row r="128" spans="1:12">
      <c r="A128" s="5" t="s">
        <v>159</v>
      </c>
      <c r="B128" s="38">
        <v>-1594.63183</v>
      </c>
      <c r="C128" s="38">
        <v>-1730</v>
      </c>
      <c r="D128" s="38">
        <v>-1890.8625400000001</v>
      </c>
      <c r="E128" s="38">
        <v>-1889.8563899999999</v>
      </c>
      <c r="G128" s="38">
        <v>-2534.3891666666668</v>
      </c>
      <c r="H128" s="38">
        <v>-2534.3891666666668</v>
      </c>
      <c r="I128" s="38">
        <v>-2534.3891666666668</v>
      </c>
      <c r="J128" s="38">
        <v>-2534.3891666666668</v>
      </c>
      <c r="K128" s="38">
        <v>-2534.3891666666668</v>
      </c>
      <c r="L128" s="38">
        <v>-2534.3891666666668</v>
      </c>
    </row>
    <row r="129" spans="1:13">
      <c r="A129" s="2" t="s">
        <v>171</v>
      </c>
      <c r="B129" s="3">
        <v>0</v>
      </c>
      <c r="C129" s="3">
        <v>0</v>
      </c>
      <c r="D129" s="3">
        <v>0</v>
      </c>
      <c r="E129" s="3">
        <v>0</v>
      </c>
      <c r="G129" s="3">
        <v>0</v>
      </c>
      <c r="H129" s="3">
        <v>0</v>
      </c>
      <c r="I129" s="3">
        <v>0</v>
      </c>
      <c r="J129" s="3">
        <v>0</v>
      </c>
      <c r="K129" s="3">
        <v>0</v>
      </c>
      <c r="L129" s="3">
        <v>0</v>
      </c>
    </row>
    <row r="130" spans="1:13">
      <c r="A130" s="5" t="s">
        <v>248</v>
      </c>
      <c r="B130" s="38">
        <v>150</v>
      </c>
      <c r="C130" s="38">
        <v>364</v>
      </c>
      <c r="D130" s="38">
        <v>580</v>
      </c>
      <c r="E130" s="38">
        <v>713.61402999999996</v>
      </c>
      <c r="G130" s="38">
        <v>452.693228301266</v>
      </c>
      <c r="H130" s="38">
        <v>0</v>
      </c>
      <c r="I130" s="38">
        <v>0</v>
      </c>
      <c r="J130" s="38">
        <v>0</v>
      </c>
      <c r="K130" s="38">
        <v>0</v>
      </c>
      <c r="L130" s="38">
        <v>0</v>
      </c>
    </row>
    <row r="131" spans="1:13">
      <c r="A131" s="5" t="s">
        <v>209</v>
      </c>
      <c r="B131" s="38">
        <v>-895</v>
      </c>
      <c r="C131" s="38">
        <v>-1460</v>
      </c>
      <c r="D131" s="38">
        <v>-1091</v>
      </c>
      <c r="E131" s="38">
        <v>-1043.2318</v>
      </c>
      <c r="G131" s="38">
        <v>-443.34853167567564</v>
      </c>
      <c r="H131" s="38">
        <v>0</v>
      </c>
      <c r="I131" s="38">
        <v>0</v>
      </c>
      <c r="J131" s="38">
        <v>0</v>
      </c>
      <c r="K131" s="38">
        <v>0</v>
      </c>
      <c r="L131" s="38">
        <v>0</v>
      </c>
    </row>
    <row r="132" spans="1:13">
      <c r="A132" s="2" t="s">
        <v>266</v>
      </c>
      <c r="B132" s="3">
        <v>0</v>
      </c>
      <c r="C132" s="3">
        <v>0</v>
      </c>
      <c r="D132" s="3">
        <v>0</v>
      </c>
      <c r="E132" s="3">
        <v>0</v>
      </c>
      <c r="G132" s="3">
        <v>0</v>
      </c>
      <c r="H132" s="3">
        <v>0</v>
      </c>
      <c r="I132" s="3">
        <v>0</v>
      </c>
      <c r="J132" s="3">
        <v>0</v>
      </c>
      <c r="K132" s="3">
        <v>0</v>
      </c>
      <c r="L132" s="3">
        <v>0</v>
      </c>
    </row>
    <row r="133" spans="1:13">
      <c r="A133" s="5" t="s">
        <v>277</v>
      </c>
      <c r="B133" s="38">
        <v>-1634</v>
      </c>
      <c r="C133" s="38">
        <v>1256</v>
      </c>
      <c r="D133" s="38">
        <v>-3620</v>
      </c>
      <c r="E133" s="38">
        <v>65</v>
      </c>
      <c r="G133" s="38">
        <v>-704.79066368448298</v>
      </c>
      <c r="H133" s="38">
        <v>243.12945279275883</v>
      </c>
      <c r="I133" s="38">
        <v>833</v>
      </c>
      <c r="J133" s="38">
        <v>-109.18218039070126</v>
      </c>
      <c r="K133" s="38">
        <v>-50.130950415764516</v>
      </c>
      <c r="L133" s="38">
        <v>11.646486679173552</v>
      </c>
    </row>
    <row r="135" spans="1:13">
      <c r="A135" s="1" t="s">
        <v>634</v>
      </c>
      <c r="B135" s="94" t="s">
        <v>173</v>
      </c>
      <c r="C135" s="94"/>
      <c r="D135" s="94"/>
      <c r="E135" s="94"/>
      <c r="G135" s="94" t="s">
        <v>238</v>
      </c>
      <c r="H135" s="94"/>
      <c r="I135" s="94"/>
      <c r="J135" s="94"/>
      <c r="K135" s="94"/>
      <c r="L135" s="94"/>
    </row>
    <row r="136" spans="1:13">
      <c r="A136" s="5"/>
      <c r="B136" s="34" t="s">
        <v>10</v>
      </c>
      <c r="C136" s="34" t="s">
        <v>11</v>
      </c>
      <c r="D136" s="34" t="s">
        <v>9</v>
      </c>
      <c r="E136" s="34" t="s">
        <v>12</v>
      </c>
      <c r="G136" s="34" t="s">
        <v>13</v>
      </c>
      <c r="H136" s="34" t="s">
        <v>14</v>
      </c>
      <c r="I136" s="34" t="s">
        <v>15</v>
      </c>
      <c r="J136" s="34" t="s">
        <v>16</v>
      </c>
      <c r="K136" s="34" t="s">
        <v>17</v>
      </c>
      <c r="L136" s="34" t="s">
        <v>18</v>
      </c>
    </row>
    <row r="137" spans="1:13">
      <c r="A137" s="5" t="s">
        <v>292</v>
      </c>
      <c r="B137" s="38">
        <v>0</v>
      </c>
      <c r="C137" s="38">
        <v>0</v>
      </c>
      <c r="D137" s="38">
        <v>0</v>
      </c>
      <c r="E137" s="38">
        <v>0</v>
      </c>
      <c r="G137" s="38">
        <v>500</v>
      </c>
      <c r="H137" s="38">
        <v>565.48828125</v>
      </c>
      <c r="I137" s="38">
        <v>115.48828125</v>
      </c>
      <c r="J137" s="38">
        <v>115.48828125</v>
      </c>
      <c r="K137" s="38">
        <v>115.48828125</v>
      </c>
      <c r="L137" s="38">
        <v>115.48828125</v>
      </c>
      <c r="M137" s="33"/>
    </row>
    <row r="140" spans="1:13" ht="18.75">
      <c r="A140" s="16" t="s">
        <v>228</v>
      </c>
    </row>
    <row r="142" spans="1:13">
      <c r="A142" s="1" t="s">
        <v>294</v>
      </c>
      <c r="B142" s="5"/>
    </row>
    <row r="143" spans="1:13">
      <c r="A143" s="5" t="s">
        <v>73</v>
      </c>
      <c r="B143" s="41">
        <v>10</v>
      </c>
    </row>
    <row r="144" spans="1:13">
      <c r="A144" s="5" t="s">
        <v>75</v>
      </c>
      <c r="B144" s="41">
        <v>8</v>
      </c>
    </row>
    <row r="145" spans="1:3">
      <c r="A145" s="5" t="s">
        <v>74</v>
      </c>
      <c r="B145" s="41">
        <v>5</v>
      </c>
    </row>
    <row r="146" spans="1:3">
      <c r="A146" s="5" t="s">
        <v>174</v>
      </c>
      <c r="B146" s="38">
        <v>14423.075848303401</v>
      </c>
    </row>
    <row r="148" spans="1:3">
      <c r="A148" s="2" t="s">
        <v>103</v>
      </c>
      <c r="B148" s="5"/>
    </row>
    <row r="149" spans="1:3">
      <c r="A149" s="5" t="s">
        <v>94</v>
      </c>
      <c r="B149" s="41">
        <v>25</v>
      </c>
    </row>
    <row r="150" spans="1:3">
      <c r="A150" s="5" t="s">
        <v>175</v>
      </c>
      <c r="B150" s="38">
        <v>0</v>
      </c>
    </row>
    <row r="152" spans="1:3">
      <c r="A152" s="2" t="s">
        <v>296</v>
      </c>
      <c r="B152" s="5"/>
    </row>
    <row r="153" spans="1:3">
      <c r="A153" s="5" t="s">
        <v>295</v>
      </c>
      <c r="B153" s="38">
        <v>0</v>
      </c>
    </row>
    <row r="155" spans="1:3">
      <c r="A155" s="2" t="s">
        <v>673</v>
      </c>
      <c r="B155" s="5"/>
    </row>
    <row r="156" spans="1:3">
      <c r="A156" s="5" t="s">
        <v>674</v>
      </c>
      <c r="B156" s="38">
        <v>1700</v>
      </c>
    </row>
    <row r="159" spans="1:3">
      <c r="A159" s="1" t="s">
        <v>140</v>
      </c>
      <c r="B159" s="4" t="s">
        <v>123</v>
      </c>
      <c r="C159" s="4" t="s">
        <v>124</v>
      </c>
    </row>
    <row r="160" spans="1:3">
      <c r="A160" s="5" t="s">
        <v>125</v>
      </c>
      <c r="B160" s="42">
        <v>39387</v>
      </c>
      <c r="C160" s="42">
        <v>39538</v>
      </c>
    </row>
    <row r="161" spans="1:3">
      <c r="A161" s="5" t="s">
        <v>126</v>
      </c>
      <c r="B161" s="42">
        <v>39539</v>
      </c>
      <c r="C161" s="42">
        <v>39721</v>
      </c>
    </row>
    <row r="162" spans="1:3">
      <c r="A162" s="5" t="s">
        <v>127</v>
      </c>
      <c r="B162" s="42">
        <v>39722</v>
      </c>
      <c r="C162" s="42">
        <v>40086</v>
      </c>
    </row>
    <row r="163" spans="1:3">
      <c r="A163" s="5" t="s">
        <v>128</v>
      </c>
      <c r="B163" s="42">
        <v>40087</v>
      </c>
      <c r="C163" s="42">
        <v>40268</v>
      </c>
    </row>
    <row r="164" spans="1:3">
      <c r="A164" s="5" t="s">
        <v>129</v>
      </c>
      <c r="B164" s="42">
        <v>40269</v>
      </c>
      <c r="C164" s="42">
        <v>40451</v>
      </c>
    </row>
    <row r="165" spans="1:3">
      <c r="A165" s="5" t="s">
        <v>130</v>
      </c>
      <c r="B165" s="42">
        <v>40452</v>
      </c>
      <c r="C165" s="42">
        <v>40816</v>
      </c>
    </row>
    <row r="166" spans="1:3">
      <c r="A166" s="5" t="s">
        <v>131</v>
      </c>
      <c r="B166" s="42">
        <v>40817</v>
      </c>
      <c r="C166" s="42">
        <v>41182</v>
      </c>
    </row>
    <row r="167" spans="1:3">
      <c r="A167" s="5" t="s">
        <v>132</v>
      </c>
      <c r="B167" s="42">
        <v>41183</v>
      </c>
      <c r="C167" s="42">
        <v>41547</v>
      </c>
    </row>
    <row r="168" spans="1:3">
      <c r="A168" s="5" t="s">
        <v>133</v>
      </c>
      <c r="B168" s="42">
        <v>41548</v>
      </c>
      <c r="C168" s="42">
        <v>41912</v>
      </c>
    </row>
    <row r="169" spans="1:3">
      <c r="A169" s="5" t="s">
        <v>134</v>
      </c>
      <c r="B169" s="42">
        <v>41913</v>
      </c>
      <c r="C169" s="42">
        <v>42277</v>
      </c>
    </row>
    <row r="170" spans="1:3">
      <c r="A170" s="5" t="s">
        <v>135</v>
      </c>
      <c r="B170" s="42">
        <v>42278</v>
      </c>
      <c r="C170" s="42">
        <v>42643</v>
      </c>
    </row>
    <row r="171" spans="1:3">
      <c r="A171" s="5" t="s">
        <v>136</v>
      </c>
      <c r="B171" s="42">
        <v>42644</v>
      </c>
      <c r="C171" s="42">
        <v>43008</v>
      </c>
    </row>
    <row r="172" spans="1:3">
      <c r="A172" s="5" t="s">
        <v>137</v>
      </c>
      <c r="B172" s="42">
        <v>43009</v>
      </c>
      <c r="C172" s="42">
        <v>43373</v>
      </c>
    </row>
    <row r="173" spans="1:3">
      <c r="A173" s="5" t="s">
        <v>138</v>
      </c>
      <c r="B173" s="42">
        <v>43374</v>
      </c>
      <c r="C173" s="42">
        <v>43738</v>
      </c>
    </row>
    <row r="174" spans="1:3">
      <c r="A174" s="5" t="s">
        <v>139</v>
      </c>
      <c r="B174" s="42">
        <v>43739</v>
      </c>
      <c r="C174" s="42">
        <v>44104</v>
      </c>
    </row>
    <row r="176" spans="1:3">
      <c r="A176" s="2" t="s">
        <v>229</v>
      </c>
      <c r="B176" s="4"/>
    </row>
    <row r="177" spans="1:6">
      <c r="A177" s="5" t="s">
        <v>125</v>
      </c>
      <c r="B177" s="38">
        <v>1844.4243523791281</v>
      </c>
    </row>
    <row r="178" spans="1:6">
      <c r="A178" s="5" t="s">
        <v>126</v>
      </c>
      <c r="B178" s="38">
        <v>1100.2156264203234</v>
      </c>
    </row>
    <row r="179" spans="1:6">
      <c r="A179" s="5" t="s">
        <v>127</v>
      </c>
      <c r="B179" s="38">
        <v>2044.3107123026002</v>
      </c>
    </row>
    <row r="180" spans="1:6">
      <c r="A180" s="5" t="s">
        <v>128</v>
      </c>
      <c r="B180" s="38">
        <v>1277.6373053892214</v>
      </c>
    </row>
    <row r="182" spans="1:6">
      <c r="A182" s="2" t="s">
        <v>230</v>
      </c>
      <c r="B182" s="4"/>
    </row>
    <row r="183" spans="1:6">
      <c r="A183" s="5" t="s">
        <v>125</v>
      </c>
      <c r="B183" s="38">
        <v>0</v>
      </c>
      <c r="E183" s="43"/>
    </row>
    <row r="184" spans="1:6">
      <c r="A184" s="5" t="s">
        <v>126</v>
      </c>
      <c r="B184" s="38">
        <v>0</v>
      </c>
      <c r="E184" s="43"/>
    </row>
    <row r="185" spans="1:6">
      <c r="A185" s="5" t="s">
        <v>127</v>
      </c>
      <c r="B185" s="38">
        <v>1140.1102690198591</v>
      </c>
      <c r="E185" s="43"/>
    </row>
    <row r="186" spans="1:6">
      <c r="A186" s="5" t="s">
        <v>128</v>
      </c>
      <c r="B186" s="38">
        <v>1367.0112633527021</v>
      </c>
      <c r="E186" s="43"/>
    </row>
    <row r="188" spans="1:6" ht="30">
      <c r="A188" s="2" t="s">
        <v>231</v>
      </c>
      <c r="B188" s="22" t="s">
        <v>271</v>
      </c>
      <c r="C188" s="22" t="s">
        <v>254</v>
      </c>
      <c r="D188" s="22" t="s">
        <v>253</v>
      </c>
    </row>
    <row r="189" spans="1:6">
      <c r="A189" s="5" t="s">
        <v>129</v>
      </c>
      <c r="B189" s="38">
        <v>913</v>
      </c>
      <c r="C189" s="38">
        <v>913</v>
      </c>
      <c r="D189" s="38">
        <v>156.24699999999999</v>
      </c>
      <c r="E189" s="43"/>
      <c r="F189" s="43"/>
    </row>
    <row r="190" spans="1:6">
      <c r="A190" s="5" t="s">
        <v>130</v>
      </c>
      <c r="B190" s="38">
        <v>883</v>
      </c>
      <c r="C190" s="38">
        <v>883</v>
      </c>
      <c r="D190" s="38">
        <v>199.90774674061402</v>
      </c>
      <c r="E190" s="43"/>
      <c r="F190" s="43"/>
    </row>
    <row r="191" spans="1:6">
      <c r="A191" s="5" t="s">
        <v>131</v>
      </c>
      <c r="B191" s="38">
        <v>1190</v>
      </c>
      <c r="C191" s="38">
        <v>1190</v>
      </c>
      <c r="D191" s="38">
        <v>415.278068453608</v>
      </c>
      <c r="E191" s="43"/>
      <c r="F191" s="43"/>
    </row>
    <row r="192" spans="1:6">
      <c r="A192" s="5" t="s">
        <v>132</v>
      </c>
      <c r="B192" s="38">
        <v>245</v>
      </c>
      <c r="C192" s="38">
        <v>245</v>
      </c>
      <c r="D192" s="38">
        <v>1661.5513154308601</v>
      </c>
      <c r="E192" s="43"/>
      <c r="F192" s="43"/>
    </row>
    <row r="193" spans="1:6">
      <c r="A193" s="5" t="s">
        <v>133</v>
      </c>
      <c r="B193" s="38">
        <v>1385</v>
      </c>
      <c r="C193" s="38">
        <v>1385</v>
      </c>
      <c r="D193" s="38">
        <v>1783.0241014000801</v>
      </c>
      <c r="E193" s="43"/>
      <c r="F193" s="43"/>
    </row>
    <row r="194" spans="1:6">
      <c r="A194" s="5" t="s">
        <v>134</v>
      </c>
      <c r="B194" s="38">
        <v>365</v>
      </c>
      <c r="C194" s="38">
        <v>365</v>
      </c>
      <c r="D194" s="38">
        <v>1814.1261117326001</v>
      </c>
      <c r="E194" s="43"/>
      <c r="F194" s="43"/>
    </row>
    <row r="195" spans="1:6">
      <c r="C195" s="39"/>
      <c r="D195" s="39"/>
    </row>
    <row r="196" spans="1:6">
      <c r="A196" s="2" t="s">
        <v>661</v>
      </c>
      <c r="B196" s="4"/>
      <c r="C196" s="23"/>
    </row>
    <row r="197" spans="1:6">
      <c r="A197" s="5" t="s">
        <v>135</v>
      </c>
      <c r="B197" s="38">
        <v>1510.5345585449033</v>
      </c>
      <c r="C197" s="39"/>
      <c r="E197" s="43"/>
    </row>
    <row r="198" spans="1:6">
      <c r="A198" s="5" t="s">
        <v>136</v>
      </c>
      <c r="B198" s="38">
        <v>1490.3785145888594</v>
      </c>
      <c r="C198" s="39"/>
      <c r="E198" s="43"/>
    </row>
    <row r="199" spans="1:6">
      <c r="A199" s="5" t="s">
        <v>137</v>
      </c>
      <c r="B199" s="38">
        <v>11631.440090943539</v>
      </c>
      <c r="E199" s="43"/>
    </row>
    <row r="200" spans="1:6">
      <c r="A200" s="5" t="s">
        <v>138</v>
      </c>
      <c r="B200" s="38">
        <v>1599.0370594922319</v>
      </c>
      <c r="E200" s="43"/>
    </row>
    <row r="201" spans="1:6">
      <c r="A201" s="5" t="s">
        <v>139</v>
      </c>
      <c r="B201" s="38">
        <v>1772.7425161045851</v>
      </c>
      <c r="E201" s="43"/>
    </row>
    <row r="203" spans="1:6">
      <c r="A203" s="2" t="s">
        <v>232</v>
      </c>
      <c r="B203" s="4"/>
    </row>
    <row r="204" spans="1:6">
      <c r="A204" s="5" t="s">
        <v>125</v>
      </c>
      <c r="B204" s="38">
        <v>0</v>
      </c>
    </row>
    <row r="205" spans="1:6">
      <c r="A205" s="5" t="s">
        <v>126</v>
      </c>
      <c r="B205" s="38">
        <v>0</v>
      </c>
    </row>
    <row r="206" spans="1:6">
      <c r="A206" s="5" t="s">
        <v>127</v>
      </c>
      <c r="B206" s="38">
        <v>0</v>
      </c>
    </row>
    <row r="207" spans="1:6">
      <c r="A207" s="5" t="s">
        <v>128</v>
      </c>
      <c r="B207" s="38">
        <v>0</v>
      </c>
    </row>
    <row r="209" spans="1:6" ht="30">
      <c r="A209" s="2" t="s">
        <v>233</v>
      </c>
      <c r="B209" s="22" t="s">
        <v>271</v>
      </c>
      <c r="C209" s="22" t="s">
        <v>254</v>
      </c>
      <c r="D209" s="22" t="s">
        <v>253</v>
      </c>
    </row>
    <row r="210" spans="1:6">
      <c r="A210" s="5" t="s">
        <v>129</v>
      </c>
      <c r="B210" s="38">
        <v>0</v>
      </c>
      <c r="C210" s="38">
        <v>0</v>
      </c>
      <c r="D210" s="38">
        <v>0</v>
      </c>
      <c r="E210" s="43"/>
      <c r="F210" s="43"/>
    </row>
    <row r="211" spans="1:6">
      <c r="A211" s="5" t="s">
        <v>130</v>
      </c>
      <c r="B211" s="38">
        <v>1267</v>
      </c>
      <c r="C211" s="38">
        <v>1267</v>
      </c>
      <c r="D211" s="38">
        <v>74.943114334470977</v>
      </c>
      <c r="E211" s="43"/>
      <c r="F211" s="43"/>
    </row>
    <row r="212" spans="1:6">
      <c r="A212" s="5" t="s">
        <v>131</v>
      </c>
      <c r="B212" s="38">
        <v>1267</v>
      </c>
      <c r="C212" s="38">
        <v>1267</v>
      </c>
      <c r="D212" s="38">
        <v>103.90932618556702</v>
      </c>
      <c r="E212" s="43"/>
      <c r="F212" s="43"/>
    </row>
    <row r="213" spans="1:6">
      <c r="A213" s="5" t="s">
        <v>132</v>
      </c>
      <c r="B213" s="38">
        <v>0</v>
      </c>
      <c r="C213" s="38">
        <v>0</v>
      </c>
      <c r="D213" s="38">
        <v>348.13058116232469</v>
      </c>
      <c r="E213" s="43"/>
      <c r="F213" s="43"/>
    </row>
    <row r="214" spans="1:6">
      <c r="A214" s="5" t="s">
        <v>133</v>
      </c>
      <c r="B214" s="38">
        <v>0</v>
      </c>
      <c r="C214" s="38">
        <v>0</v>
      </c>
      <c r="D214" s="38">
        <v>2227.3324626202584</v>
      </c>
      <c r="E214" s="43"/>
      <c r="F214" s="43"/>
    </row>
    <row r="215" spans="1:6">
      <c r="A215" s="5" t="s">
        <v>134</v>
      </c>
      <c r="B215" s="38">
        <v>0</v>
      </c>
      <c r="C215" s="38">
        <v>0</v>
      </c>
      <c r="D215" s="38">
        <v>0.19415457036922509</v>
      </c>
      <c r="E215" s="43"/>
      <c r="F215" s="43"/>
    </row>
    <row r="216" spans="1:6">
      <c r="C216" s="39"/>
      <c r="D216" s="39"/>
    </row>
    <row r="217" spans="1:6">
      <c r="A217" s="2" t="s">
        <v>662</v>
      </c>
      <c r="B217" s="4"/>
      <c r="C217" s="39"/>
    </row>
    <row r="218" spans="1:6">
      <c r="A218" s="5" t="s">
        <v>135</v>
      </c>
      <c r="B218" s="38">
        <v>0</v>
      </c>
      <c r="E218" s="43"/>
    </row>
    <row r="219" spans="1:6">
      <c r="A219" s="5" t="s">
        <v>136</v>
      </c>
      <c r="B219" s="38">
        <v>0</v>
      </c>
      <c r="E219" s="43"/>
    </row>
    <row r="220" spans="1:6">
      <c r="A220" s="5" t="s">
        <v>137</v>
      </c>
      <c r="B220" s="38">
        <v>0</v>
      </c>
      <c r="E220" s="43"/>
    </row>
    <row r="221" spans="1:6">
      <c r="A221" s="5" t="s">
        <v>138</v>
      </c>
      <c r="B221" s="38">
        <v>0</v>
      </c>
      <c r="E221" s="43"/>
    </row>
    <row r="222" spans="1:6">
      <c r="A222" s="5" t="s">
        <v>139</v>
      </c>
      <c r="B222" s="38">
        <v>0</v>
      </c>
      <c r="E222" s="43"/>
    </row>
    <row r="224" spans="1:6">
      <c r="A224" s="2" t="s">
        <v>663</v>
      </c>
      <c r="B224" s="4"/>
    </row>
    <row r="225" spans="1:5">
      <c r="A225" s="5" t="s">
        <v>135</v>
      </c>
      <c r="B225" s="38">
        <v>5600</v>
      </c>
    </row>
    <row r="226" spans="1:5">
      <c r="A226" s="5" t="s">
        <v>136</v>
      </c>
      <c r="B226" s="38">
        <v>5600</v>
      </c>
    </row>
    <row r="227" spans="1:5">
      <c r="A227" s="5" t="s">
        <v>137</v>
      </c>
      <c r="B227" s="38">
        <v>5600</v>
      </c>
    </row>
    <row r="228" spans="1:5">
      <c r="A228" s="5" t="s">
        <v>138</v>
      </c>
      <c r="B228" s="38">
        <v>5600</v>
      </c>
    </row>
    <row r="229" spans="1:5">
      <c r="A229" s="5" t="s">
        <v>139</v>
      </c>
      <c r="B229" s="38">
        <v>5600</v>
      </c>
    </row>
    <row r="231" spans="1:5">
      <c r="A231" s="2" t="s">
        <v>665</v>
      </c>
      <c r="B231" s="4"/>
    </row>
    <row r="232" spans="1:5">
      <c r="A232" s="5" t="s">
        <v>135</v>
      </c>
      <c r="B232" s="38">
        <v>0</v>
      </c>
    </row>
    <row r="233" spans="1:5">
      <c r="A233" s="5" t="s">
        <v>136</v>
      </c>
      <c r="B233" s="38">
        <v>0</v>
      </c>
    </row>
    <row r="234" spans="1:5">
      <c r="A234" s="5" t="s">
        <v>137</v>
      </c>
      <c r="B234" s="38">
        <v>5600</v>
      </c>
    </row>
    <row r="235" spans="1:5">
      <c r="A235" s="5" t="s">
        <v>138</v>
      </c>
      <c r="B235" s="38">
        <v>5600</v>
      </c>
    </row>
    <row r="236" spans="1:5">
      <c r="A236" s="5" t="s">
        <v>139</v>
      </c>
      <c r="B236" s="38">
        <v>5600</v>
      </c>
    </row>
    <row r="238" spans="1:5">
      <c r="A238" s="2" t="s">
        <v>270</v>
      </c>
      <c r="B238" s="4"/>
    </row>
    <row r="239" spans="1:5">
      <c r="A239" s="5" t="s">
        <v>125</v>
      </c>
      <c r="B239" s="38">
        <v>598.7379407850965</v>
      </c>
      <c r="E239" s="43"/>
    </row>
    <row r="240" spans="1:5">
      <c r="A240" s="5" t="s">
        <v>126</v>
      </c>
      <c r="B240" s="38">
        <v>721.15379241516962</v>
      </c>
      <c r="E240" s="43"/>
    </row>
    <row r="241" spans="1:6">
      <c r="A241" s="5" t="s">
        <v>127</v>
      </c>
      <c r="B241" s="38">
        <v>1443.4193612774448</v>
      </c>
      <c r="E241" s="43"/>
    </row>
    <row r="242" spans="1:6">
      <c r="A242" s="5" t="s">
        <v>128</v>
      </c>
      <c r="B242" s="38">
        <v>721.70968063872238</v>
      </c>
      <c r="E242" s="43"/>
    </row>
    <row r="244" spans="1:6">
      <c r="A244" s="2" t="s">
        <v>270</v>
      </c>
      <c r="B244" s="4"/>
    </row>
    <row r="245" spans="1:6">
      <c r="A245" s="5" t="s">
        <v>129</v>
      </c>
      <c r="B245" s="38">
        <v>901.44224051896219</v>
      </c>
      <c r="E245" s="43"/>
    </row>
    <row r="246" spans="1:6">
      <c r="A246" s="5" t="s">
        <v>130</v>
      </c>
      <c r="B246" s="38">
        <v>1802.8844810379244</v>
      </c>
      <c r="E246" s="43"/>
    </row>
    <row r="247" spans="1:6">
      <c r="A247" s="5" t="s">
        <v>131</v>
      </c>
      <c r="B247" s="38">
        <v>1802.8844810379244</v>
      </c>
      <c r="E247" s="43"/>
    </row>
    <row r="248" spans="1:6">
      <c r="A248" s="5" t="s">
        <v>132</v>
      </c>
      <c r="B248" s="38">
        <v>1802.8844810379244</v>
      </c>
      <c r="E248" s="43"/>
    </row>
    <row r="249" spans="1:6">
      <c r="A249" s="5" t="s">
        <v>133</v>
      </c>
      <c r="B249" s="38">
        <v>1802.8844810379244</v>
      </c>
      <c r="E249" s="43"/>
    </row>
    <row r="250" spans="1:6">
      <c r="A250" s="5" t="s">
        <v>134</v>
      </c>
      <c r="B250" s="38">
        <v>1802.8844810379244</v>
      </c>
      <c r="E250" s="43"/>
    </row>
    <row r="252" spans="1:6">
      <c r="A252" s="2" t="s">
        <v>234</v>
      </c>
      <c r="B252" s="34" t="s">
        <v>268</v>
      </c>
      <c r="C252" s="34" t="s">
        <v>269</v>
      </c>
    </row>
    <row r="253" spans="1:6">
      <c r="A253" s="5" t="s">
        <v>125</v>
      </c>
      <c r="B253" s="38">
        <v>0</v>
      </c>
      <c r="C253" s="38">
        <v>0</v>
      </c>
      <c r="E253" s="43"/>
      <c r="F253" s="43"/>
    </row>
    <row r="254" spans="1:6">
      <c r="A254" s="5" t="s">
        <v>126</v>
      </c>
      <c r="B254" s="38">
        <v>0</v>
      </c>
      <c r="C254" s="38">
        <v>0</v>
      </c>
      <c r="E254" s="43"/>
      <c r="F254" s="43"/>
    </row>
    <row r="255" spans="1:6">
      <c r="A255" s="5" t="s">
        <v>127</v>
      </c>
      <c r="B255" s="38">
        <v>61.905121501094648</v>
      </c>
      <c r="C255" s="38">
        <v>0</v>
      </c>
      <c r="E255" s="43"/>
      <c r="F255" s="43"/>
    </row>
    <row r="256" spans="1:6">
      <c r="A256" s="5" t="s">
        <v>128</v>
      </c>
      <c r="B256" s="38">
        <v>57.005513450992943</v>
      </c>
      <c r="C256" s="38">
        <v>10.784588015678365</v>
      </c>
      <c r="E256" s="43"/>
      <c r="F256" s="43"/>
    </row>
    <row r="258" spans="1:28">
      <c r="A258" s="2" t="s">
        <v>162</v>
      </c>
      <c r="B258" s="4"/>
    </row>
    <row r="259" spans="1:28">
      <c r="A259" s="5" t="s">
        <v>125</v>
      </c>
      <c r="B259" s="38">
        <v>0</v>
      </c>
      <c r="E259" s="43"/>
    </row>
    <row r="260" spans="1:28">
      <c r="A260" s="5" t="s">
        <v>126</v>
      </c>
      <c r="B260" s="38">
        <v>0</v>
      </c>
      <c r="E260" s="43"/>
    </row>
    <row r="261" spans="1:28">
      <c r="A261" s="5" t="s">
        <v>127</v>
      </c>
      <c r="B261" s="38">
        <v>0</v>
      </c>
      <c r="E261" s="43"/>
    </row>
    <row r="262" spans="1:28">
      <c r="A262" s="5" t="s">
        <v>128</v>
      </c>
      <c r="B262" s="38">
        <v>0</v>
      </c>
      <c r="E262" s="43"/>
    </row>
    <row r="265" spans="1:28" ht="18.75">
      <c r="A265" s="6" t="s">
        <v>186</v>
      </c>
      <c r="B265" s="95" t="s">
        <v>288</v>
      </c>
      <c r="C265" s="95"/>
      <c r="D265" s="95"/>
      <c r="E265" s="95"/>
    </row>
    <row r="266" spans="1:28">
      <c r="B266" s="94" t="s">
        <v>173</v>
      </c>
      <c r="C266" s="94"/>
      <c r="D266" s="94"/>
      <c r="E266" s="94"/>
      <c r="G266" s="94" t="s">
        <v>290</v>
      </c>
      <c r="H266" s="94"/>
      <c r="I266" s="94"/>
      <c r="J266" s="94"/>
      <c r="K266" s="94"/>
      <c r="L266" s="94"/>
    </row>
    <row r="267" spans="1:28">
      <c r="A267" s="2" t="s">
        <v>186</v>
      </c>
      <c r="B267" s="34" t="s">
        <v>10</v>
      </c>
      <c r="C267" s="34" t="s">
        <v>11</v>
      </c>
      <c r="D267" s="34" t="s">
        <v>9</v>
      </c>
      <c r="E267" s="34" t="s">
        <v>12</v>
      </c>
      <c r="G267" s="34" t="s">
        <v>13</v>
      </c>
      <c r="H267" s="34" t="s">
        <v>14</v>
      </c>
      <c r="I267" s="34" t="s">
        <v>15</v>
      </c>
      <c r="J267" s="34" t="s">
        <v>16</v>
      </c>
      <c r="K267" s="34" t="s">
        <v>17</v>
      </c>
      <c r="L267" s="34" t="s">
        <v>18</v>
      </c>
    </row>
    <row r="268" spans="1:28">
      <c r="A268" s="1" t="s">
        <v>176</v>
      </c>
    </row>
    <row r="269" spans="1:28">
      <c r="A269" s="5" t="s">
        <v>187</v>
      </c>
      <c r="B269" s="38">
        <v>7913</v>
      </c>
      <c r="C269" s="38">
        <v>7489</v>
      </c>
      <c r="D269" s="38">
        <v>8161</v>
      </c>
      <c r="E269" s="38">
        <v>10965</v>
      </c>
      <c r="F269" s="39"/>
      <c r="G269" s="44"/>
      <c r="H269" s="44"/>
      <c r="I269" s="44"/>
      <c r="J269" s="44"/>
      <c r="K269" s="44"/>
      <c r="L269" s="44"/>
    </row>
    <row r="270" spans="1:28">
      <c r="A270" s="5" t="s">
        <v>199</v>
      </c>
      <c r="B270" s="38">
        <v>824</v>
      </c>
      <c r="C270" s="38">
        <v>553</v>
      </c>
      <c r="D270" s="38">
        <v>251</v>
      </c>
      <c r="E270" s="38">
        <v>591</v>
      </c>
      <c r="F270" s="39"/>
      <c r="G270" s="38">
        <v>250</v>
      </c>
      <c r="H270" s="38">
        <v>250</v>
      </c>
      <c r="I270" s="38">
        <v>250</v>
      </c>
      <c r="J270" s="38">
        <v>250</v>
      </c>
      <c r="K270" s="38">
        <v>250</v>
      </c>
      <c r="L270" s="38">
        <v>250</v>
      </c>
      <c r="M270" s="39"/>
      <c r="N270" s="39"/>
      <c r="O270" s="39"/>
      <c r="P270" s="39"/>
      <c r="Q270" s="39"/>
      <c r="R270" s="39"/>
      <c r="S270" s="39"/>
      <c r="T270" s="39"/>
      <c r="U270" s="39"/>
      <c r="V270" s="39"/>
      <c r="W270" s="39"/>
      <c r="X270" s="39"/>
      <c r="Y270" s="39"/>
      <c r="Z270" s="39"/>
      <c r="AA270" s="39"/>
      <c r="AB270" s="39"/>
    </row>
    <row r="271" spans="1:28">
      <c r="A271" s="1" t="s">
        <v>189</v>
      </c>
      <c r="F271" s="39"/>
      <c r="M271" s="39"/>
      <c r="N271" s="39"/>
      <c r="O271" s="39"/>
      <c r="P271" s="39"/>
      <c r="Q271" s="39"/>
      <c r="R271" s="39"/>
      <c r="S271" s="39"/>
      <c r="T271" s="39"/>
      <c r="U271" s="39"/>
      <c r="V271" s="39"/>
    </row>
    <row r="272" spans="1:28">
      <c r="A272" s="5" t="s">
        <v>177</v>
      </c>
      <c r="B272" s="38">
        <v>7248</v>
      </c>
      <c r="C272" s="38">
        <v>8224</v>
      </c>
      <c r="D272" s="38">
        <v>8774</v>
      </c>
      <c r="E272" s="38">
        <v>8589</v>
      </c>
      <c r="F272" s="39"/>
      <c r="G272" s="44"/>
      <c r="H272" s="44"/>
      <c r="I272" s="44"/>
      <c r="J272" s="44"/>
      <c r="K272" s="44"/>
      <c r="L272" s="44"/>
      <c r="M272" s="39"/>
      <c r="N272" s="39"/>
      <c r="O272" s="39"/>
      <c r="P272" s="39"/>
      <c r="Q272" s="39"/>
      <c r="R272" s="39"/>
      <c r="S272" s="39"/>
      <c r="T272" s="39"/>
      <c r="U272" s="39"/>
      <c r="V272" s="39"/>
    </row>
    <row r="273" spans="1:22">
      <c r="A273" s="5" t="s">
        <v>200</v>
      </c>
      <c r="B273" s="38">
        <v>11998</v>
      </c>
      <c r="C273" s="38">
        <v>4324</v>
      </c>
      <c r="D273" s="38">
        <v>5377</v>
      </c>
      <c r="E273" s="38">
        <v>8004</v>
      </c>
      <c r="F273" s="39"/>
      <c r="G273" s="38">
        <v>0</v>
      </c>
      <c r="H273" s="38">
        <v>0</v>
      </c>
      <c r="I273" s="38">
        <v>0</v>
      </c>
      <c r="J273" s="38">
        <v>0</v>
      </c>
      <c r="K273" s="38">
        <v>0</v>
      </c>
      <c r="L273" s="38">
        <v>0</v>
      </c>
      <c r="M273" s="39"/>
      <c r="N273" s="39"/>
      <c r="O273" s="39"/>
      <c r="P273" s="39"/>
      <c r="Q273" s="39"/>
      <c r="R273" s="39"/>
      <c r="S273" s="39"/>
      <c r="T273" s="39"/>
      <c r="U273" s="39"/>
      <c r="V273" s="39"/>
    </row>
    <row r="274" spans="1:22">
      <c r="A274" s="5" t="s">
        <v>197</v>
      </c>
      <c r="B274" s="38">
        <v>0</v>
      </c>
      <c r="C274" s="38">
        <v>4950</v>
      </c>
      <c r="D274" s="38">
        <v>0</v>
      </c>
      <c r="E274" s="38">
        <v>0</v>
      </c>
      <c r="F274" s="39"/>
      <c r="G274" s="38">
        <v>4500</v>
      </c>
      <c r="H274" s="38">
        <v>0</v>
      </c>
      <c r="I274" s="38">
        <v>0</v>
      </c>
      <c r="J274" s="38">
        <v>0</v>
      </c>
      <c r="K274" s="38">
        <v>0</v>
      </c>
      <c r="L274" s="38">
        <v>0</v>
      </c>
      <c r="M274" s="39"/>
      <c r="N274" s="39"/>
      <c r="O274" s="39"/>
      <c r="P274" s="39"/>
      <c r="Q274" s="39"/>
      <c r="R274" s="39"/>
      <c r="S274" s="39"/>
      <c r="T274" s="39"/>
      <c r="U274" s="39"/>
      <c r="V274" s="39"/>
    </row>
    <row r="275" spans="1:22">
      <c r="A275" s="5" t="s">
        <v>190</v>
      </c>
      <c r="B275" s="38">
        <v>0</v>
      </c>
      <c r="C275" s="38">
        <v>1343</v>
      </c>
      <c r="D275" s="38">
        <v>0</v>
      </c>
      <c r="E275" s="38">
        <v>0</v>
      </c>
      <c r="F275" s="39"/>
      <c r="G275" s="38">
        <v>0</v>
      </c>
      <c r="H275" s="38">
        <v>0</v>
      </c>
      <c r="I275" s="38">
        <v>0</v>
      </c>
      <c r="J275" s="38">
        <v>0</v>
      </c>
      <c r="K275" s="38">
        <v>0</v>
      </c>
      <c r="L275" s="38">
        <v>0</v>
      </c>
      <c r="M275" s="39"/>
      <c r="N275" s="39"/>
      <c r="O275" s="39"/>
      <c r="P275" s="39"/>
      <c r="Q275" s="39"/>
      <c r="R275" s="39"/>
      <c r="S275" s="39"/>
      <c r="T275" s="39"/>
      <c r="U275" s="39"/>
      <c r="V275" s="39"/>
    </row>
    <row r="276" spans="1:22">
      <c r="A276" s="5" t="s">
        <v>178</v>
      </c>
      <c r="B276" s="38">
        <v>1758</v>
      </c>
      <c r="C276" s="38">
        <v>864</v>
      </c>
      <c r="D276" s="38">
        <v>7364</v>
      </c>
      <c r="E276" s="38">
        <v>247</v>
      </c>
      <c r="F276" s="39"/>
      <c r="G276" s="44"/>
      <c r="H276" s="44"/>
      <c r="I276" s="44"/>
      <c r="J276" s="44"/>
      <c r="K276" s="44"/>
      <c r="L276" s="44"/>
      <c r="M276" s="39"/>
      <c r="N276" s="39"/>
      <c r="O276" s="39"/>
      <c r="P276" s="39"/>
      <c r="Q276" s="39"/>
      <c r="R276" s="39"/>
      <c r="S276" s="39"/>
      <c r="T276" s="39"/>
      <c r="U276" s="39"/>
      <c r="V276" s="39"/>
    </row>
    <row r="277" spans="1:22">
      <c r="A277" s="1" t="s">
        <v>191</v>
      </c>
      <c r="F277" s="39"/>
      <c r="M277" s="39"/>
      <c r="N277" s="39"/>
      <c r="O277" s="39"/>
      <c r="P277" s="39"/>
      <c r="Q277" s="39"/>
      <c r="R277" s="39"/>
      <c r="S277" s="39"/>
      <c r="T277" s="39"/>
      <c r="U277" s="39"/>
      <c r="V277" s="39"/>
    </row>
    <row r="278" spans="1:22">
      <c r="A278" s="5" t="s">
        <v>179</v>
      </c>
      <c r="B278" s="38">
        <v>0</v>
      </c>
      <c r="C278" s="38">
        <v>0</v>
      </c>
      <c r="D278" s="38">
        <v>0</v>
      </c>
      <c r="E278" s="38">
        <v>0</v>
      </c>
      <c r="F278" s="39"/>
      <c r="G278" s="38">
        <v>0</v>
      </c>
      <c r="H278" s="38">
        <v>0</v>
      </c>
      <c r="I278" s="38">
        <v>0</v>
      </c>
      <c r="J278" s="38">
        <v>0</v>
      </c>
      <c r="K278" s="38">
        <v>0</v>
      </c>
      <c r="L278" s="38">
        <v>0</v>
      </c>
      <c r="M278" s="39"/>
      <c r="N278" s="39"/>
      <c r="O278" s="39"/>
      <c r="P278" s="39"/>
      <c r="Q278" s="39"/>
      <c r="R278" s="39"/>
      <c r="S278" s="39"/>
      <c r="T278" s="39"/>
      <c r="U278" s="39"/>
      <c r="V278" s="39"/>
    </row>
    <row r="279" spans="1:22">
      <c r="A279" s="5" t="s">
        <v>654</v>
      </c>
      <c r="B279" s="38">
        <v>0</v>
      </c>
      <c r="C279" s="38">
        <v>0</v>
      </c>
      <c r="D279" s="38">
        <v>0</v>
      </c>
      <c r="E279" s="38">
        <v>0</v>
      </c>
      <c r="F279" s="39"/>
      <c r="G279" s="38">
        <v>0</v>
      </c>
      <c r="H279" s="38">
        <v>0</v>
      </c>
      <c r="I279" s="38">
        <v>0</v>
      </c>
      <c r="J279" s="38">
        <v>0</v>
      </c>
      <c r="K279" s="38">
        <v>0</v>
      </c>
      <c r="L279" s="38">
        <v>0</v>
      </c>
      <c r="M279" s="39"/>
      <c r="N279" s="39"/>
      <c r="O279" s="39"/>
      <c r="P279" s="39"/>
      <c r="Q279" s="39"/>
      <c r="R279" s="39"/>
      <c r="S279" s="39"/>
      <c r="T279" s="39"/>
      <c r="U279" s="39"/>
      <c r="V279" s="39"/>
    </row>
    <row r="280" spans="1:22">
      <c r="A280" s="5" t="s">
        <v>192</v>
      </c>
      <c r="B280" s="38">
        <v>-557</v>
      </c>
      <c r="C280" s="38">
        <v>-439</v>
      </c>
      <c r="D280" s="38">
        <v>-233</v>
      </c>
      <c r="E280" s="38">
        <v>-77</v>
      </c>
      <c r="F280" s="39"/>
      <c r="G280" s="38">
        <v>-120</v>
      </c>
      <c r="H280" s="38">
        <v>-120</v>
      </c>
      <c r="I280" s="38">
        <v>-120</v>
      </c>
      <c r="J280" s="38">
        <v>-120</v>
      </c>
      <c r="K280" s="38">
        <v>-120</v>
      </c>
      <c r="L280" s="38">
        <v>-120</v>
      </c>
      <c r="M280" s="39"/>
      <c r="N280" s="39"/>
      <c r="O280" s="39"/>
      <c r="P280" s="39"/>
      <c r="Q280" s="39"/>
      <c r="R280" s="39"/>
      <c r="S280" s="39"/>
      <c r="T280" s="39"/>
      <c r="U280" s="39"/>
      <c r="V280" s="39"/>
    </row>
    <row r="281" spans="1:22">
      <c r="A281" s="5" t="s">
        <v>193</v>
      </c>
      <c r="B281" s="38">
        <v>-2237</v>
      </c>
      <c r="C281" s="38">
        <v>3096</v>
      </c>
      <c r="D281" s="38">
        <v>3596</v>
      </c>
      <c r="E281" s="38">
        <v>7722</v>
      </c>
      <c r="F281" s="39"/>
      <c r="G281" s="44"/>
      <c r="H281" s="44"/>
      <c r="I281" s="44"/>
      <c r="J281" s="44"/>
      <c r="K281" s="44"/>
      <c r="L281" s="44"/>
      <c r="M281" s="39"/>
      <c r="N281" s="39"/>
      <c r="O281" s="39"/>
      <c r="P281" s="39"/>
      <c r="Q281" s="39"/>
      <c r="R281" s="39"/>
      <c r="S281" s="39"/>
      <c r="T281" s="39"/>
      <c r="U281" s="39"/>
      <c r="V281" s="39"/>
    </row>
    <row r="282" spans="1:22">
      <c r="A282" s="1" t="s">
        <v>180</v>
      </c>
      <c r="F282" s="39"/>
      <c r="M282" s="39"/>
      <c r="N282" s="39"/>
      <c r="O282" s="39"/>
      <c r="P282" s="39"/>
      <c r="Q282" s="39"/>
      <c r="R282" s="39"/>
      <c r="S282" s="39"/>
      <c r="T282" s="39"/>
      <c r="U282" s="39"/>
      <c r="V282" s="39"/>
    </row>
    <row r="283" spans="1:22">
      <c r="A283" s="5" t="s">
        <v>194</v>
      </c>
      <c r="B283" s="38">
        <v>743</v>
      </c>
      <c r="C283" s="38">
        <v>570</v>
      </c>
      <c r="D283" s="38">
        <v>291</v>
      </c>
      <c r="E283" s="38">
        <v>97</v>
      </c>
      <c r="F283" s="39"/>
      <c r="G283" s="38">
        <v>97</v>
      </c>
      <c r="H283" s="38">
        <v>97</v>
      </c>
      <c r="I283" s="38">
        <v>97</v>
      </c>
      <c r="J283" s="38">
        <v>97</v>
      </c>
      <c r="K283" s="38">
        <v>97</v>
      </c>
      <c r="L283" s="38">
        <v>97</v>
      </c>
      <c r="M283" s="39"/>
      <c r="N283" s="39"/>
      <c r="O283" s="39"/>
      <c r="P283" s="39"/>
      <c r="Q283" s="39"/>
      <c r="R283" s="39"/>
      <c r="S283" s="39"/>
      <c r="T283" s="39"/>
      <c r="U283" s="39"/>
      <c r="V283" s="39"/>
    </row>
    <row r="284" spans="1:22">
      <c r="A284" s="5" t="s">
        <v>181</v>
      </c>
      <c r="B284" s="38">
        <v>13176</v>
      </c>
      <c r="C284" s="38">
        <v>8568</v>
      </c>
      <c r="D284" s="38">
        <v>3168</v>
      </c>
      <c r="E284" s="38">
        <v>0</v>
      </c>
      <c r="F284" s="39"/>
      <c r="G284" s="38">
        <v>0</v>
      </c>
      <c r="H284" s="38">
        <v>3000</v>
      </c>
      <c r="I284" s="38">
        <v>8000</v>
      </c>
      <c r="J284" s="38">
        <v>18000</v>
      </c>
      <c r="K284" s="38">
        <v>15000</v>
      </c>
      <c r="L284" s="38">
        <v>11000</v>
      </c>
      <c r="M284" s="39"/>
      <c r="N284" s="39"/>
      <c r="O284" s="39"/>
      <c r="P284" s="39"/>
      <c r="Q284" s="39"/>
      <c r="R284" s="39"/>
      <c r="S284" s="39"/>
      <c r="T284" s="39"/>
      <c r="U284" s="39"/>
      <c r="V284" s="39"/>
    </row>
    <row r="285" spans="1:22">
      <c r="A285" s="5" t="s">
        <v>195</v>
      </c>
      <c r="B285" s="38">
        <v>525</v>
      </c>
      <c r="C285" s="38">
        <v>152</v>
      </c>
      <c r="D285" s="38">
        <v>0</v>
      </c>
      <c r="E285" s="38">
        <v>0</v>
      </c>
      <c r="F285" s="39"/>
      <c r="G285" s="38">
        <v>0</v>
      </c>
      <c r="H285" s="38">
        <v>0</v>
      </c>
      <c r="I285" s="38">
        <v>0</v>
      </c>
      <c r="J285" s="38">
        <v>0</v>
      </c>
      <c r="K285" s="38">
        <v>0</v>
      </c>
      <c r="L285" s="38">
        <v>0</v>
      </c>
      <c r="M285" s="39"/>
      <c r="N285" s="39"/>
      <c r="O285" s="39"/>
      <c r="P285" s="39"/>
      <c r="Q285" s="39"/>
      <c r="R285" s="39"/>
      <c r="S285" s="39"/>
      <c r="T285" s="39"/>
      <c r="U285" s="39"/>
      <c r="V285" s="39"/>
    </row>
    <row r="286" spans="1:22">
      <c r="A286" s="5" t="s">
        <v>54</v>
      </c>
      <c r="B286" s="38">
        <v>0</v>
      </c>
      <c r="C286" s="38">
        <v>557</v>
      </c>
      <c r="D286" s="38">
        <v>944</v>
      </c>
      <c r="E286" s="38">
        <v>1872</v>
      </c>
      <c r="F286" s="39"/>
      <c r="G286" s="38">
        <v>1022</v>
      </c>
      <c r="H286" s="38">
        <v>1022</v>
      </c>
      <c r="I286" s="38">
        <v>1022</v>
      </c>
      <c r="J286" s="38">
        <v>1022</v>
      </c>
      <c r="K286" s="38">
        <v>1022</v>
      </c>
      <c r="L286" s="38">
        <v>1022</v>
      </c>
      <c r="M286" s="39"/>
      <c r="N286" s="39"/>
      <c r="O286" s="39"/>
      <c r="P286" s="39"/>
      <c r="Q286" s="39"/>
      <c r="R286" s="39"/>
      <c r="S286" s="39"/>
      <c r="T286" s="39"/>
      <c r="U286" s="39"/>
      <c r="V286" s="39"/>
    </row>
    <row r="287" spans="1:22">
      <c r="A287" s="1" t="s">
        <v>196</v>
      </c>
      <c r="F287" s="39"/>
      <c r="M287" s="39"/>
      <c r="N287" s="39"/>
      <c r="O287" s="39"/>
      <c r="P287" s="39"/>
      <c r="Q287" s="39"/>
      <c r="R287" s="39"/>
      <c r="S287" s="39"/>
      <c r="T287" s="39"/>
      <c r="U287" s="39"/>
      <c r="V287" s="39"/>
    </row>
    <row r="288" spans="1:22">
      <c r="A288" s="5" t="s">
        <v>183</v>
      </c>
      <c r="B288" s="38">
        <v>7247</v>
      </c>
      <c r="C288" s="38">
        <v>7821</v>
      </c>
      <c r="D288" s="38">
        <v>8578</v>
      </c>
      <c r="E288" s="38">
        <v>7925</v>
      </c>
      <c r="F288" s="39"/>
      <c r="G288" s="44"/>
      <c r="H288" s="44"/>
      <c r="I288" s="44"/>
      <c r="J288" s="44"/>
      <c r="K288" s="44"/>
      <c r="L288" s="44"/>
      <c r="M288" s="39"/>
      <c r="N288" s="39"/>
      <c r="O288" s="39"/>
      <c r="P288" s="39"/>
      <c r="Q288" s="39"/>
      <c r="R288" s="39"/>
      <c r="S288" s="39"/>
      <c r="T288" s="39"/>
      <c r="U288" s="39"/>
      <c r="V288" s="39"/>
    </row>
    <row r="289" spans="1:22">
      <c r="A289" s="5" t="s">
        <v>201</v>
      </c>
      <c r="B289" s="38">
        <v>4069</v>
      </c>
      <c r="C289" s="38">
        <v>5814</v>
      </c>
      <c r="D289" s="38">
        <v>5563</v>
      </c>
      <c r="E289" s="38">
        <v>7472</v>
      </c>
      <c r="F289" s="39"/>
      <c r="G289" s="38">
        <v>0</v>
      </c>
      <c r="H289" s="38">
        <v>0</v>
      </c>
      <c r="I289" s="38">
        <v>0</v>
      </c>
      <c r="J289" s="38">
        <v>0</v>
      </c>
      <c r="K289" s="38">
        <v>0</v>
      </c>
      <c r="L289" s="38">
        <v>0</v>
      </c>
      <c r="M289" s="39"/>
      <c r="N289" s="39"/>
      <c r="O289" s="39"/>
      <c r="P289" s="39"/>
      <c r="Q289" s="39"/>
      <c r="R289" s="39"/>
      <c r="S289" s="39"/>
      <c r="T289" s="39"/>
      <c r="U289" s="39"/>
      <c r="V289" s="39"/>
    </row>
    <row r="290" spans="1:22">
      <c r="A290" s="5" t="s">
        <v>198</v>
      </c>
      <c r="B290" s="38">
        <v>4395</v>
      </c>
      <c r="C290" s="38">
        <v>0</v>
      </c>
      <c r="D290" s="38">
        <v>5191</v>
      </c>
      <c r="E290" s="38">
        <v>0</v>
      </c>
      <c r="F290" s="39"/>
      <c r="G290" s="38">
        <v>0</v>
      </c>
      <c r="H290" s="38">
        <v>0</v>
      </c>
      <c r="I290" s="38">
        <v>0</v>
      </c>
      <c r="J290" s="38">
        <v>0</v>
      </c>
      <c r="K290" s="38">
        <v>0</v>
      </c>
      <c r="L290" s="38">
        <v>0</v>
      </c>
      <c r="M290" s="39"/>
      <c r="N290" s="39"/>
      <c r="O290" s="39"/>
      <c r="P290" s="39"/>
      <c r="Q290" s="39"/>
      <c r="R290" s="39"/>
      <c r="S290" s="39"/>
      <c r="T290" s="39"/>
      <c r="U290" s="39"/>
      <c r="V290" s="39"/>
    </row>
    <row r="291" spans="1:22">
      <c r="A291" s="5" t="s">
        <v>184</v>
      </c>
      <c r="B291" s="38">
        <v>772</v>
      </c>
      <c r="C291" s="38">
        <v>0</v>
      </c>
      <c r="D291" s="38">
        <v>429</v>
      </c>
      <c r="E291" s="38">
        <v>217</v>
      </c>
      <c r="F291" s="39"/>
      <c r="G291" s="38">
        <v>720</v>
      </c>
      <c r="H291" s="38">
        <v>720</v>
      </c>
      <c r="I291" s="38">
        <v>720</v>
      </c>
      <c r="J291" s="38">
        <v>720</v>
      </c>
      <c r="K291" s="38">
        <v>720</v>
      </c>
      <c r="L291" s="38">
        <v>720</v>
      </c>
      <c r="M291" s="39"/>
      <c r="N291" s="39"/>
      <c r="O291" s="39"/>
      <c r="P291" s="39"/>
      <c r="Q291" s="39"/>
      <c r="R291" s="39"/>
      <c r="S291" s="39"/>
      <c r="T291" s="39"/>
      <c r="U291" s="39"/>
      <c r="V291" s="39"/>
    </row>
    <row r="292" spans="1:22">
      <c r="A292" s="5" t="s">
        <v>181</v>
      </c>
      <c r="B292" s="38">
        <v>1608</v>
      </c>
      <c r="C292" s="38">
        <v>1608</v>
      </c>
      <c r="D292" s="38">
        <v>2400</v>
      </c>
      <c r="E292" s="38">
        <v>3168</v>
      </c>
      <c r="F292" s="39"/>
      <c r="G292" s="38">
        <v>3000</v>
      </c>
      <c r="H292" s="38">
        <v>0</v>
      </c>
      <c r="I292" s="38">
        <v>0</v>
      </c>
      <c r="J292" s="38">
        <v>0</v>
      </c>
      <c r="K292" s="38">
        <v>0</v>
      </c>
      <c r="L292" s="38">
        <v>0</v>
      </c>
      <c r="M292" s="39"/>
      <c r="N292" s="39"/>
      <c r="O292" s="39"/>
      <c r="P292" s="39"/>
      <c r="Q292" s="39"/>
      <c r="R292" s="39"/>
      <c r="S292" s="39"/>
      <c r="T292" s="39"/>
      <c r="U292" s="39"/>
      <c r="V292" s="39"/>
    </row>
    <row r="293" spans="1:22">
      <c r="C293" s="39"/>
      <c r="D293" s="39"/>
      <c r="F293" s="39"/>
      <c r="N293" s="39"/>
      <c r="O293" s="39"/>
      <c r="P293" s="39"/>
      <c r="Q293" s="39"/>
      <c r="R293" s="39"/>
      <c r="S293" s="39"/>
      <c r="T293" s="39"/>
      <c r="U293" s="39"/>
      <c r="V293" s="39"/>
    </row>
    <row r="294" spans="1:22" ht="18.75">
      <c r="A294" s="6" t="s">
        <v>235</v>
      </c>
      <c r="B294" s="95"/>
      <c r="C294" s="95"/>
      <c r="D294" s="95"/>
      <c r="E294" s="95"/>
      <c r="F294" s="39"/>
      <c r="G294" s="39"/>
      <c r="H294" s="39"/>
      <c r="M294" s="39"/>
      <c r="N294" s="39"/>
      <c r="O294" s="39"/>
      <c r="P294" s="39"/>
      <c r="Q294" s="39"/>
      <c r="R294" s="39"/>
      <c r="S294" s="39"/>
      <c r="T294" s="39"/>
      <c r="U294" s="39"/>
      <c r="V294" s="39"/>
    </row>
    <row r="295" spans="1:22">
      <c r="B295" s="94" t="s">
        <v>290</v>
      </c>
      <c r="C295" s="94"/>
      <c r="D295" s="94"/>
      <c r="E295" s="94"/>
      <c r="G295" s="94" t="s">
        <v>290</v>
      </c>
      <c r="H295" s="94"/>
      <c r="I295" s="94"/>
      <c r="J295" s="94"/>
      <c r="K295" s="94"/>
      <c r="L295" s="94"/>
      <c r="M295" s="39"/>
      <c r="N295" s="39"/>
      <c r="O295" s="39"/>
      <c r="P295" s="39"/>
      <c r="Q295" s="39"/>
      <c r="R295" s="39"/>
      <c r="S295" s="39"/>
      <c r="T295" s="39"/>
      <c r="U295" s="39"/>
      <c r="V295" s="39"/>
    </row>
    <row r="296" spans="1:22">
      <c r="A296" s="45"/>
      <c r="B296" s="34" t="s">
        <v>10</v>
      </c>
      <c r="C296" s="34" t="s">
        <v>11</v>
      </c>
      <c r="D296" s="34" t="s">
        <v>9</v>
      </c>
      <c r="E296" s="34" t="s">
        <v>12</v>
      </c>
      <c r="G296" s="34" t="s">
        <v>13</v>
      </c>
      <c r="H296" s="34" t="s">
        <v>14</v>
      </c>
      <c r="I296" s="34" t="s">
        <v>15</v>
      </c>
      <c r="J296" s="34" t="s">
        <v>16</v>
      </c>
      <c r="K296" s="34" t="s">
        <v>17</v>
      </c>
      <c r="L296" s="34" t="s">
        <v>18</v>
      </c>
      <c r="M296" s="39"/>
      <c r="N296" s="39"/>
      <c r="O296" s="39"/>
      <c r="P296" s="39"/>
      <c r="Q296" s="39"/>
      <c r="R296" s="39"/>
      <c r="S296" s="39"/>
      <c r="T296" s="39"/>
      <c r="U296" s="39"/>
      <c r="V296" s="39"/>
    </row>
    <row r="297" spans="1:22">
      <c r="A297" s="24"/>
      <c r="B297" s="46"/>
      <c r="C297" s="46"/>
      <c r="D297" s="46"/>
      <c r="E297" s="46"/>
      <c r="M297" s="39"/>
      <c r="N297" s="39"/>
      <c r="O297" s="39"/>
      <c r="P297" s="39"/>
      <c r="Q297" s="39"/>
      <c r="R297" s="39"/>
      <c r="S297" s="39"/>
      <c r="T297" s="39"/>
      <c r="U297" s="39"/>
      <c r="V297" s="39"/>
    </row>
    <row r="298" spans="1:22">
      <c r="A298" s="15" t="s">
        <v>206</v>
      </c>
      <c r="B298" s="38">
        <v>72</v>
      </c>
      <c r="C298" s="38">
        <v>-68</v>
      </c>
      <c r="D298" s="38">
        <v>63</v>
      </c>
      <c r="E298" s="38">
        <v>1021</v>
      </c>
      <c r="G298" s="38">
        <v>73</v>
      </c>
      <c r="H298" s="38">
        <v>0</v>
      </c>
      <c r="I298" s="38">
        <v>0</v>
      </c>
      <c r="J298" s="38">
        <v>0</v>
      </c>
      <c r="K298" s="38">
        <v>0</v>
      </c>
      <c r="L298" s="38">
        <v>0</v>
      </c>
      <c r="M298" s="39"/>
      <c r="N298" s="39"/>
      <c r="O298" s="39"/>
      <c r="P298" s="39"/>
      <c r="Q298" s="39"/>
      <c r="R298" s="39"/>
      <c r="S298" s="39"/>
      <c r="T298" s="39"/>
      <c r="U298" s="39"/>
      <c r="V298" s="39"/>
    </row>
    <row r="299" spans="1:22">
      <c r="A299" s="15" t="s">
        <v>640</v>
      </c>
      <c r="B299" s="38">
        <v>10689</v>
      </c>
      <c r="C299" s="38">
        <v>-2049</v>
      </c>
      <c r="D299" s="38">
        <v>1795</v>
      </c>
      <c r="E299" s="38">
        <v>-349</v>
      </c>
      <c r="G299" s="38">
        <v>1280.6526491082504</v>
      </c>
      <c r="H299" s="38">
        <v>0</v>
      </c>
      <c r="I299" s="38">
        <v>0</v>
      </c>
      <c r="J299" s="38">
        <v>0</v>
      </c>
      <c r="K299" s="38">
        <v>0</v>
      </c>
      <c r="L299" s="38">
        <v>0</v>
      </c>
      <c r="M299" s="39"/>
      <c r="N299" s="39"/>
      <c r="O299" s="39"/>
      <c r="P299" s="39"/>
      <c r="Q299" s="39"/>
      <c r="R299" s="39"/>
      <c r="S299" s="39"/>
      <c r="T299" s="39"/>
      <c r="U299" s="39"/>
      <c r="V299" s="39"/>
    </row>
    <row r="300" spans="1:22">
      <c r="A300" s="15" t="s">
        <v>208</v>
      </c>
      <c r="B300" s="38">
        <v>96</v>
      </c>
      <c r="C300" s="38">
        <v>345</v>
      </c>
      <c r="D300" s="38">
        <v>506</v>
      </c>
      <c r="E300" s="38">
        <v>670</v>
      </c>
      <c r="G300" s="40"/>
      <c r="H300" s="40"/>
      <c r="I300" s="40"/>
      <c r="J300" s="40"/>
      <c r="K300" s="40"/>
      <c r="L300" s="40"/>
      <c r="M300" s="39"/>
      <c r="N300" s="39"/>
      <c r="O300" s="39"/>
      <c r="P300" s="39"/>
      <c r="Q300" s="39"/>
      <c r="R300" s="39"/>
      <c r="S300" s="39"/>
      <c r="T300" s="39"/>
      <c r="U300" s="39"/>
      <c r="V300" s="39"/>
    </row>
    <row r="301" spans="1:22">
      <c r="A301" s="15" t="s">
        <v>209</v>
      </c>
      <c r="B301" s="38">
        <v>-799</v>
      </c>
      <c r="C301" s="38">
        <v>-1277</v>
      </c>
      <c r="D301" s="38">
        <v>-1050</v>
      </c>
      <c r="E301" s="38">
        <v>-1157</v>
      </c>
      <c r="G301" s="40"/>
      <c r="H301" s="40"/>
      <c r="I301" s="40"/>
      <c r="J301" s="40"/>
      <c r="K301" s="40"/>
      <c r="L301" s="40"/>
      <c r="M301" s="39"/>
      <c r="N301" s="39"/>
      <c r="O301" s="39"/>
      <c r="P301" s="39"/>
      <c r="Q301" s="39"/>
      <c r="R301" s="39"/>
      <c r="S301" s="39"/>
      <c r="T301" s="39"/>
      <c r="U301" s="39"/>
      <c r="V301" s="39"/>
    </row>
    <row r="302" spans="1:22">
      <c r="A302" s="15" t="s">
        <v>210</v>
      </c>
      <c r="B302" s="38">
        <v>-429</v>
      </c>
      <c r="C302" s="38">
        <v>-901</v>
      </c>
      <c r="D302" s="38">
        <v>-1700</v>
      </c>
      <c r="E302" s="38">
        <v>-509</v>
      </c>
      <c r="G302" s="40"/>
      <c r="H302" s="40"/>
      <c r="I302" s="40"/>
      <c r="J302" s="40"/>
      <c r="K302" s="40"/>
      <c r="L302" s="40"/>
      <c r="M302" s="39"/>
      <c r="N302" s="39"/>
      <c r="O302" s="39"/>
      <c r="P302" s="39"/>
      <c r="Q302" s="39"/>
      <c r="R302" s="39"/>
      <c r="S302" s="39"/>
      <c r="T302" s="39"/>
      <c r="U302" s="39"/>
      <c r="V302" s="39"/>
    </row>
    <row r="303" spans="1:22">
      <c r="A303" s="24" t="s">
        <v>275</v>
      </c>
      <c r="M303" s="39"/>
      <c r="N303" s="39"/>
      <c r="O303" s="39"/>
      <c r="P303" s="39"/>
      <c r="Q303" s="39"/>
      <c r="R303" s="39"/>
      <c r="S303" s="39"/>
      <c r="T303" s="39"/>
      <c r="U303" s="39"/>
      <c r="V303" s="39"/>
    </row>
    <row r="304" spans="1:22">
      <c r="A304" s="15" t="s">
        <v>213</v>
      </c>
      <c r="B304" s="38">
        <v>366</v>
      </c>
      <c r="C304" s="38">
        <v>1309</v>
      </c>
      <c r="D304" s="38">
        <v>2567</v>
      </c>
      <c r="E304" s="38">
        <v>4697</v>
      </c>
      <c r="G304" s="40"/>
      <c r="H304" s="40"/>
      <c r="I304" s="40"/>
      <c r="J304" s="40"/>
      <c r="K304" s="40"/>
      <c r="L304" s="40"/>
      <c r="M304" s="39"/>
      <c r="N304" s="39"/>
      <c r="O304" s="39"/>
      <c r="P304" s="39"/>
      <c r="Q304" s="39"/>
      <c r="R304" s="39"/>
      <c r="S304" s="39"/>
      <c r="T304" s="39"/>
      <c r="U304" s="39"/>
      <c r="V304" s="39"/>
    </row>
    <row r="305" spans="1:22">
      <c r="A305" s="15" t="s">
        <v>276</v>
      </c>
      <c r="B305" s="38">
        <v>0</v>
      </c>
      <c r="C305" s="38">
        <v>0</v>
      </c>
      <c r="D305" s="38">
        <v>0</v>
      </c>
      <c r="E305" s="38">
        <v>0</v>
      </c>
      <c r="M305" s="39"/>
      <c r="N305" s="39"/>
      <c r="O305" s="39"/>
      <c r="P305" s="39"/>
      <c r="Q305" s="39"/>
      <c r="R305" s="39"/>
      <c r="S305" s="39"/>
      <c r="T305" s="39"/>
      <c r="U305" s="39"/>
      <c r="V305" s="39"/>
    </row>
    <row r="306" spans="1:22">
      <c r="A306" s="10" t="s">
        <v>214</v>
      </c>
      <c r="M306" s="39"/>
      <c r="N306" s="39"/>
      <c r="O306" s="39"/>
      <c r="P306" s="39"/>
      <c r="Q306" s="39"/>
      <c r="R306" s="39"/>
      <c r="S306" s="39"/>
      <c r="T306" s="39"/>
      <c r="U306" s="39"/>
      <c r="V306" s="39"/>
    </row>
    <row r="307" spans="1:22">
      <c r="A307" s="15" t="s">
        <v>215</v>
      </c>
      <c r="B307" s="38">
        <v>6000</v>
      </c>
      <c r="C307" s="38">
        <v>9000</v>
      </c>
      <c r="D307" s="38">
        <v>0</v>
      </c>
      <c r="E307" s="38">
        <v>2250</v>
      </c>
      <c r="G307" s="40"/>
      <c r="H307" s="40"/>
      <c r="I307" s="40"/>
      <c r="J307" s="40"/>
      <c r="K307" s="40"/>
      <c r="L307" s="40"/>
      <c r="M307" s="39"/>
      <c r="N307" s="39"/>
      <c r="O307" s="39"/>
      <c r="P307" s="39"/>
      <c r="Q307" s="39"/>
      <c r="R307" s="39"/>
      <c r="S307" s="39"/>
      <c r="T307" s="39"/>
      <c r="U307" s="39"/>
      <c r="V307" s="39"/>
    </row>
    <row r="308" spans="1:22">
      <c r="A308" s="15" t="s">
        <v>216</v>
      </c>
      <c r="B308" s="38">
        <v>4608</v>
      </c>
      <c r="C308" s="38">
        <v>13608</v>
      </c>
      <c r="D308" s="38">
        <v>4608</v>
      </c>
      <c r="E308" s="38">
        <v>4650</v>
      </c>
      <c r="G308" s="40"/>
      <c r="H308" s="40"/>
      <c r="I308" s="40"/>
      <c r="J308" s="40"/>
      <c r="K308" s="40"/>
      <c r="L308" s="40"/>
      <c r="M308" s="39"/>
      <c r="N308" s="39"/>
      <c r="O308" s="39"/>
      <c r="P308" s="39"/>
      <c r="Q308" s="39"/>
      <c r="R308" s="39"/>
      <c r="S308" s="39"/>
      <c r="T308" s="39"/>
      <c r="U308" s="39"/>
      <c r="V308" s="39"/>
    </row>
    <row r="309" spans="1:22">
      <c r="A309" s="15" t="s">
        <v>222</v>
      </c>
      <c r="B309" s="38">
        <v>0</v>
      </c>
      <c r="C309" s="38">
        <v>0</v>
      </c>
      <c r="D309" s="38">
        <v>0</v>
      </c>
      <c r="E309" s="38">
        <v>0</v>
      </c>
      <c r="G309" s="38">
        <v>0</v>
      </c>
      <c r="H309" s="38">
        <v>0</v>
      </c>
      <c r="I309" s="38">
        <v>0</v>
      </c>
      <c r="J309" s="38">
        <v>0</v>
      </c>
      <c r="K309" s="38">
        <v>0</v>
      </c>
      <c r="L309" s="38">
        <v>0</v>
      </c>
      <c r="M309" s="39"/>
      <c r="N309" s="39"/>
      <c r="O309" s="39"/>
      <c r="P309" s="39"/>
      <c r="Q309" s="39"/>
      <c r="R309" s="39"/>
      <c r="S309" s="39"/>
      <c r="T309" s="39"/>
      <c r="U309" s="39"/>
      <c r="V309" s="39"/>
    </row>
    <row r="310" spans="1:22">
      <c r="A310" s="15" t="s">
        <v>654</v>
      </c>
      <c r="B310" s="38">
        <v>0</v>
      </c>
      <c r="C310" s="40"/>
      <c r="D310" s="40"/>
      <c r="E310" s="40"/>
      <c r="F310" s="40"/>
      <c r="G310" s="40"/>
      <c r="H310" s="40"/>
      <c r="I310" s="40"/>
      <c r="J310" s="40"/>
      <c r="K310" s="40"/>
      <c r="L310" s="40"/>
      <c r="M310" s="39"/>
      <c r="N310" s="39"/>
      <c r="O310" s="39"/>
      <c r="P310" s="39"/>
      <c r="Q310" s="39"/>
      <c r="R310" s="39"/>
      <c r="S310" s="39"/>
      <c r="T310" s="39"/>
      <c r="U310" s="39"/>
      <c r="V310" s="39"/>
    </row>
    <row r="311" spans="1:22">
      <c r="A311" s="10"/>
      <c r="M311" s="39"/>
      <c r="N311" s="39"/>
      <c r="O311" s="39"/>
      <c r="P311" s="39"/>
      <c r="Q311" s="39"/>
      <c r="R311" s="39"/>
      <c r="S311" s="39"/>
      <c r="T311" s="39"/>
      <c r="U311" s="39"/>
      <c r="V311" s="39"/>
    </row>
    <row r="312" spans="1:22">
      <c r="A312" s="15" t="s">
        <v>218</v>
      </c>
      <c r="B312" s="38">
        <v>5109</v>
      </c>
      <c r="C312" s="40"/>
      <c r="D312" s="40"/>
      <c r="E312" s="40"/>
      <c r="F312" s="40"/>
      <c r="G312" s="40"/>
      <c r="H312" s="40"/>
      <c r="I312" s="40"/>
      <c r="J312" s="40"/>
      <c r="K312" s="40"/>
      <c r="L312" s="40"/>
      <c r="M312" s="39"/>
      <c r="N312" s="39"/>
      <c r="O312" s="39"/>
      <c r="P312" s="39"/>
      <c r="Q312" s="39"/>
      <c r="R312" s="39"/>
      <c r="S312" s="39"/>
      <c r="T312" s="39"/>
      <c r="U312" s="39"/>
      <c r="V312" s="39"/>
    </row>
    <row r="313" spans="1:22">
      <c r="A313" s="15" t="s">
        <v>217</v>
      </c>
      <c r="B313" s="40"/>
      <c r="C313" s="40"/>
      <c r="D313" s="40"/>
      <c r="E313" s="40"/>
      <c r="F313" s="40"/>
      <c r="G313" s="40"/>
      <c r="H313" s="40"/>
      <c r="I313" s="40"/>
      <c r="J313" s="40"/>
      <c r="K313" s="40"/>
      <c r="L313" s="40"/>
      <c r="M313" s="39"/>
      <c r="N313" s="39"/>
      <c r="O313" s="39"/>
      <c r="P313" s="39"/>
      <c r="Q313" s="39"/>
      <c r="R313" s="39"/>
      <c r="S313" s="39"/>
      <c r="T313" s="39"/>
      <c r="U313" s="39"/>
      <c r="V313" s="39"/>
    </row>
    <row r="314" spans="1:22">
      <c r="A314" s="15" t="s">
        <v>219</v>
      </c>
      <c r="B314" s="40"/>
      <c r="C314" s="40"/>
      <c r="D314" s="40"/>
      <c r="E314" s="40"/>
      <c r="F314" s="40"/>
      <c r="G314" s="40"/>
      <c r="H314" s="40"/>
      <c r="I314" s="40"/>
      <c r="J314" s="40"/>
      <c r="K314" s="40"/>
      <c r="L314" s="40"/>
      <c r="M314" s="39"/>
      <c r="N314" s="39"/>
      <c r="O314" s="39"/>
      <c r="P314" s="39"/>
      <c r="Q314" s="39"/>
      <c r="R314" s="39"/>
      <c r="S314" s="39"/>
      <c r="T314" s="39"/>
      <c r="U314" s="39"/>
      <c r="V314" s="39"/>
    </row>
  </sheetData>
  <mergeCells count="33">
    <mergeCell ref="B102:E102"/>
    <mergeCell ref="B265:E265"/>
    <mergeCell ref="B103:E103"/>
    <mergeCell ref="B38:E38"/>
    <mergeCell ref="G38:L38"/>
    <mergeCell ref="B73:E73"/>
    <mergeCell ref="G73:L73"/>
    <mergeCell ref="B295:E295"/>
    <mergeCell ref="G295:L295"/>
    <mergeCell ref="B294:E294"/>
    <mergeCell ref="B44:E44"/>
    <mergeCell ref="G44:L44"/>
    <mergeCell ref="B57:E57"/>
    <mergeCell ref="G57:L57"/>
    <mergeCell ref="G98:L98"/>
    <mergeCell ref="B266:E266"/>
    <mergeCell ref="G266:L266"/>
    <mergeCell ref="B98:E98"/>
    <mergeCell ref="B86:E86"/>
    <mergeCell ref="B85:E85"/>
    <mergeCell ref="B135:E135"/>
    <mergeCell ref="G135:L135"/>
    <mergeCell ref="G103:L103"/>
    <mergeCell ref="B25:E25"/>
    <mergeCell ref="G25:L25"/>
    <mergeCell ref="B78:E78"/>
    <mergeCell ref="G78:L78"/>
    <mergeCell ref="B53:E53"/>
    <mergeCell ref="G53:L53"/>
    <mergeCell ref="B69:E69"/>
    <mergeCell ref="G69:L69"/>
    <mergeCell ref="B64:E64"/>
    <mergeCell ref="G64:L6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6" tint="0.79998168889431442"/>
  </sheetPr>
  <dimension ref="A1:R189"/>
  <sheetViews>
    <sheetView showGridLines="0" zoomScale="75" zoomScaleNormal="75" workbookViewId="0">
      <selection activeCell="B11" sqref="B11"/>
    </sheetView>
  </sheetViews>
  <sheetFormatPr defaultRowHeight="15"/>
  <cols>
    <col min="1" max="1" width="65.7109375" style="3" customWidth="1"/>
    <col min="2" max="11" width="16.28515625" style="3" customWidth="1"/>
    <col min="12" max="13" width="19.28515625" style="3" customWidth="1"/>
    <col min="14" max="23" width="12.140625" style="3" customWidth="1"/>
    <col min="24" max="16384" width="9.140625" style="3"/>
  </cols>
  <sheetData>
    <row r="1" spans="1:15">
      <c r="A1" s="1" t="s">
        <v>114</v>
      </c>
      <c r="B1" s="12">
        <v>39173</v>
      </c>
      <c r="C1" s="12">
        <v>39539</v>
      </c>
      <c r="D1" s="12">
        <v>39904</v>
      </c>
      <c r="E1" s="12">
        <v>40269</v>
      </c>
      <c r="F1" s="12">
        <v>40634</v>
      </c>
      <c r="G1" s="12">
        <v>41000</v>
      </c>
      <c r="H1" s="12">
        <v>41365</v>
      </c>
      <c r="I1" s="12">
        <v>41730</v>
      </c>
      <c r="J1" s="12">
        <v>42095</v>
      </c>
      <c r="K1" s="12">
        <v>42461</v>
      </c>
      <c r="L1" s="12">
        <v>42826</v>
      </c>
      <c r="M1" s="12">
        <v>43191</v>
      </c>
      <c r="N1" s="12">
        <v>43556</v>
      </c>
      <c r="O1" s="12">
        <v>43922</v>
      </c>
    </row>
    <row r="2" spans="1:15">
      <c r="A2" s="5" t="s">
        <v>115</v>
      </c>
      <c r="B2" s="36">
        <f>Inputs!B6</f>
        <v>205.4</v>
      </c>
      <c r="C2" s="36">
        <f>Inputs!C6</f>
        <v>214</v>
      </c>
      <c r="D2" s="36">
        <f>Inputs!D6</f>
        <v>211.5</v>
      </c>
      <c r="E2" s="36">
        <f>Inputs!E6</f>
        <v>222.8</v>
      </c>
      <c r="F2" s="36">
        <f>Inputs!F6</f>
        <v>234.4</v>
      </c>
      <c r="G2" s="36">
        <f>Inputs!G6</f>
        <v>242.5</v>
      </c>
      <c r="H2" s="36">
        <f>Inputs!H6</f>
        <v>249.5</v>
      </c>
      <c r="I2" s="36">
        <f>Inputs!I6</f>
        <v>255.7</v>
      </c>
      <c r="J2" s="36">
        <f>Inputs!J6</f>
        <v>258</v>
      </c>
      <c r="K2" s="36">
        <f>(J2*(1+Inputs!$B$13))</f>
        <v>264.99179999999996</v>
      </c>
      <c r="L2" s="36">
        <f>(K2*(1+Inputs!$B$13))</f>
        <v>272.17307777999991</v>
      </c>
      <c r="M2" s="36">
        <f>(L2*(1+Inputs!$B$13))</f>
        <v>279.54896818783789</v>
      </c>
      <c r="N2" s="36">
        <f>(M2*(1+Inputs!$B$13))</f>
        <v>287.12474522572825</v>
      </c>
      <c r="O2" s="36">
        <f>(N2*(1+Inputs!$B$13))</f>
        <v>294.90582582134545</v>
      </c>
    </row>
    <row r="4" spans="1:15">
      <c r="A4" s="5" t="s">
        <v>116</v>
      </c>
      <c r="B4" s="36">
        <f>HLOOKUP(Inputs!B9,Inputs!B5:J6,2,FALSE)</f>
        <v>255.7</v>
      </c>
    </row>
    <row r="6" spans="1:15">
      <c r="A6" s="1" t="s">
        <v>117</v>
      </c>
      <c r="B6" s="12">
        <v>39173</v>
      </c>
      <c r="C6" s="12">
        <v>39539</v>
      </c>
      <c r="D6" s="12">
        <v>39904</v>
      </c>
      <c r="E6" s="12">
        <v>40269</v>
      </c>
      <c r="F6" s="12">
        <v>40634</v>
      </c>
      <c r="G6" s="12">
        <v>41000</v>
      </c>
      <c r="H6" s="12">
        <v>41365</v>
      </c>
      <c r="I6" s="12">
        <v>41730</v>
      </c>
      <c r="J6" s="12">
        <v>42095</v>
      </c>
      <c r="K6" s="12">
        <v>42461</v>
      </c>
      <c r="L6" s="12">
        <v>42826</v>
      </c>
      <c r="M6" s="12">
        <v>43191</v>
      </c>
      <c r="N6" s="12">
        <v>43556</v>
      </c>
      <c r="O6" s="12">
        <v>43922</v>
      </c>
    </row>
    <row r="7" spans="1:15">
      <c r="A7" s="5" t="s">
        <v>118</v>
      </c>
      <c r="B7" s="83">
        <f t="shared" ref="B7:O7" si="0">B2/$B$4</f>
        <v>0.80328509972624174</v>
      </c>
      <c r="C7" s="83">
        <f t="shared" si="0"/>
        <v>0.83691826359014476</v>
      </c>
      <c r="D7" s="83">
        <f t="shared" si="0"/>
        <v>0.82714118107156831</v>
      </c>
      <c r="E7" s="83">
        <f t="shared" si="0"/>
        <v>0.8713335940555339</v>
      </c>
      <c r="F7" s="83">
        <f t="shared" si="0"/>
        <v>0.9166992569417286</v>
      </c>
      <c r="G7" s="83">
        <f t="shared" si="0"/>
        <v>0.9483770043019164</v>
      </c>
      <c r="H7" s="83">
        <f t="shared" si="0"/>
        <v>0.97575283535393043</v>
      </c>
      <c r="I7" s="83">
        <f t="shared" si="0"/>
        <v>1</v>
      </c>
      <c r="J7" s="83">
        <f t="shared" si="0"/>
        <v>1.0089949159170903</v>
      </c>
      <c r="K7" s="83">
        <f t="shared" si="0"/>
        <v>1.0363386781384434</v>
      </c>
      <c r="L7" s="83">
        <f t="shared" si="0"/>
        <v>1.0644234563159951</v>
      </c>
      <c r="M7" s="83">
        <f t="shared" si="0"/>
        <v>1.0932693319821585</v>
      </c>
      <c r="N7" s="83">
        <f t="shared" si="0"/>
        <v>1.1228969308788748</v>
      </c>
      <c r="O7" s="83">
        <f t="shared" si="0"/>
        <v>1.1533274377056921</v>
      </c>
    </row>
    <row r="8" spans="1:15">
      <c r="A8" s="5" t="s">
        <v>239</v>
      </c>
      <c r="B8" s="83">
        <f>Inputs!B12/Calc1!B4</f>
        <v>1</v>
      </c>
      <c r="C8" s="75"/>
      <c r="D8" s="75"/>
      <c r="E8" s="75"/>
      <c r="F8" s="75"/>
      <c r="G8" s="75"/>
      <c r="H8" s="75"/>
      <c r="I8" s="75"/>
      <c r="J8" s="84"/>
      <c r="K8" s="84"/>
      <c r="L8" s="84"/>
      <c r="M8" s="84"/>
      <c r="N8" s="84"/>
      <c r="O8" s="84"/>
    </row>
    <row r="9" spans="1:15">
      <c r="A9" s="75"/>
      <c r="B9" s="75"/>
      <c r="C9" s="75"/>
      <c r="D9" s="75"/>
      <c r="E9" s="75"/>
      <c r="F9" s="75"/>
      <c r="G9" s="75"/>
      <c r="H9" s="75"/>
      <c r="I9" s="75"/>
      <c r="J9" s="75"/>
      <c r="K9" s="75"/>
      <c r="L9" s="75"/>
      <c r="M9" s="75"/>
      <c r="N9" s="75"/>
      <c r="O9" s="75"/>
    </row>
    <row r="10" spans="1:15">
      <c r="A10" s="1" t="s">
        <v>300</v>
      </c>
      <c r="B10" s="5"/>
      <c r="C10" s="75"/>
      <c r="D10" s="75"/>
      <c r="E10" s="75"/>
      <c r="F10" s="75"/>
      <c r="G10" s="75"/>
      <c r="H10" s="75"/>
      <c r="I10" s="75"/>
      <c r="J10" s="75"/>
      <c r="K10" s="75"/>
      <c r="L10" s="75"/>
      <c r="M10" s="75"/>
      <c r="N10" s="75"/>
      <c r="O10" s="75"/>
    </row>
    <row r="11" spans="1:15">
      <c r="A11" s="5" t="s">
        <v>301</v>
      </c>
      <c r="B11" s="37">
        <f>(1+Inputs!K20)*(1+Inputs!B13)-1</f>
        <v>5.7399449999999907E-2</v>
      </c>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s="75" customFormat="1" ht="18.75">
      <c r="A13" s="6" t="s">
        <v>302</v>
      </c>
      <c r="F13" s="85"/>
      <c r="G13" s="1"/>
    </row>
    <row r="14" spans="1:15">
      <c r="B14" s="53"/>
    </row>
    <row r="15" spans="1:15">
      <c r="A15" s="1" t="s">
        <v>272</v>
      </c>
      <c r="B15" s="34" t="s">
        <v>10</v>
      </c>
      <c r="C15" s="34" t="s">
        <v>11</v>
      </c>
      <c r="D15" s="34" t="s">
        <v>9</v>
      </c>
      <c r="E15" s="34" t="s">
        <v>12</v>
      </c>
      <c r="F15" s="34" t="s">
        <v>13</v>
      </c>
      <c r="G15" s="34" t="s">
        <v>14</v>
      </c>
      <c r="H15" s="34" t="s">
        <v>15</v>
      </c>
      <c r="I15" s="34" t="s">
        <v>16</v>
      </c>
      <c r="J15" s="34" t="s">
        <v>17</v>
      </c>
      <c r="K15" s="34" t="s">
        <v>18</v>
      </c>
    </row>
    <row r="16" spans="1:15">
      <c r="A16" s="5" t="s">
        <v>5</v>
      </c>
      <c r="B16" s="38">
        <f>Inputs!B27</f>
        <v>-3379.34031</v>
      </c>
      <c r="C16" s="38">
        <f>Inputs!C27</f>
        <v>-3902.2665299999999</v>
      </c>
      <c r="D16" s="38">
        <f>Inputs!D27</f>
        <v>-4427.6038400000007</v>
      </c>
      <c r="E16" s="38">
        <f>Inputs!E27</f>
        <v>-4917.1440299999995</v>
      </c>
      <c r="F16" s="38">
        <f>Inputs!G27*$J$7</f>
        <v>-5336.7098460762154</v>
      </c>
      <c r="G16" s="38">
        <f>Inputs!H27*$K$7</f>
        <v>-4917.8962985578119</v>
      </c>
      <c r="H16" s="38">
        <f>Inputs!I27*$L$7</f>
        <v>-5051.1712882487282</v>
      </c>
      <c r="I16" s="38">
        <f>Inputs!J27*$M$7</f>
        <v>-5188.0580301602686</v>
      </c>
      <c r="J16" s="38">
        <f>Inputs!K27*$N$7</f>
        <v>-5328.6544027776108</v>
      </c>
      <c r="K16" s="38">
        <f>Inputs!L27*$O$7</f>
        <v>-5473.0609370928833</v>
      </c>
    </row>
    <row r="17" spans="1:11">
      <c r="A17" s="5" t="s">
        <v>2</v>
      </c>
      <c r="B17" s="38">
        <f>Inputs!B28</f>
        <v>-136.46943999999996</v>
      </c>
      <c r="C17" s="38">
        <f>Inputs!C28</f>
        <v>-192.47091</v>
      </c>
      <c r="D17" s="38">
        <f>Inputs!D28</f>
        <v>-192.25369999999998</v>
      </c>
      <c r="E17" s="38">
        <f>Inputs!E28</f>
        <v>-176.45482000000004</v>
      </c>
      <c r="F17" s="38">
        <f>Inputs!G28*$J$7</f>
        <v>-174.13384599139613</v>
      </c>
      <c r="G17" s="38">
        <f>Inputs!H28*$K$7</f>
        <v>-179.58860113553379</v>
      </c>
      <c r="H17" s="38">
        <f>Inputs!I28*$L$7</f>
        <v>-184.45545222630676</v>
      </c>
      <c r="I17" s="38">
        <f>Inputs!J28*$M$7</f>
        <v>-189.45419498163963</v>
      </c>
      <c r="J17" s="38">
        <f>Inputs!K28*$N$7</f>
        <v>-194.58840366564203</v>
      </c>
      <c r="K17" s="38">
        <f>Inputs!L28*$O$7</f>
        <v>-199.86174940498091</v>
      </c>
    </row>
    <row r="18" spans="1:11">
      <c r="A18" s="5" t="s">
        <v>3</v>
      </c>
      <c r="B18" s="38">
        <f>Inputs!B29</f>
        <v>-22.110099999999999</v>
      </c>
      <c r="C18" s="38">
        <f>Inputs!C29</f>
        <v>-31.673899999999996</v>
      </c>
      <c r="D18" s="38">
        <f>Inputs!D29</f>
        <v>-42.999209999999991</v>
      </c>
      <c r="E18" s="38">
        <f>Inputs!E29</f>
        <v>-45.822330000000001</v>
      </c>
      <c r="F18" s="38">
        <f>Inputs!G29*$J$7</f>
        <v>-17.250180680484942</v>
      </c>
      <c r="G18" s="38">
        <f>Inputs!H29*$K$7</f>
        <v>-17.617757528353536</v>
      </c>
      <c r="H18" s="38">
        <f>Inputs!I29*$L$7</f>
        <v>-18.095198757371918</v>
      </c>
      <c r="I18" s="38">
        <f>Inputs!J29*$M$7</f>
        <v>-18.585578643696692</v>
      </c>
      <c r="J18" s="38">
        <f>Inputs!K29*$N$7</f>
        <v>-19.08924782494087</v>
      </c>
      <c r="K18" s="38">
        <f>Inputs!L29*$O$7</f>
        <v>-19.606566440996765</v>
      </c>
    </row>
    <row r="19" spans="1:11">
      <c r="A19" s="5" t="s">
        <v>4</v>
      </c>
      <c r="B19" s="38">
        <f>Inputs!B30</f>
        <v>-257.51799000000005</v>
      </c>
      <c r="C19" s="38">
        <f>Inputs!C30</f>
        <v>-392.16313000000002</v>
      </c>
      <c r="D19" s="38">
        <f>Inputs!D30</f>
        <v>-410.32094999999998</v>
      </c>
      <c r="E19" s="38">
        <f>Inputs!E30</f>
        <v>-429.47375999999997</v>
      </c>
      <c r="F19" s="38">
        <f>Inputs!G30*$J$7</f>
        <v>-576.24044277659459</v>
      </c>
      <c r="G19" s="38">
        <f>Inputs!H30*$K$7</f>
        <v>-491.78962985578124</v>
      </c>
      <c r="H19" s="38">
        <f>Inputs!I30*$L$7</f>
        <v>-505.11712882487285</v>
      </c>
      <c r="I19" s="38">
        <f>Inputs!J30*$M$7</f>
        <v>-518.80580301602686</v>
      </c>
      <c r="J19" s="38">
        <f>Inputs!K30*$N$7</f>
        <v>-532.86544027776108</v>
      </c>
      <c r="K19" s="38">
        <f>Inputs!L30*$O$7</f>
        <v>-547.30609370928835</v>
      </c>
    </row>
    <row r="20" spans="1:11">
      <c r="A20" s="5" t="s">
        <v>6</v>
      </c>
      <c r="B20" s="38">
        <f>Inputs!B31</f>
        <v>-401.91399000000001</v>
      </c>
      <c r="C20" s="38">
        <f>Inputs!C31</f>
        <v>-498.04844000000003</v>
      </c>
      <c r="D20" s="38">
        <f>Inputs!D31</f>
        <v>-559.00558000000001</v>
      </c>
      <c r="E20" s="38">
        <f>Inputs!E31</f>
        <v>-578.88112000000012</v>
      </c>
      <c r="F20" s="38">
        <f>Inputs!G31*$J$7</f>
        <v>-763.95994619931332</v>
      </c>
      <c r="G20" s="38">
        <f>Inputs!H31*$K$7</f>
        <v>-723.28910503299505</v>
      </c>
      <c r="H20" s="38">
        <f>Inputs!I31*$L$7</f>
        <v>-742.89023977938916</v>
      </c>
      <c r="I20" s="38">
        <f>Inputs!J31*$M$7</f>
        <v>-763.02256527741054</v>
      </c>
      <c r="J20" s="38">
        <f>Inputs!K31*$N$7</f>
        <v>-783.70047679642812</v>
      </c>
      <c r="K20" s="38">
        <f>Inputs!L31*$O$7</f>
        <v>-804.93875971761122</v>
      </c>
    </row>
    <row r="21" spans="1:11">
      <c r="A21" s="5" t="s">
        <v>24</v>
      </c>
      <c r="B21" s="38">
        <f>Inputs!B32</f>
        <v>-588.78224</v>
      </c>
      <c r="C21" s="38">
        <f>Inputs!C32</f>
        <v>-493.17698000000001</v>
      </c>
      <c r="D21" s="38">
        <f>Inputs!D32</f>
        <v>-571.11054000000001</v>
      </c>
      <c r="E21" s="38">
        <f>Inputs!E32</f>
        <v>-545.05032000000006</v>
      </c>
      <c r="F21" s="38">
        <f>Inputs!G32*$J$7</f>
        <v>-776.67041155636969</v>
      </c>
      <c r="G21" s="38">
        <f>Inputs!H32*$K$7</f>
        <v>-414.46147786076733</v>
      </c>
      <c r="H21" s="38">
        <f>Inputs!I32*$L$7</f>
        <v>-425.69338391079413</v>
      </c>
      <c r="I21" s="38">
        <f>Inputs!J32*$M$7</f>
        <v>-437.22967461477663</v>
      </c>
      <c r="J21" s="38">
        <f>Inputs!K32*$N$7</f>
        <v>-449.07859879683696</v>
      </c>
      <c r="K21" s="38">
        <f>Inputs!L32*$O$7</f>
        <v>-461.24862882423116</v>
      </c>
    </row>
    <row r="22" spans="1:11">
      <c r="A22" s="5" t="s">
        <v>20</v>
      </c>
      <c r="B22" s="38">
        <f>Inputs!B33</f>
        <v>-135.87145000000001</v>
      </c>
      <c r="C22" s="38">
        <f>Inputs!C33</f>
        <v>-127.99121</v>
      </c>
      <c r="D22" s="38">
        <f>Inputs!D33</f>
        <v>-166.22603000000001</v>
      </c>
      <c r="E22" s="38">
        <f>Inputs!E33</f>
        <v>-340.79727000000003</v>
      </c>
      <c r="F22" s="38">
        <f>Inputs!G33*$J$7</f>
        <v>-493.9058275229234</v>
      </c>
      <c r="G22" s="38">
        <f>Inputs!H33*$K$7</f>
        <v>-371.40054509601231</v>
      </c>
      <c r="H22" s="38">
        <f>Inputs!I33*$L$7</f>
        <v>-381.46549986811425</v>
      </c>
      <c r="I22" s="38">
        <f>Inputs!J33*$M$7</f>
        <v>-391.80321491454009</v>
      </c>
      <c r="J22" s="38">
        <f>Inputs!K33*$N$7</f>
        <v>-402.42108203872402</v>
      </c>
      <c r="K22" s="38">
        <f>Inputs!L33*$O$7</f>
        <v>-413.32669336197341</v>
      </c>
    </row>
    <row r="23" spans="1:11">
      <c r="A23" s="5" t="s">
        <v>7</v>
      </c>
      <c r="B23" s="38">
        <f>Inputs!B34</f>
        <v>0</v>
      </c>
      <c r="C23" s="38">
        <f>Inputs!C34</f>
        <v>-15.196199999999999</v>
      </c>
      <c r="D23" s="38">
        <f>Inputs!D34</f>
        <v>0</v>
      </c>
      <c r="E23" s="38">
        <f>Inputs!E34</f>
        <v>-21.488230000000001</v>
      </c>
      <c r="F23" s="38">
        <f>Inputs!G34*$J$7</f>
        <v>-127.96947985921001</v>
      </c>
      <c r="G23" s="38">
        <f>Inputs!H34*$K$7</f>
        <v>0</v>
      </c>
      <c r="H23" s="38">
        <f>Inputs!I34*$L$7</f>
        <v>0</v>
      </c>
      <c r="I23" s="38">
        <f>Inputs!J34*$M$7</f>
        <v>0</v>
      </c>
      <c r="J23" s="38">
        <f>Inputs!K34*$N$7</f>
        <v>0</v>
      </c>
      <c r="K23" s="38">
        <f>Inputs!L34*$O$7</f>
        <v>0</v>
      </c>
    </row>
    <row r="24" spans="1:11">
      <c r="A24" s="5" t="s">
        <v>28</v>
      </c>
      <c r="B24" s="38">
        <f>Inputs!B35</f>
        <v>71.963570000000004</v>
      </c>
      <c r="C24" s="38">
        <f>Inputs!C35</f>
        <v>226.15494000000001</v>
      </c>
      <c r="D24" s="38">
        <f>Inputs!D35</f>
        <v>328.11554999999998</v>
      </c>
      <c r="E24" s="38">
        <f>Inputs!E35</f>
        <v>736.57408999999984</v>
      </c>
      <c r="F24" s="38">
        <f>Inputs!G35*$J$7</f>
        <v>502.15149830194468</v>
      </c>
      <c r="G24" s="38">
        <f>Inputs!H35*$K$7</f>
        <v>-362.71853734845519</v>
      </c>
      <c r="H24" s="38">
        <f>Inputs!I35*$L$7</f>
        <v>-372.54820971059831</v>
      </c>
      <c r="I24" s="38">
        <f>Inputs!J35*$M$7</f>
        <v>-382.64426619375547</v>
      </c>
      <c r="J24" s="38">
        <f>Inputs!K35*$N$7</f>
        <v>-393.01392580760614</v>
      </c>
      <c r="K24" s="38">
        <f>Inputs!L35*$O$7</f>
        <v>-403.66460319699223</v>
      </c>
    </row>
    <row r="27" spans="1:11">
      <c r="A27" s="1" t="s">
        <v>21</v>
      </c>
      <c r="B27" s="34" t="s">
        <v>10</v>
      </c>
      <c r="C27" s="34" t="s">
        <v>11</v>
      </c>
      <c r="D27" s="34" t="s">
        <v>9</v>
      </c>
      <c r="E27" s="34" t="s">
        <v>12</v>
      </c>
      <c r="F27" s="34" t="s">
        <v>13</v>
      </c>
      <c r="G27" s="34" t="s">
        <v>14</v>
      </c>
      <c r="H27" s="34" t="s">
        <v>15</v>
      </c>
      <c r="I27" s="34" t="s">
        <v>16</v>
      </c>
      <c r="J27" s="34" t="s">
        <v>17</v>
      </c>
      <c r="K27" s="34" t="s">
        <v>18</v>
      </c>
    </row>
    <row r="28" spans="1:11">
      <c r="A28" s="5" t="s">
        <v>273</v>
      </c>
      <c r="B28" s="38">
        <f>Inputs!B40</f>
        <v>-737.73514</v>
      </c>
      <c r="C28" s="38">
        <f>Inputs!C40</f>
        <v>-873.86848000000009</v>
      </c>
      <c r="D28" s="38">
        <f>Inputs!D40</f>
        <v>-967.57308</v>
      </c>
      <c r="E28" s="38">
        <f>Inputs!E40</f>
        <v>-736.92700000000002</v>
      </c>
      <c r="F28" s="38">
        <f>Inputs!G40*$J$7</f>
        <v>-1001.879483770043</v>
      </c>
      <c r="G28" s="38">
        <f>Inputs!H40*$K$7</f>
        <v>-1041.0270743183416</v>
      </c>
      <c r="H28" s="38">
        <f>Inputs!I40*$L$7</f>
        <v>-1082.2344540105305</v>
      </c>
      <c r="I28" s="38">
        <f>Inputs!J40*$M$7</f>
        <v>-1125.6913272914212</v>
      </c>
      <c r="J28" s="38">
        <f>Inputs!K40*$N$7</f>
        <v>-1156.1975622610187</v>
      </c>
      <c r="K28" s="38">
        <f>Inputs!L40*$O$7</f>
        <v>-1187.5305161982922</v>
      </c>
    </row>
    <row r="29" spans="1:11">
      <c r="A29" s="5" t="s">
        <v>274</v>
      </c>
      <c r="B29" s="38">
        <f>Inputs!B41</f>
        <v>-53.562339999999999</v>
      </c>
      <c r="C29" s="38">
        <f>Inputs!C41</f>
        <v>-51.914900000000003</v>
      </c>
      <c r="D29" s="38">
        <f>Inputs!D41</f>
        <v>-83.679580000000001</v>
      </c>
      <c r="E29" s="38">
        <f>Inputs!E41</f>
        <v>-85</v>
      </c>
      <c r="F29" s="38">
        <f>Inputs!G41*$J$7</f>
        <v>-85.76456785295268</v>
      </c>
      <c r="G29" s="38">
        <f>Inputs!H41*$K$7</f>
        <v>-88.088787641767681</v>
      </c>
      <c r="H29" s="38">
        <f>Inputs!I41*$L$7</f>
        <v>-90.47599378685959</v>
      </c>
      <c r="I29" s="38">
        <f>Inputs!J41*$M$7</f>
        <v>-127.09255984292592</v>
      </c>
      <c r="J29" s="38">
        <f>Inputs!K41*$N$7</f>
        <v>-130.53676821466919</v>
      </c>
      <c r="K29" s="38">
        <f>Inputs!L41*$O$7</f>
        <v>-98.032832204983833</v>
      </c>
    </row>
    <row r="30" spans="1:11">
      <c r="A30" s="5" t="s">
        <v>22</v>
      </c>
      <c r="B30" s="38">
        <f>Inputs!B42</f>
        <v>-648.45944000000009</v>
      </c>
      <c r="C30" s="38">
        <f>Inputs!C42</f>
        <v>-575.25557000000003</v>
      </c>
      <c r="D30" s="38">
        <f>Inputs!D42</f>
        <v>-547.78356999999994</v>
      </c>
      <c r="E30" s="38">
        <f>Inputs!E42</f>
        <v>-607.48900000000003</v>
      </c>
      <c r="F30" s="38">
        <f>Inputs!G42*$J$7</f>
        <v>-695.19783339851347</v>
      </c>
      <c r="G30" s="38">
        <f>Inputs!H42*$K$7</f>
        <v>-718.18270394994124</v>
      </c>
      <c r="H30" s="38">
        <f>Inputs!I42*$L$7</f>
        <v>-796.08868951947056</v>
      </c>
      <c r="I30" s="38">
        <f>Inputs!J42*$M$7</f>
        <v>-850.7789143405198</v>
      </c>
      <c r="J30" s="38">
        <f>Inputs!K42*$N$7</f>
        <v>-900.50382502752097</v>
      </c>
      <c r="K30" s="38">
        <f>Inputs!L42*$O$7</f>
        <v>-1017.6534579163075</v>
      </c>
    </row>
    <row r="32" spans="1:11">
      <c r="A32" s="1" t="s">
        <v>48</v>
      </c>
      <c r="B32" s="34" t="s">
        <v>10</v>
      </c>
      <c r="C32" s="34" t="s">
        <v>11</v>
      </c>
      <c r="D32" s="34" t="s">
        <v>9</v>
      </c>
      <c r="E32" s="34" t="s">
        <v>12</v>
      </c>
      <c r="F32" s="34" t="s">
        <v>13</v>
      </c>
      <c r="G32" s="34" t="s">
        <v>14</v>
      </c>
      <c r="H32" s="34" t="s">
        <v>15</v>
      </c>
      <c r="I32" s="34" t="s">
        <v>16</v>
      </c>
      <c r="J32" s="34" t="s">
        <v>17</v>
      </c>
      <c r="K32" s="34" t="s">
        <v>18</v>
      </c>
    </row>
    <row r="33" spans="1:11">
      <c r="A33" s="5" t="s">
        <v>40</v>
      </c>
      <c r="B33" s="38">
        <f>Inputs!B46</f>
        <v>0</v>
      </c>
      <c r="C33" s="38">
        <f>Inputs!C46</f>
        <v>0</v>
      </c>
      <c r="D33" s="38">
        <f>Inputs!D46</f>
        <v>0</v>
      </c>
      <c r="E33" s="38">
        <f>Inputs!E46</f>
        <v>0</v>
      </c>
      <c r="F33" s="38">
        <f>Inputs!G46*$J$7</f>
        <v>-37.837309346890891</v>
      </c>
      <c r="G33" s="38">
        <f>Inputs!H46*$K$7</f>
        <v>-51.816933906922166</v>
      </c>
      <c r="H33" s="38">
        <f>Inputs!I46*$L$7</f>
        <v>-53.221172815799754</v>
      </c>
      <c r="I33" s="38">
        <f>Inputs!J46*$M$7</f>
        <v>-54.66346659910792</v>
      </c>
      <c r="J33" s="38">
        <f>Inputs!K46*$N$7</f>
        <v>-56.144846543943736</v>
      </c>
      <c r="K33" s="38">
        <f>Inputs!L46*$O$7</f>
        <v>-57.666371885284605</v>
      </c>
    </row>
    <row r="34" spans="1:11">
      <c r="A34" s="5" t="s">
        <v>41</v>
      </c>
      <c r="B34" s="38">
        <f>Inputs!B47</f>
        <v>-19.71688</v>
      </c>
      <c r="C34" s="38">
        <f>Inputs!C47</f>
        <v>-90.715319999999991</v>
      </c>
      <c r="D34" s="38">
        <f>Inputs!D47</f>
        <v>-64</v>
      </c>
      <c r="E34" s="38">
        <f>Inputs!E47</f>
        <v>-39.462820000000001</v>
      </c>
      <c r="F34" s="38">
        <f>Inputs!G47*$J$7</f>
        <v>-46.036829534895951</v>
      </c>
      <c r="G34" s="38">
        <f>Inputs!H47*$K$7</f>
        <v>-47.284427615291627</v>
      </c>
      <c r="H34" s="38">
        <f>Inputs!I47*$L$7</f>
        <v>-48.565835603666024</v>
      </c>
      <c r="I34" s="38">
        <f>Inputs!J47*$M$7</f>
        <v>-49.881969748525364</v>
      </c>
      <c r="J34" s="38">
        <f>Inputs!K47*$N$7</f>
        <v>-51.653258820428242</v>
      </c>
      <c r="K34" s="38">
        <f>Inputs!L47*$O$7</f>
        <v>-53.05306213446184</v>
      </c>
    </row>
    <row r="35" spans="1:11">
      <c r="A35" s="5" t="s">
        <v>26</v>
      </c>
      <c r="B35" s="38">
        <f>Inputs!B48</f>
        <v>-110.24759</v>
      </c>
      <c r="C35" s="38">
        <f>Inputs!C48</f>
        <v>-90.283469999999994</v>
      </c>
      <c r="D35" s="38">
        <f>Inputs!D48</f>
        <v>-65</v>
      </c>
      <c r="E35" s="38">
        <f>Inputs!E48</f>
        <v>-42.982500000000002</v>
      </c>
      <c r="F35" s="38">
        <f>Inputs!G48*$J$7</f>
        <v>-100.89949159170904</v>
      </c>
      <c r="G35" s="38">
        <f>Inputs!H48*$K$7</f>
        <v>-67.362014078998826</v>
      </c>
      <c r="H35" s="38">
        <f>Inputs!I48*$L$7</f>
        <v>-69.18752466053968</v>
      </c>
      <c r="I35" s="38">
        <f>Inputs!J48*$M$7</f>
        <v>-71.062506578840299</v>
      </c>
      <c r="J35" s="38">
        <f>Inputs!K48*$N$7</f>
        <v>-72.988300507126866</v>
      </c>
      <c r="K35" s="38">
        <f>Inputs!L48*$O$7</f>
        <v>-74.966283450869994</v>
      </c>
    </row>
    <row r="36" spans="1:11">
      <c r="A36" s="5" t="s">
        <v>27</v>
      </c>
      <c r="B36" s="38">
        <f>Inputs!B49</f>
        <v>-19.641879999999997</v>
      </c>
      <c r="C36" s="38">
        <f>Inputs!C49</f>
        <v>-45.124110000000002</v>
      </c>
      <c r="D36" s="38">
        <f>Inputs!D49</f>
        <v>-177</v>
      </c>
      <c r="E36" s="38">
        <f>Inputs!E49</f>
        <v>-51.030159999999995</v>
      </c>
      <c r="F36" s="38">
        <f>Inputs!G49*$J$7</f>
        <v>-108.56232176053408</v>
      </c>
      <c r="G36" s="38">
        <f>Inputs!H49*$K$7</f>
        <v>-67.362014078998826</v>
      </c>
      <c r="H36" s="38">
        <f>Inputs!I49*$L$7</f>
        <v>-69.18752466053968</v>
      </c>
      <c r="I36" s="38">
        <f>Inputs!J49*$M$7</f>
        <v>-71.062506578840299</v>
      </c>
      <c r="J36" s="38">
        <f>Inputs!K49*$N$7</f>
        <v>-72.988300507126866</v>
      </c>
      <c r="K36" s="38">
        <f>Inputs!L49*$O$7</f>
        <v>-74.966283450869994</v>
      </c>
    </row>
    <row r="37" spans="1:11">
      <c r="A37" s="5" t="s">
        <v>30</v>
      </c>
      <c r="B37" s="38">
        <f>Inputs!B50</f>
        <v>0</v>
      </c>
      <c r="C37" s="38">
        <f>Inputs!C50</f>
        <v>0</v>
      </c>
      <c r="D37" s="38">
        <f>Inputs!D50</f>
        <v>0</v>
      </c>
      <c r="E37" s="38">
        <f>Inputs!E50</f>
        <v>0</v>
      </c>
      <c r="F37" s="38">
        <f>Inputs!G50*$J$7</f>
        <v>-210.20727414939384</v>
      </c>
      <c r="G37" s="38">
        <f>Inputs!H50*$K$7</f>
        <v>0</v>
      </c>
      <c r="H37" s="38">
        <f>Inputs!I50*$L$7</f>
        <v>0</v>
      </c>
      <c r="I37" s="38">
        <f>Inputs!J50*$M$7</f>
        <v>0</v>
      </c>
      <c r="J37" s="38">
        <f>Inputs!K50*$N$7</f>
        <v>0</v>
      </c>
      <c r="K37" s="38">
        <f>Inputs!L50*$O$7</f>
        <v>0</v>
      </c>
    </row>
    <row r="38" spans="1:11">
      <c r="A38" s="5" t="s">
        <v>39</v>
      </c>
      <c r="B38" s="38">
        <f>Inputs!B51</f>
        <v>0</v>
      </c>
      <c r="C38" s="38">
        <f>Inputs!C51</f>
        <v>0</v>
      </c>
      <c r="D38" s="38">
        <f>Inputs!D51</f>
        <v>0</v>
      </c>
      <c r="E38" s="38">
        <f>Inputs!E51</f>
        <v>0</v>
      </c>
      <c r="F38" s="38">
        <f>Inputs!G51*$J$7</f>
        <v>0</v>
      </c>
      <c r="G38" s="38">
        <f>Inputs!H51*$K$7</f>
        <v>-432.15322878373087</v>
      </c>
      <c r="H38" s="38">
        <f>Inputs!I51*$L$7</f>
        <v>-443.86458128376995</v>
      </c>
      <c r="I38" s="38">
        <f>Inputs!J51*$M$7</f>
        <v>-319.23464493879027</v>
      </c>
      <c r="J38" s="38">
        <f>Inputs!K51*$N$7</f>
        <v>0</v>
      </c>
      <c r="K38" s="38">
        <f>Inputs!L51*$O$7</f>
        <v>0</v>
      </c>
    </row>
    <row r="40" spans="1:11">
      <c r="A40" s="75"/>
      <c r="B40" s="34" t="s">
        <v>10</v>
      </c>
      <c r="C40" s="34" t="s">
        <v>11</v>
      </c>
      <c r="D40" s="34" t="s">
        <v>9</v>
      </c>
      <c r="E40" s="34" t="s">
        <v>12</v>
      </c>
      <c r="F40" s="34" t="s">
        <v>13</v>
      </c>
      <c r="G40" s="34" t="s">
        <v>14</v>
      </c>
      <c r="H40" s="34" t="s">
        <v>15</v>
      </c>
      <c r="I40" s="34" t="s">
        <v>16</v>
      </c>
      <c r="J40" s="34" t="s">
        <v>17</v>
      </c>
      <c r="K40" s="34" t="s">
        <v>18</v>
      </c>
    </row>
    <row r="41" spans="1:11">
      <c r="A41" s="4" t="s">
        <v>0</v>
      </c>
      <c r="B41" s="38">
        <f>Inputs!B55</f>
        <v>-268.71767</v>
      </c>
      <c r="C41" s="38">
        <f>Inputs!C55</f>
        <v>-274.63887</v>
      </c>
      <c r="D41" s="38">
        <f>Inputs!D55</f>
        <v>-316.96451000000002</v>
      </c>
      <c r="E41" s="38">
        <f>Inputs!E55</f>
        <v>-371.71755000000002</v>
      </c>
      <c r="F41" s="38">
        <f>Inputs!G55*$J$7</f>
        <v>-370.48847086429441</v>
      </c>
      <c r="G41" s="38">
        <f>Inputs!H55*$K$7</f>
        <v>-584.49501447008208</v>
      </c>
      <c r="H41" s="38">
        <f>Inputs!I55*$L$7</f>
        <v>-600.33482936222129</v>
      </c>
      <c r="I41" s="38">
        <f>Inputs!J55*$M$7</f>
        <v>-616.6039032379374</v>
      </c>
      <c r="J41" s="38">
        <f>Inputs!K55*$N$7</f>
        <v>-633.31386901568533</v>
      </c>
      <c r="K41" s="38">
        <f>Inputs!L55*$O$7</f>
        <v>-650.4766748660104</v>
      </c>
    </row>
    <row r="43" spans="1:11">
      <c r="A43" s="1" t="s">
        <v>62</v>
      </c>
      <c r="B43" s="34" t="s">
        <v>10</v>
      </c>
      <c r="C43" s="34" t="s">
        <v>11</v>
      </c>
      <c r="D43" s="34" t="s">
        <v>9</v>
      </c>
      <c r="E43" s="34" t="s">
        <v>12</v>
      </c>
      <c r="F43" s="34" t="s">
        <v>13</v>
      </c>
      <c r="G43" s="34" t="s">
        <v>14</v>
      </c>
      <c r="H43" s="34" t="s">
        <v>15</v>
      </c>
      <c r="I43" s="34" t="s">
        <v>16</v>
      </c>
      <c r="J43" s="34" t="s">
        <v>17</v>
      </c>
      <c r="K43" s="34" t="s">
        <v>18</v>
      </c>
    </row>
    <row r="44" spans="1:11">
      <c r="A44" s="5" t="s">
        <v>35</v>
      </c>
      <c r="B44" s="38">
        <f>Inputs!B59</f>
        <v>0</v>
      </c>
      <c r="C44" s="38">
        <f>Inputs!C59</f>
        <v>0</v>
      </c>
      <c r="D44" s="38">
        <f>Inputs!D59</f>
        <v>0</v>
      </c>
      <c r="E44" s="38">
        <f>Inputs!E59</f>
        <v>500</v>
      </c>
      <c r="F44" s="38">
        <f>Inputs!G59*$J$7</f>
        <v>487.68087602659369</v>
      </c>
      <c r="G44" s="38">
        <f>Inputs!H59*$K$7</f>
        <v>0</v>
      </c>
      <c r="H44" s="38">
        <f>Inputs!I59*$L$7</f>
        <v>0</v>
      </c>
      <c r="I44" s="38">
        <f>Inputs!J59*$M$7</f>
        <v>0</v>
      </c>
      <c r="J44" s="38">
        <f>Inputs!K59*$N$7</f>
        <v>0</v>
      </c>
      <c r="K44" s="38">
        <f>Inputs!L59*$O$7</f>
        <v>0</v>
      </c>
    </row>
    <row r="45" spans="1:11">
      <c r="A45" s="5" t="s">
        <v>36</v>
      </c>
      <c r="B45" s="38">
        <f>Inputs!B60</f>
        <v>-265.64100000000002</v>
      </c>
      <c r="C45" s="38">
        <f>Inputs!C60</f>
        <v>-389.08883000000003</v>
      </c>
      <c r="D45" s="38">
        <f>Inputs!D60</f>
        <v>-386.27695</v>
      </c>
      <c r="E45" s="38">
        <f>Inputs!E60</f>
        <v>-1566.6666666666667</v>
      </c>
      <c r="F45" s="38">
        <f>Inputs!G60*$J$7</f>
        <v>-1538.7172467735627</v>
      </c>
      <c r="G45" s="38">
        <f>Inputs!H60*$K$7</f>
        <v>0</v>
      </c>
      <c r="H45" s="38">
        <f>Inputs!I60*$L$7</f>
        <v>0</v>
      </c>
      <c r="I45" s="38">
        <f>Inputs!J60*$M$7</f>
        <v>0</v>
      </c>
      <c r="J45" s="38">
        <f>Inputs!K60*$N$7</f>
        <v>0</v>
      </c>
      <c r="K45" s="38">
        <f>Inputs!L60*$O$7</f>
        <v>0</v>
      </c>
    </row>
    <row r="46" spans="1:11">
      <c r="A46" s="5" t="s">
        <v>280</v>
      </c>
      <c r="B46" s="38">
        <f>Inputs!B61</f>
        <v>52.386130000000001</v>
      </c>
      <c r="C46" s="38">
        <f>Inputs!C61</f>
        <v>68.978530000000006</v>
      </c>
      <c r="D46" s="38">
        <f>Inputs!D61</f>
        <v>71.320689999999999</v>
      </c>
      <c r="E46" s="38">
        <f>Inputs!E61</f>
        <v>71.02901</v>
      </c>
      <c r="F46" s="38">
        <f>Inputs!G61*$J$7</f>
        <v>84.08290965975749</v>
      </c>
      <c r="G46" s="38">
        <f>Inputs!H61*$K$7</f>
        <v>0</v>
      </c>
      <c r="H46" s="38">
        <f>Inputs!I61*$L$7</f>
        <v>0</v>
      </c>
      <c r="I46" s="38">
        <f>Inputs!J61*$M$7</f>
        <v>0</v>
      </c>
      <c r="J46" s="38">
        <f>Inputs!K61*$N$7</f>
        <v>0</v>
      </c>
      <c r="K46" s="38">
        <f>Inputs!L61*$O$7</f>
        <v>0</v>
      </c>
    </row>
    <row r="47" spans="1:11">
      <c r="A47" s="5" t="s">
        <v>37</v>
      </c>
      <c r="B47" s="38">
        <f>Inputs!B62</f>
        <v>0</v>
      </c>
      <c r="C47" s="38">
        <f>Inputs!C62</f>
        <v>0</v>
      </c>
      <c r="D47" s="38">
        <f>Inputs!D62</f>
        <v>0</v>
      </c>
      <c r="E47" s="38">
        <f>Inputs!E62</f>
        <v>201</v>
      </c>
      <c r="F47" s="38">
        <f>Inputs!G62*$J$7</f>
        <v>0</v>
      </c>
      <c r="G47" s="38">
        <f>Inputs!H62*$K$7</f>
        <v>0</v>
      </c>
      <c r="H47" s="38">
        <f>Inputs!I62*$L$7</f>
        <v>0</v>
      </c>
      <c r="I47" s="38">
        <f>Inputs!J62*$M$7</f>
        <v>0</v>
      </c>
      <c r="J47" s="38">
        <f>Inputs!K62*$N$7</f>
        <v>0</v>
      </c>
      <c r="K47" s="38">
        <f>Inputs!L62*$O$7</f>
        <v>0</v>
      </c>
    </row>
    <row r="48" spans="1:11">
      <c r="D48" s="39"/>
      <c r="E48" s="39"/>
      <c r="F48" s="39"/>
      <c r="G48" s="39"/>
      <c r="H48" s="39"/>
      <c r="I48" s="39"/>
      <c r="J48" s="39"/>
      <c r="K48" s="39"/>
    </row>
    <row r="49" spans="1:11">
      <c r="A49" s="1" t="s">
        <v>54</v>
      </c>
      <c r="B49" s="34" t="s">
        <v>10</v>
      </c>
      <c r="C49" s="34" t="s">
        <v>11</v>
      </c>
      <c r="D49" s="34" t="s">
        <v>9</v>
      </c>
      <c r="E49" s="34" t="s">
        <v>12</v>
      </c>
      <c r="F49" s="34" t="s">
        <v>13</v>
      </c>
      <c r="G49" s="34" t="s">
        <v>14</v>
      </c>
      <c r="H49" s="34" t="s">
        <v>15</v>
      </c>
      <c r="I49" s="34" t="s">
        <v>16</v>
      </c>
      <c r="J49" s="34" t="s">
        <v>17</v>
      </c>
      <c r="K49" s="34" t="s">
        <v>18</v>
      </c>
    </row>
    <row r="50" spans="1:11">
      <c r="A50" s="5" t="s">
        <v>64</v>
      </c>
      <c r="B50" s="38">
        <f>Inputs!B66</f>
        <v>-30</v>
      </c>
      <c r="C50" s="38">
        <f>Inputs!C66</f>
        <v>-30</v>
      </c>
      <c r="D50" s="38">
        <f>Inputs!D66</f>
        <v>-30</v>
      </c>
      <c r="E50" s="38">
        <f>Inputs!E66</f>
        <v>-148</v>
      </c>
      <c r="F50" s="38">
        <f>Inputs!G66*$J$7</f>
        <v>-149.33124755572936</v>
      </c>
      <c r="G50" s="38">
        <f>Inputs!H66*$K$7</f>
        <v>-195.34984082909656</v>
      </c>
      <c r="H50" s="38">
        <f>Inputs!I66*$L$7</f>
        <v>-200.64382151556507</v>
      </c>
      <c r="I50" s="38">
        <f>Inputs!J66*$M$7</f>
        <v>-206.08126907863686</v>
      </c>
      <c r="J50" s="38">
        <f>Inputs!K66*$N$7</f>
        <v>-211.6660714706679</v>
      </c>
      <c r="K50" s="38">
        <f>Inputs!L66*$O$7</f>
        <v>-217.40222200752297</v>
      </c>
    </row>
    <row r="51" spans="1:11">
      <c r="A51" s="5" t="s">
        <v>63</v>
      </c>
      <c r="B51" s="38">
        <f>Inputs!B67</f>
        <v>0</v>
      </c>
      <c r="C51" s="38">
        <f>Inputs!C67</f>
        <v>0</v>
      </c>
      <c r="D51" s="38">
        <f>Inputs!D67</f>
        <v>0</v>
      </c>
      <c r="E51" s="38">
        <f>Inputs!E67</f>
        <v>0</v>
      </c>
      <c r="F51" s="38">
        <f>Inputs!G67*$J$7</f>
        <v>-504.49745795854517</v>
      </c>
      <c r="G51" s="38">
        <f>Inputs!H67*$K$7</f>
        <v>0</v>
      </c>
      <c r="H51" s="38">
        <f>Inputs!I67*$L$7</f>
        <v>0</v>
      </c>
      <c r="I51" s="38">
        <f>Inputs!J67*$M$7</f>
        <v>0</v>
      </c>
      <c r="J51" s="38">
        <f>Inputs!K67*$N$7</f>
        <v>0</v>
      </c>
      <c r="K51" s="38">
        <f>Inputs!L67*$O$7</f>
        <v>0</v>
      </c>
    </row>
    <row r="53" spans="1:11">
      <c r="A53" s="1" t="s">
        <v>281</v>
      </c>
      <c r="B53" s="34" t="s">
        <v>10</v>
      </c>
      <c r="C53" s="34" t="s">
        <v>11</v>
      </c>
      <c r="D53" s="34" t="s">
        <v>9</v>
      </c>
      <c r="E53" s="34" t="s">
        <v>12</v>
      </c>
      <c r="F53" s="34" t="s">
        <v>13</v>
      </c>
      <c r="G53" s="34" t="s">
        <v>14</v>
      </c>
      <c r="H53" s="34" t="s">
        <v>15</v>
      </c>
      <c r="I53" s="34" t="s">
        <v>16</v>
      </c>
      <c r="J53" s="34" t="s">
        <v>17</v>
      </c>
      <c r="K53" s="34" t="s">
        <v>18</v>
      </c>
    </row>
    <row r="54" spans="1:11">
      <c r="A54" s="5" t="s">
        <v>281</v>
      </c>
      <c r="B54" s="38">
        <f>Inputs!B71</f>
        <v>-23.654330000000002</v>
      </c>
      <c r="C54" s="38">
        <f>Inputs!C71</f>
        <v>-25.683949999999999</v>
      </c>
      <c r="D54" s="38">
        <f>Inputs!D71</f>
        <v>-21.623049999999999</v>
      </c>
      <c r="E54" s="38">
        <f>Inputs!E71</f>
        <v>-39.606859999999998</v>
      </c>
      <c r="F54" s="38">
        <f>Inputs!G71*Calc1!J$7</f>
        <v>-50.449745795854518</v>
      </c>
      <c r="G54" s="38">
        <f>Inputs!H71*Calc1!K$7</f>
        <v>0</v>
      </c>
      <c r="H54" s="38">
        <f>Inputs!I71*Calc1!L$7</f>
        <v>0</v>
      </c>
      <c r="I54" s="38">
        <f>Inputs!J71*Calc1!M$7</f>
        <v>0</v>
      </c>
      <c r="J54" s="38">
        <f>Inputs!K71*Calc1!N$7</f>
        <v>0</v>
      </c>
      <c r="K54" s="38">
        <f>Inputs!L71*Calc1!O$7</f>
        <v>0</v>
      </c>
    </row>
    <row r="56" spans="1:11">
      <c r="A56" s="1" t="s">
        <v>29</v>
      </c>
      <c r="B56" s="34" t="s">
        <v>10</v>
      </c>
      <c r="C56" s="34" t="s">
        <v>11</v>
      </c>
      <c r="D56" s="34" t="s">
        <v>9</v>
      </c>
      <c r="E56" s="34" t="s">
        <v>12</v>
      </c>
      <c r="F56" s="34" t="s">
        <v>13</v>
      </c>
      <c r="G56" s="34" t="s">
        <v>14</v>
      </c>
      <c r="H56" s="34" t="s">
        <v>15</v>
      </c>
      <c r="I56" s="34" t="s">
        <v>16</v>
      </c>
      <c r="J56" s="34" t="s">
        <v>17</v>
      </c>
      <c r="K56" s="34" t="s">
        <v>18</v>
      </c>
    </row>
    <row r="57" spans="1:11">
      <c r="A57" s="5" t="s">
        <v>657</v>
      </c>
      <c r="B57" s="38">
        <f>Inputs!B75</f>
        <v>-292.66307999999992</v>
      </c>
      <c r="C57" s="38">
        <f>Inputs!C75</f>
        <v>-368.59472000000005</v>
      </c>
      <c r="D57" s="38">
        <f>Inputs!D75</f>
        <v>-402.91129000000006</v>
      </c>
      <c r="E57" s="38">
        <f>Inputs!E75</f>
        <v>-478.35872999999998</v>
      </c>
      <c r="F57" s="38">
        <f>Inputs!G75*Calc1!J$7</f>
        <v>-529.61213578177001</v>
      </c>
      <c r="G57" s="38">
        <f>Inputs!H75*Calc1!K$7</f>
        <v>-422.27001558182184</v>
      </c>
      <c r="H57" s="38">
        <f>Inputs!I75*Calc1!L$7</f>
        <v>-433.71353300408919</v>
      </c>
      <c r="I57" s="38">
        <f>Inputs!J75*Calc1!M$7</f>
        <v>-445.46716974849994</v>
      </c>
      <c r="J57" s="38">
        <f>Inputs!K75*Calc1!N$7</f>
        <v>-457.53933004868423</v>
      </c>
      <c r="K57" s="38">
        <f>Inputs!L75*Calc1!O$7</f>
        <v>-469.93864589300352</v>
      </c>
    </row>
    <row r="58" spans="1:11">
      <c r="A58" s="5" t="s">
        <v>658</v>
      </c>
      <c r="B58" s="38">
        <f>Inputs!B76</f>
        <v>-157.4169</v>
      </c>
      <c r="C58" s="38">
        <f>Inputs!C76</f>
        <v>-121.12184999999999</v>
      </c>
      <c r="D58" s="38">
        <f>Inputs!D76</f>
        <v>-184.6815</v>
      </c>
      <c r="E58" s="38">
        <f>Inputs!E76</f>
        <v>-100.47192999999997</v>
      </c>
      <c r="F58" s="38">
        <f>Inputs!G76*Calc1!J$7</f>
        <v>-106.98255545561206</v>
      </c>
      <c r="G58" s="38">
        <f>Inputs!H76*Calc1!K$7</f>
        <v>-221.80635994741101</v>
      </c>
      <c r="H58" s="38">
        <f>Inputs!I76*Calc1!L$7</f>
        <v>-227.81731230198585</v>
      </c>
      <c r="I58" s="38">
        <f>Inputs!J76*Calc1!M$7</f>
        <v>-233.99116146536963</v>
      </c>
      <c r="J58" s="38">
        <f>Inputs!K76*Calc1!N$7</f>
        <v>-240.33232194108112</v>
      </c>
      <c r="K58" s="38">
        <f>Inputs!L76*Calc1!O$7</f>
        <v>-246.84532786568437</v>
      </c>
    </row>
    <row r="60" spans="1:11">
      <c r="A60" s="1" t="s">
        <v>102</v>
      </c>
      <c r="B60" s="34" t="s">
        <v>10</v>
      </c>
      <c r="C60" s="34" t="s">
        <v>11</v>
      </c>
      <c r="D60" s="34" t="s">
        <v>9</v>
      </c>
      <c r="E60" s="34" t="s">
        <v>12</v>
      </c>
      <c r="F60" s="34" t="s">
        <v>13</v>
      </c>
      <c r="G60" s="34" t="s">
        <v>14</v>
      </c>
      <c r="H60" s="34" t="s">
        <v>15</v>
      </c>
      <c r="I60" s="34" t="s">
        <v>16</v>
      </c>
      <c r="J60" s="34" t="s">
        <v>17</v>
      </c>
      <c r="K60" s="34" t="s">
        <v>18</v>
      </c>
    </row>
    <row r="61" spans="1:11">
      <c r="A61" s="5" t="s">
        <v>38</v>
      </c>
      <c r="B61" s="38">
        <f>Inputs!B80</f>
        <v>0</v>
      </c>
      <c r="C61" s="38">
        <f>Inputs!C80</f>
        <v>0</v>
      </c>
      <c r="D61" s="38">
        <f>Inputs!D80</f>
        <v>0</v>
      </c>
      <c r="E61" s="38">
        <f>Inputs!E80</f>
        <v>0</v>
      </c>
      <c r="F61" s="38">
        <f>Inputs!G80*$J$7</f>
        <v>0</v>
      </c>
      <c r="G61" s="38">
        <f>Inputs!H80*$K$7</f>
        <v>0</v>
      </c>
      <c r="H61" s="38">
        <f>Inputs!I80*$L$7</f>
        <v>0</v>
      </c>
      <c r="I61" s="38">
        <f>Inputs!J80*$M$7</f>
        <v>0</v>
      </c>
      <c r="J61" s="38">
        <f>Inputs!K80*$N$7</f>
        <v>0</v>
      </c>
      <c r="K61" s="38">
        <f>Inputs!L80*$O$7</f>
        <v>0</v>
      </c>
    </row>
    <row r="62" spans="1:11">
      <c r="A62" s="5" t="s">
        <v>105</v>
      </c>
      <c r="B62" s="38">
        <f>Inputs!B81</f>
        <v>-1594.63183</v>
      </c>
      <c r="C62" s="38">
        <f>Inputs!C81</f>
        <v>-1729.8462</v>
      </c>
      <c r="D62" s="38">
        <f>Inputs!D81</f>
        <v>-1890.8625400000001</v>
      </c>
      <c r="E62" s="38">
        <f>Inputs!E81</f>
        <v>-1889.8563899999999</v>
      </c>
      <c r="F62" s="38">
        <f>Inputs!G81*$J$7</f>
        <v>-2557.185784122018</v>
      </c>
    </row>
    <row r="63" spans="1:11">
      <c r="A63" s="5" t="s">
        <v>106</v>
      </c>
      <c r="B63" s="38">
        <f>Inputs!B82</f>
        <v>-1011.3592697691601</v>
      </c>
      <c r="C63" s="38">
        <f>Inputs!C82</f>
        <v>-944.43826836689198</v>
      </c>
      <c r="D63" s="38">
        <f>Inputs!D82</f>
        <v>-818.46162780891666</v>
      </c>
      <c r="E63" s="38">
        <f>Inputs!E82</f>
        <v>-665.89989719920391</v>
      </c>
      <c r="F63" s="38">
        <f>Inputs!G82*$J$7</f>
        <v>-516.28729752682148</v>
      </c>
    </row>
    <row r="66" spans="1:11">
      <c r="A66" s="2" t="s">
        <v>632</v>
      </c>
      <c r="B66" s="34" t="s">
        <v>10</v>
      </c>
      <c r="C66" s="34" t="s">
        <v>11</v>
      </c>
      <c r="D66" s="34" t="s">
        <v>9</v>
      </c>
      <c r="E66" s="34" t="s">
        <v>12</v>
      </c>
    </row>
    <row r="67" spans="1:11">
      <c r="A67" s="5" t="s">
        <v>172</v>
      </c>
      <c r="B67" s="38">
        <f>Inputs!B88</f>
        <v>58917</v>
      </c>
      <c r="C67" s="38">
        <f>Inputs!C88</f>
        <v>62665</v>
      </c>
      <c r="D67" s="38">
        <f>Inputs!D88</f>
        <v>92294</v>
      </c>
      <c r="E67" s="38">
        <f>Inputs!E88</f>
        <v>90782</v>
      </c>
    </row>
    <row r="68" spans="1:11">
      <c r="A68" s="5" t="s">
        <v>283</v>
      </c>
      <c r="B68" s="38">
        <f>Inputs!B89</f>
        <v>457</v>
      </c>
      <c r="C68" s="38">
        <f>Inputs!C89</f>
        <v>9367</v>
      </c>
      <c r="D68" s="38">
        <f>Inputs!D89</f>
        <v>-10166</v>
      </c>
      <c r="E68" s="38">
        <f>Inputs!E89</f>
        <v>5169</v>
      </c>
    </row>
    <row r="69" spans="1:11">
      <c r="A69" s="5" t="s">
        <v>284</v>
      </c>
      <c r="B69" s="38">
        <f>Inputs!B90</f>
        <v>-44914</v>
      </c>
      <c r="C69" s="38">
        <f>Inputs!C90</f>
        <v>-56336</v>
      </c>
      <c r="D69" s="38">
        <f>Inputs!D90</f>
        <v>-65991</v>
      </c>
      <c r="E69" s="38">
        <f>Inputs!E90</f>
        <v>-78423</v>
      </c>
    </row>
    <row r="70" spans="1:11">
      <c r="A70" s="5" t="s">
        <v>285</v>
      </c>
      <c r="B70" s="38">
        <f>Inputs!B91</f>
        <v>-8683</v>
      </c>
      <c r="C70" s="38">
        <f>Inputs!C91</f>
        <v>-10108</v>
      </c>
      <c r="D70" s="38">
        <f>Inputs!D91</f>
        <v>-11193</v>
      </c>
      <c r="E70" s="38">
        <f>Inputs!E91</f>
        <v>-13226</v>
      </c>
    </row>
    <row r="71" spans="1:11">
      <c r="A71" s="5" t="s">
        <v>289</v>
      </c>
      <c r="B71" s="38">
        <f>Inputs!B92</f>
        <v>-24</v>
      </c>
      <c r="C71" s="38">
        <f>Inputs!C92</f>
        <v>-22</v>
      </c>
      <c r="D71" s="38">
        <f>Inputs!D92</f>
        <v>25</v>
      </c>
      <c r="E71" s="38">
        <f>Inputs!E92</f>
        <v>0</v>
      </c>
    </row>
    <row r="72" spans="1:11">
      <c r="A72" s="5" t="s">
        <v>286</v>
      </c>
      <c r="B72" s="38">
        <f>Inputs!B93</f>
        <v>150</v>
      </c>
      <c r="C72" s="38">
        <f>Inputs!C93</f>
        <v>386</v>
      </c>
      <c r="D72" s="38">
        <f>Inputs!D93</f>
        <v>555</v>
      </c>
      <c r="E72" s="38">
        <f>Inputs!E93</f>
        <v>722</v>
      </c>
    </row>
    <row r="73" spans="1:11">
      <c r="A73" s="5" t="s">
        <v>287</v>
      </c>
      <c r="B73" s="38">
        <f>Inputs!B94</f>
        <v>-901</v>
      </c>
      <c r="C73" s="38">
        <f>Inputs!C94</f>
        <v>-1490</v>
      </c>
      <c r="D73" s="38">
        <f>Inputs!D94</f>
        <v>-1121</v>
      </c>
      <c r="E73" s="38">
        <f>Inputs!E94</f>
        <v>-1032</v>
      </c>
    </row>
    <row r="74" spans="1:11">
      <c r="A74" s="5" t="s">
        <v>638</v>
      </c>
      <c r="B74" s="38">
        <f>Inputs!B95</f>
        <v>-1634</v>
      </c>
      <c r="C74" s="38">
        <f>Inputs!C95</f>
        <v>1256</v>
      </c>
      <c r="D74" s="38">
        <f>Inputs!D95</f>
        <v>-3620</v>
      </c>
      <c r="E74" s="38">
        <f>Inputs!E95</f>
        <v>121</v>
      </c>
    </row>
    <row r="75" spans="1:11">
      <c r="A75" s="5" t="s">
        <v>168</v>
      </c>
      <c r="B75" s="38">
        <f>Inputs!B96</f>
        <v>-1595</v>
      </c>
      <c r="C75" s="38">
        <f>Inputs!C96</f>
        <v>-1730</v>
      </c>
      <c r="D75" s="38">
        <f>Inputs!D96</f>
        <v>-1891</v>
      </c>
      <c r="E75" s="38">
        <f>Inputs!E96</f>
        <v>-1893</v>
      </c>
    </row>
    <row r="77" spans="1:11">
      <c r="A77" s="5"/>
      <c r="B77" s="34" t="s">
        <v>10</v>
      </c>
      <c r="C77" s="34" t="s">
        <v>11</v>
      </c>
      <c r="D77" s="34" t="s">
        <v>9</v>
      </c>
      <c r="E77" s="34" t="s">
        <v>12</v>
      </c>
      <c r="F77" s="34" t="s">
        <v>13</v>
      </c>
      <c r="G77" s="34" t="s">
        <v>14</v>
      </c>
      <c r="H77" s="34" t="s">
        <v>15</v>
      </c>
      <c r="I77" s="34" t="s">
        <v>16</v>
      </c>
      <c r="J77" s="34" t="s">
        <v>17</v>
      </c>
      <c r="K77" s="34" t="s">
        <v>18</v>
      </c>
    </row>
    <row r="78" spans="1:11">
      <c r="A78" s="5" t="s">
        <v>291</v>
      </c>
      <c r="B78" s="38">
        <f>Inputs!B100</f>
        <v>15</v>
      </c>
      <c r="C78" s="38">
        <f>Inputs!C100</f>
        <v>-267</v>
      </c>
      <c r="D78" s="38">
        <f>Inputs!D100</f>
        <v>-77</v>
      </c>
      <c r="E78" s="38">
        <f>Inputs!E100</f>
        <v>169</v>
      </c>
      <c r="F78" s="38">
        <f>Inputs!G100</f>
        <v>923</v>
      </c>
      <c r="G78" s="38">
        <f>Inputs!H100</f>
        <v>-1280.6526491082514</v>
      </c>
      <c r="H78" s="38">
        <f>Inputs!I100</f>
        <v>0</v>
      </c>
      <c r="I78" s="38">
        <f>Inputs!J100</f>
        <v>0</v>
      </c>
      <c r="J78" s="38">
        <f>Inputs!K100</f>
        <v>0</v>
      </c>
      <c r="K78" s="38">
        <f>Inputs!L100</f>
        <v>0</v>
      </c>
    </row>
    <row r="80" spans="1:11">
      <c r="A80" s="1" t="s">
        <v>634</v>
      </c>
      <c r="B80" s="34" t="s">
        <v>10</v>
      </c>
      <c r="C80" s="34" t="s">
        <v>11</v>
      </c>
      <c r="D80" s="34" t="s">
        <v>9</v>
      </c>
      <c r="E80" s="34" t="s">
        <v>12</v>
      </c>
      <c r="F80" s="34" t="s">
        <v>13</v>
      </c>
      <c r="G80" s="34" t="s">
        <v>14</v>
      </c>
      <c r="H80" s="34" t="s">
        <v>15</v>
      </c>
      <c r="I80" s="34" t="s">
        <v>16</v>
      </c>
      <c r="J80" s="34" t="s">
        <v>17</v>
      </c>
      <c r="K80" s="34" t="s">
        <v>18</v>
      </c>
    </row>
    <row r="81" spans="1:11">
      <c r="A81" s="5" t="s">
        <v>293</v>
      </c>
      <c r="B81" s="38">
        <f>Inputs!B137</f>
        <v>0</v>
      </c>
      <c r="C81" s="38">
        <f>Inputs!C137</f>
        <v>0</v>
      </c>
      <c r="D81" s="38">
        <f>Inputs!D137</f>
        <v>0</v>
      </c>
      <c r="E81" s="38">
        <f>Inputs!E137</f>
        <v>0</v>
      </c>
      <c r="F81" s="38">
        <f>Inputs!G137*Calc1!J7</f>
        <v>504.49745795854517</v>
      </c>
      <c r="G81" s="38">
        <f>Inputs!H137*Calc1!K7</f>
        <v>586.03737789340528</v>
      </c>
      <c r="H81" s="38">
        <f>Inputs!I137*Calc1!L7</f>
        <v>122.92843549211874</v>
      </c>
      <c r="I81" s="38">
        <f>Inputs!J137*Calc1!M7</f>
        <v>126.25979609395513</v>
      </c>
      <c r="J81" s="38">
        <f>Inputs!K137*Calc1!N7</f>
        <v>129.6814365681013</v>
      </c>
      <c r="K81" s="38">
        <f>Inputs!L137*Calc1!O7</f>
        <v>133.19580349909683</v>
      </c>
    </row>
    <row r="85" spans="1:11">
      <c r="A85" s="2" t="s">
        <v>172</v>
      </c>
      <c r="B85" s="34" t="s">
        <v>10</v>
      </c>
      <c r="C85" s="34" t="s">
        <v>11</v>
      </c>
      <c r="D85" s="34" t="s">
        <v>9</v>
      </c>
      <c r="E85" s="34" t="s">
        <v>12</v>
      </c>
      <c r="F85" s="34" t="s">
        <v>13</v>
      </c>
      <c r="G85" s="34" t="s">
        <v>14</v>
      </c>
      <c r="H85" s="34" t="s">
        <v>15</v>
      </c>
      <c r="I85" s="34" t="s">
        <v>16</v>
      </c>
      <c r="J85" s="34" t="s">
        <v>17</v>
      </c>
      <c r="K85" s="34" t="s">
        <v>18</v>
      </c>
    </row>
    <row r="86" spans="1:11">
      <c r="A86" s="5" t="s">
        <v>143</v>
      </c>
      <c r="B86" s="38">
        <f>Inputs!B105</f>
        <v>24385.17137</v>
      </c>
      <c r="C86" s="38">
        <f>Inputs!C105</f>
        <v>26140.82069</v>
      </c>
      <c r="D86" s="38">
        <f>Inputs!D105</f>
        <v>31993.618760000001</v>
      </c>
      <c r="E86" s="38">
        <f>Inputs!E105</f>
        <v>26233.567449999999</v>
      </c>
      <c r="F86" s="38">
        <f>Inputs!G105*$J$7</f>
        <v>34627.192021900657</v>
      </c>
      <c r="G86" s="38">
        <f>Inputs!H105*$K$7</f>
        <v>34686.255557293698</v>
      </c>
      <c r="H86" s="38">
        <f>Inputs!I105*$L$7</f>
        <v>35206.870241107856</v>
      </c>
      <c r="I86" s="38">
        <f>Inputs!J105*$M$7</f>
        <v>35931.389864925623</v>
      </c>
      <c r="J86" s="38">
        <f>Inputs!K105*$N$7</f>
        <v>37046.615543555839</v>
      </c>
      <c r="K86" s="38">
        <f>Inputs!L105*$O$7</f>
        <v>38794.475022106366</v>
      </c>
    </row>
    <row r="87" spans="1:11">
      <c r="A87" s="5" t="s">
        <v>144</v>
      </c>
      <c r="B87" s="38">
        <f>Inputs!B106</f>
        <v>457</v>
      </c>
      <c r="C87" s="38">
        <f>Inputs!C106</f>
        <v>9367</v>
      </c>
      <c r="D87" s="38">
        <f>Inputs!D106</f>
        <v>-10165.62703</v>
      </c>
      <c r="E87" s="38">
        <f>Inputs!E106</f>
        <v>4457.1311500000093</v>
      </c>
      <c r="F87" s="38">
        <f>Inputs!G106*$J$7</f>
        <v>0</v>
      </c>
      <c r="G87" s="38">
        <f>Inputs!H106*$K$7</f>
        <v>0</v>
      </c>
      <c r="H87" s="38">
        <f>Inputs!I106*$L$7</f>
        <v>0</v>
      </c>
      <c r="I87" s="38">
        <f>Inputs!J106*$M$7</f>
        <v>0</v>
      </c>
      <c r="J87" s="38">
        <f>Inputs!K106*$N$7</f>
        <v>0</v>
      </c>
      <c r="K87" s="38">
        <f>Inputs!L106*$O$7</f>
        <v>0</v>
      </c>
    </row>
    <row r="88" spans="1:11">
      <c r="A88" s="5" t="s">
        <v>145</v>
      </c>
      <c r="B88" s="38">
        <f>Inputs!B107</f>
        <v>2572.0569999999998</v>
      </c>
      <c r="C88" s="38">
        <f>Inputs!C107</f>
        <v>277.54822000000001</v>
      </c>
      <c r="D88" s="38">
        <f>Inputs!D107</f>
        <v>210.524</v>
      </c>
      <c r="E88" s="38">
        <f>Inputs!E107</f>
        <v>60.931359999999998</v>
      </c>
      <c r="F88" s="38">
        <f>Inputs!G107*$J$7</f>
        <v>614.47790379350806</v>
      </c>
      <c r="G88" s="38">
        <f>Inputs!H107*$K$7</f>
        <v>631.13025498631202</v>
      </c>
      <c r="H88" s="38">
        <f>Inputs!I107*$L$7</f>
        <v>648.23388489644105</v>
      </c>
      <c r="I88" s="38">
        <f>Inputs!J107*$M$7</f>
        <v>665.80102317713454</v>
      </c>
      <c r="J88" s="38">
        <f>Inputs!K107*$N$7</f>
        <v>683.84423090523478</v>
      </c>
      <c r="K88" s="38">
        <f>Inputs!L107*$O$7</f>
        <v>702.37640956276653</v>
      </c>
    </row>
    <row r="89" spans="1:11">
      <c r="A89" s="5" t="s">
        <v>146</v>
      </c>
      <c r="B89" s="38">
        <f>Inputs!B108</f>
        <v>31900.618409999999</v>
      </c>
      <c r="C89" s="38">
        <f>Inputs!C108</f>
        <v>36196.60383</v>
      </c>
      <c r="D89" s="38">
        <f>Inputs!D108</f>
        <v>45294.977559999999</v>
      </c>
      <c r="E89" s="38">
        <f>Inputs!E108</f>
        <v>44888.029539999996</v>
      </c>
      <c r="F89" s="38">
        <f>Inputs!G108*$J$7</f>
        <v>30432.879722446796</v>
      </c>
      <c r="G89" s="38">
        <f>Inputs!H108*$K$7</f>
        <v>50780.595228783728</v>
      </c>
      <c r="H89" s="38">
        <f>Inputs!I108*$L$7</f>
        <v>57478.866641063738</v>
      </c>
      <c r="I89" s="38">
        <f>Inputs!J108*$M$7</f>
        <v>59036.54392703656</v>
      </c>
      <c r="J89" s="38">
        <f>Inputs!K108*$N$7</f>
        <v>60636.434267459241</v>
      </c>
      <c r="K89" s="38">
        <f>Inputs!L108*$O$7</f>
        <v>62279.681636107372</v>
      </c>
    </row>
    <row r="90" spans="1:11">
      <c r="A90" s="5" t="s">
        <v>147</v>
      </c>
      <c r="B90" s="38">
        <f>Inputs!B109</f>
        <v>0</v>
      </c>
      <c r="C90" s="38">
        <f>Inputs!C109</f>
        <v>0</v>
      </c>
      <c r="D90" s="38">
        <f>Inputs!D109</f>
        <v>14546.147510000001</v>
      </c>
      <c r="E90" s="38">
        <f>Inputs!E109</f>
        <v>19288.163570000001</v>
      </c>
      <c r="F90" s="38">
        <f>Inputs!G109*$J$7</f>
        <v>24180.058662495103</v>
      </c>
      <c r="G90" s="38">
        <f>Inputs!H109*$K$7</f>
        <v>24872.128275322641</v>
      </c>
      <c r="H90" s="38">
        <f>Inputs!I109*$L$7</f>
        <v>25546.162951583883</v>
      </c>
      <c r="I90" s="38">
        <f>Inputs!J109*$M$7</f>
        <v>26238.463967571803</v>
      </c>
      <c r="J90" s="38">
        <f>Inputs!K109*$N$7</f>
        <v>26949.526341092995</v>
      </c>
      <c r="K90" s="38">
        <f>Inputs!L109*$O$7</f>
        <v>27679.858504936612</v>
      </c>
    </row>
    <row r="91" spans="1:11">
      <c r="A91" s="5" t="s">
        <v>107</v>
      </c>
      <c r="B91" s="38">
        <f>Inputs!B110</f>
        <v>25.84769</v>
      </c>
      <c r="C91" s="38">
        <f>Inputs!C110</f>
        <v>26.770420000000001</v>
      </c>
      <c r="D91" s="38">
        <f>Inputs!D110</f>
        <v>27.648689999999998</v>
      </c>
      <c r="E91" s="38">
        <f>Inputs!E110</f>
        <v>28.326840000000001</v>
      </c>
      <c r="F91" s="38">
        <f>Inputs!G110*$J$7</f>
        <v>28.581637543996873</v>
      </c>
      <c r="G91" s="38">
        <f>Inputs!H110*$K$7</f>
        <v>29.356199921439185</v>
      </c>
      <c r="H91" s="38">
        <f>Inputs!I110*$L$7</f>
        <v>30.151752939310185</v>
      </c>
      <c r="I91" s="38">
        <f>Inputs!J110*$M$7</f>
        <v>30.968865443965488</v>
      </c>
      <c r="J91" s="38">
        <f>Inputs!K110*$N$7</f>
        <v>31.808121697496947</v>
      </c>
      <c r="K91" s="38">
        <f>Inputs!L110*$O$7</f>
        <v>32.670121795499107</v>
      </c>
    </row>
    <row r="92" spans="1:11">
      <c r="A92" s="5" t="s">
        <v>108</v>
      </c>
      <c r="B92" s="38">
        <f>Inputs!B111</f>
        <v>33.562220000000003</v>
      </c>
      <c r="C92" s="38">
        <f>Inputs!C111</f>
        <v>23.007010000000001</v>
      </c>
      <c r="D92" s="38">
        <f>Inputs!D111</f>
        <v>221.35183000000001</v>
      </c>
      <c r="E92" s="38">
        <f>Inputs!E111</f>
        <v>282.89775999999995</v>
      </c>
      <c r="F92" s="38">
        <f>Inputs!G111*$J$7</f>
        <v>0</v>
      </c>
      <c r="G92" s="38">
        <f>Inputs!H111*$K$7</f>
        <v>0</v>
      </c>
      <c r="H92" s="38">
        <f>Inputs!I111*$L$7</f>
        <v>0</v>
      </c>
      <c r="I92" s="38">
        <f>Inputs!J111*$M$7</f>
        <v>0</v>
      </c>
      <c r="J92" s="38">
        <f>Inputs!K111*$N$7</f>
        <v>0</v>
      </c>
      <c r="K92" s="38">
        <f>Inputs!L111*$O$7</f>
        <v>0</v>
      </c>
    </row>
    <row r="93" spans="1:11">
      <c r="A93" s="5" t="s">
        <v>148</v>
      </c>
      <c r="B93" s="38">
        <f>SUM(Inputs!B105:B111)</f>
        <v>59374.256690000002</v>
      </c>
      <c r="C93" s="38">
        <f>SUM(Inputs!C105:C111)</f>
        <v>72031.750169999999</v>
      </c>
      <c r="D93" s="38">
        <f>SUM(Inputs!D105:D111)</f>
        <v>82128.641319999995</v>
      </c>
      <c r="E93" s="38">
        <f>SUM(Inputs!E105:E111)</f>
        <v>95239.047670000014</v>
      </c>
      <c r="F93" s="38">
        <f>SUM(Inputs!G105:G111)*$J$7</f>
        <v>89883.18994818005</v>
      </c>
      <c r="G93" s="38">
        <f>SUM(Inputs!H105:H111)*$K$7</f>
        <v>110999.46551630781</v>
      </c>
      <c r="H93" s="38">
        <f>SUM(Inputs!I105:I111)*$L$7</f>
        <v>118910.28547159121</v>
      </c>
      <c r="I93" s="38">
        <f>SUM(Inputs!J105:J111)*$M$7</f>
        <v>121903.16764815508</v>
      </c>
      <c r="J93" s="38">
        <f>SUM(Inputs!K105:K111)*$N$7</f>
        <v>125348.22850471079</v>
      </c>
      <c r="K93" s="38">
        <f>SUM(Inputs!L105:L111)*$O$7</f>
        <v>129489.06169450861</v>
      </c>
    </row>
    <row r="94" spans="1:11">
      <c r="A94" s="2" t="s">
        <v>160</v>
      </c>
    </row>
    <row r="95" spans="1:11">
      <c r="A95" s="5" t="s">
        <v>109</v>
      </c>
      <c r="B95" s="38">
        <f>Inputs!B113</f>
        <v>-10121.615220000002</v>
      </c>
      <c r="C95" s="38">
        <f>Inputs!C113</f>
        <v>-10827.81408</v>
      </c>
      <c r="D95" s="38">
        <f>Inputs!D113</f>
        <v>-8180.1376300000002</v>
      </c>
      <c r="E95" s="38">
        <f>Inputs!E113</f>
        <v>-11252.929</v>
      </c>
      <c r="F95" s="38">
        <f>Inputs!G113*$J$7</f>
        <v>-14382.705345409384</v>
      </c>
      <c r="G95" s="38">
        <f>Inputs!H113*$K$7</f>
        <v>-15545.08017207665</v>
      </c>
      <c r="H95" s="38">
        <f>Inputs!I113*$L$7</f>
        <v>-24481.739495267888</v>
      </c>
      <c r="I95" s="38">
        <f>Inputs!J113*$M$7</f>
        <v>-33891.34929144691</v>
      </c>
      <c r="J95" s="38">
        <f>Inputs!K113*$N$7</f>
        <v>-43792.980304276112</v>
      </c>
      <c r="K95" s="38">
        <f>Inputs!L113*$O$7</f>
        <v>-54062.223642454315</v>
      </c>
    </row>
    <row r="96" spans="1:11">
      <c r="A96" s="5" t="s">
        <v>110</v>
      </c>
      <c r="B96" s="38">
        <f>Inputs!B114</f>
        <v>-447.86378000000002</v>
      </c>
      <c r="C96" s="38">
        <f>Inputs!C114</f>
        <v>-449.70301999999998</v>
      </c>
      <c r="D96" s="38">
        <f>Inputs!D114</f>
        <v>-677.33687999999995</v>
      </c>
      <c r="E96" s="38">
        <f>Inputs!E114</f>
        <v>0</v>
      </c>
      <c r="F96" s="38">
        <f>Inputs!G114*$J$7</f>
        <v>0</v>
      </c>
      <c r="G96" s="38">
        <f>Inputs!H114*$K$7</f>
        <v>0</v>
      </c>
      <c r="H96" s="38">
        <f>Inputs!I114*$L$7</f>
        <v>0</v>
      </c>
      <c r="I96" s="38">
        <f>Inputs!J114*$M$7</f>
        <v>0</v>
      </c>
      <c r="J96" s="38">
        <f>Inputs!K114*$N$7</f>
        <v>0</v>
      </c>
      <c r="K96" s="38">
        <f>Inputs!L114*$O$7</f>
        <v>0</v>
      </c>
    </row>
    <row r="97" spans="1:11">
      <c r="A97" s="5" t="s">
        <v>111</v>
      </c>
      <c r="B97" s="38">
        <f>Inputs!B115</f>
        <v>-331.67344000000003</v>
      </c>
      <c r="C97" s="38">
        <f>Inputs!C115</f>
        <v>-201.33622</v>
      </c>
      <c r="D97" s="38">
        <f>Inputs!D115</f>
        <v>-700.77828</v>
      </c>
      <c r="E97" s="38">
        <f>Inputs!E115</f>
        <v>0</v>
      </c>
      <c r="F97" s="38">
        <f>Inputs!G115*$J$7</f>
        <v>0</v>
      </c>
      <c r="G97" s="38">
        <f>Inputs!H115*$K$7</f>
        <v>0</v>
      </c>
      <c r="H97" s="38">
        <f>Inputs!I115*$L$7</f>
        <v>0</v>
      </c>
      <c r="I97" s="38">
        <f>Inputs!J115*$M$7</f>
        <v>0</v>
      </c>
      <c r="J97" s="38">
        <f>Inputs!K115*$N$7</f>
        <v>0</v>
      </c>
      <c r="K97" s="38">
        <f>Inputs!L115*$O$7</f>
        <v>0</v>
      </c>
    </row>
    <row r="98" spans="1:11">
      <c r="A98" s="5" t="s">
        <v>145</v>
      </c>
      <c r="B98" s="38">
        <f>Inputs!B116</f>
        <v>-2572.0569999999998</v>
      </c>
      <c r="C98" s="38">
        <f>Inputs!C116</f>
        <v>-102.62922</v>
      </c>
      <c r="D98" s="38">
        <f>Inputs!D116</f>
        <v>-70.144999999999996</v>
      </c>
      <c r="E98" s="38">
        <f>Inputs!E116</f>
        <v>123.3428</v>
      </c>
      <c r="F98" s="38">
        <f>Inputs!G116*$J$7</f>
        <v>-614.59595619867025</v>
      </c>
      <c r="G98" s="38">
        <f>Inputs!H116*$K$7</f>
        <v>-631.25150661165412</v>
      </c>
      <c r="H98" s="38">
        <f>Inputs!I116*$L$7</f>
        <v>-648.35842244082994</v>
      </c>
      <c r="I98" s="38">
        <f>Inputs!J116*$M$7</f>
        <v>-665.92893568897637</v>
      </c>
      <c r="J98" s="38">
        <f>Inputs!K116*$N$7</f>
        <v>-683.97560984614756</v>
      </c>
      <c r="K98" s="38">
        <f>Inputs!L116*$O$7</f>
        <v>-702.51134887297803</v>
      </c>
    </row>
    <row r="99" spans="1:11">
      <c r="A99" s="5" t="s">
        <v>112</v>
      </c>
      <c r="B99" s="38">
        <f>Inputs!B117</f>
        <v>0</v>
      </c>
      <c r="C99" s="38">
        <f>Inputs!C117</f>
        <v>0</v>
      </c>
      <c r="D99" s="38">
        <f>Inputs!D117</f>
        <v>0</v>
      </c>
      <c r="E99" s="38">
        <f>Inputs!E117</f>
        <v>0</v>
      </c>
      <c r="F99" s="38">
        <f>Inputs!G117*$J$7</f>
        <v>0</v>
      </c>
      <c r="G99" s="38">
        <f>Inputs!H117*$K$7</f>
        <v>0</v>
      </c>
      <c r="H99" s="38">
        <f>Inputs!I117*$L$7</f>
        <v>0</v>
      </c>
      <c r="I99" s="38">
        <f>Inputs!J117*$M$7</f>
        <v>0</v>
      </c>
      <c r="J99" s="38">
        <f>Inputs!K117*$N$7</f>
        <v>0</v>
      </c>
      <c r="K99" s="38">
        <f>Inputs!L117*$O$7</f>
        <v>0</v>
      </c>
    </row>
    <row r="100" spans="1:11">
      <c r="A100" s="5" t="s">
        <v>150</v>
      </c>
      <c r="B100" s="38">
        <f>Inputs!B118</f>
        <v>-30872.80186</v>
      </c>
      <c r="C100" s="38">
        <f>Inputs!C118</f>
        <v>-40570.804080000002</v>
      </c>
      <c r="D100" s="38">
        <f>Inputs!D118</f>
        <v>-39813</v>
      </c>
      <c r="E100" s="38">
        <f>Inputs!E118</f>
        <v>-43796.848259999999</v>
      </c>
      <c r="F100" s="38">
        <f>Inputs!G118*$J$7</f>
        <v>-30432.879722446796</v>
      </c>
      <c r="G100" s="38">
        <f>Inputs!H118*$K$7</f>
        <v>-50780.595228783728</v>
      </c>
      <c r="H100" s="38">
        <f>Inputs!I118*$L$7</f>
        <v>-57478.866641063738</v>
      </c>
      <c r="I100" s="38">
        <f>Inputs!J118*$M$7</f>
        <v>-59036.54392703656</v>
      </c>
      <c r="J100" s="38">
        <f>Inputs!K118*$N$7</f>
        <v>-60636.434267459241</v>
      </c>
      <c r="K100" s="38">
        <f>Inputs!L118*$O$7</f>
        <v>-62279.681636107372</v>
      </c>
    </row>
    <row r="101" spans="1:11">
      <c r="A101" s="5" t="s">
        <v>151</v>
      </c>
      <c r="B101" s="38">
        <f>Inputs!B119</f>
        <v>0</v>
      </c>
      <c r="C101" s="38">
        <f>Inputs!C119</f>
        <v>0</v>
      </c>
      <c r="D101" s="38">
        <f>Inputs!D119</f>
        <v>-14499.999970000001</v>
      </c>
      <c r="E101" s="38">
        <f>Inputs!E119</f>
        <v>-19810.000019999999</v>
      </c>
      <c r="F101" s="38">
        <f>Inputs!G119*$J$7</f>
        <v>-24180.058662495103</v>
      </c>
      <c r="G101" s="38">
        <f>Inputs!H119*$K$7</f>
        <v>-24872.128275322641</v>
      </c>
      <c r="H101" s="38">
        <f>Inputs!I119*$L$7</f>
        <v>-25546.162951583883</v>
      </c>
      <c r="I101" s="38">
        <f>Inputs!J119*$M$7</f>
        <v>-26238.463967571803</v>
      </c>
      <c r="J101" s="38">
        <f>Inputs!K119*$N$7</f>
        <v>-26949.526341092995</v>
      </c>
      <c r="K101" s="38">
        <f>Inputs!L119*$O$7</f>
        <v>-27679.858504936612</v>
      </c>
    </row>
    <row r="102" spans="1:11">
      <c r="A102" s="5" t="s">
        <v>152</v>
      </c>
      <c r="B102" s="38">
        <f>Inputs!B120</f>
        <v>0</v>
      </c>
      <c r="C102" s="38">
        <f>Inputs!C120</f>
        <v>-3543.0319</v>
      </c>
      <c r="D102" s="38">
        <f>Inputs!D120</f>
        <v>-1311.7877800000001</v>
      </c>
      <c r="E102" s="38">
        <f>Inputs!E120</f>
        <v>-2356.9339</v>
      </c>
      <c r="F102" s="38">
        <f>Inputs!G120*$J$7</f>
        <v>0</v>
      </c>
      <c r="G102" s="38">
        <f>Inputs!H120*$K$7</f>
        <v>0</v>
      </c>
      <c r="H102" s="38">
        <f>Inputs!I120*$L$7</f>
        <v>0</v>
      </c>
      <c r="I102" s="38">
        <f>Inputs!J120*$M$7</f>
        <v>0</v>
      </c>
      <c r="J102" s="38">
        <f>Inputs!K120*$N$7</f>
        <v>0</v>
      </c>
      <c r="K102" s="38">
        <f>Inputs!L120*$O$7</f>
        <v>0</v>
      </c>
    </row>
    <row r="103" spans="1:11">
      <c r="A103" s="2" t="s">
        <v>161</v>
      </c>
    </row>
    <row r="104" spans="1:11">
      <c r="A104" s="5" t="s">
        <v>153</v>
      </c>
      <c r="B104" s="38">
        <f>Inputs!B122</f>
        <v>-513.11590999999999</v>
      </c>
      <c r="C104" s="38">
        <f>Inputs!C122</f>
        <v>-615.29303000000004</v>
      </c>
      <c r="D104" s="38">
        <f>Inputs!D122</f>
        <v>-721.07333000000006</v>
      </c>
      <c r="E104" s="38">
        <f>Inputs!E122</f>
        <v>-419.06761</v>
      </c>
      <c r="F104" s="38">
        <f>Inputs!G122*$J$7</f>
        <v>-769.90953461087202</v>
      </c>
      <c r="G104" s="38">
        <f>Inputs!H122*$K$7</f>
        <v>-790.77408299882666</v>
      </c>
      <c r="H104" s="38">
        <f>Inputs!I122*$L$7</f>
        <v>-812.2040606480947</v>
      </c>
      <c r="I104" s="38">
        <f>Inputs!J122*$M$7</f>
        <v>-834.21479069165798</v>
      </c>
      <c r="J104" s="38">
        <f>Inputs!K122*$N$7</f>
        <v>-856.82201151940183</v>
      </c>
      <c r="K104" s="38">
        <f>Inputs!L122*$O$7</f>
        <v>-880.04188803157751</v>
      </c>
    </row>
    <row r="105" spans="1:11">
      <c r="A105" s="5" t="s">
        <v>155</v>
      </c>
      <c r="B105" s="38">
        <f>Inputs!B123</f>
        <v>-54.881639999999997</v>
      </c>
      <c r="C105" s="38">
        <f>Inputs!C123</f>
        <v>-24.561360000000001</v>
      </c>
      <c r="D105" s="38">
        <f>Inputs!D123</f>
        <v>-16.424659999999999</v>
      </c>
      <c r="E105" s="38">
        <f>Inputs!E123</f>
        <v>-157.40523999999999</v>
      </c>
      <c r="F105" s="38">
        <f>Inputs!G123*$J$7</f>
        <v>-391.64642158779816</v>
      </c>
      <c r="G105" s="38">
        <f>Inputs!H123*$K$7</f>
        <v>-402.26003961282748</v>
      </c>
      <c r="H105" s="38">
        <f>Inputs!I123*$L$7</f>
        <v>-413.16128668633507</v>
      </c>
      <c r="I105" s="38">
        <f>Inputs!J123*$M$7</f>
        <v>-424.35795755553471</v>
      </c>
      <c r="J105" s="38">
        <f>Inputs!K123*$N$7</f>
        <v>-435.85805820528958</v>
      </c>
      <c r="K105" s="38">
        <f>Inputs!L123*$O$7</f>
        <v>-447.66981158265287</v>
      </c>
    </row>
    <row r="106" spans="1:11">
      <c r="A106" s="5" t="s">
        <v>156</v>
      </c>
      <c r="B106" s="38">
        <f>Inputs!B124</f>
        <v>409.58031</v>
      </c>
      <c r="C106" s="38">
        <f>Inputs!C124</f>
        <v>-79.008900000000011</v>
      </c>
      <c r="D106" s="38">
        <f>Inputs!D124</f>
        <v>-81.479140000000001</v>
      </c>
      <c r="E106" s="38">
        <f>Inputs!E124</f>
        <v>-84.06237999999999</v>
      </c>
      <c r="F106" s="38">
        <f>Inputs!G124*$J$7</f>
        <v>-148.27886585842785</v>
      </c>
      <c r="G106" s="38">
        <f>Inputs!H124*$K$7</f>
        <v>0</v>
      </c>
      <c r="H106" s="38">
        <f>Inputs!I124*$L$7</f>
        <v>0</v>
      </c>
      <c r="I106" s="38">
        <f>Inputs!J124*$M$7</f>
        <v>0</v>
      </c>
      <c r="J106" s="38">
        <f>Inputs!K124*$N$7</f>
        <v>0</v>
      </c>
      <c r="K106" s="38">
        <f>Inputs!L124*$O$7</f>
        <v>0</v>
      </c>
    </row>
    <row r="107" spans="1:11">
      <c r="A107" s="5" t="s">
        <v>157</v>
      </c>
      <c r="B107" s="38">
        <f>Inputs!B125</f>
        <v>-103.38339999999999</v>
      </c>
      <c r="C107" s="38">
        <f>Inputs!C125</f>
        <v>-35</v>
      </c>
      <c r="D107" s="38">
        <f>Inputs!D125</f>
        <v>-34</v>
      </c>
      <c r="E107" s="38">
        <f>Inputs!E125</f>
        <v>-424.27377999999993</v>
      </c>
      <c r="F107" s="38">
        <f>Inputs!G125*$J$7</f>
        <v>0</v>
      </c>
      <c r="G107" s="38">
        <f>Inputs!H125*$K$7</f>
        <v>0</v>
      </c>
      <c r="H107" s="38">
        <f>Inputs!I125*$L$7</f>
        <v>0</v>
      </c>
      <c r="I107" s="38">
        <f>Inputs!J125*$M$7</f>
        <v>0</v>
      </c>
      <c r="J107" s="38">
        <f>Inputs!K125*$N$7</f>
        <v>0</v>
      </c>
      <c r="K107" s="38">
        <f>Inputs!L125*$O$7</f>
        <v>0</v>
      </c>
    </row>
    <row r="108" spans="1:11">
      <c r="A108" s="5" t="s">
        <v>158</v>
      </c>
      <c r="B108" s="38">
        <f>Inputs!B126</f>
        <v>0</v>
      </c>
      <c r="C108" s="38">
        <f>Inputs!C126</f>
        <v>-377</v>
      </c>
      <c r="D108" s="38">
        <f>Inputs!D126</f>
        <v>-160</v>
      </c>
      <c r="E108" s="38">
        <f>Inputs!E126</f>
        <v>-131.74</v>
      </c>
      <c r="F108" s="38">
        <f>Inputs!G126*$J$7</f>
        <v>-130.31875635510366</v>
      </c>
      <c r="G108" s="38">
        <f>Inputs!H126*$K$7</f>
        <v>-147.78189550254203</v>
      </c>
      <c r="H108" s="38">
        <f>Inputs!I126*$L$7</f>
        <v>-151.78678487066091</v>
      </c>
      <c r="I108" s="38">
        <f>Inputs!J126*$M$7</f>
        <v>-155.90020674065579</v>
      </c>
      <c r="J108" s="38">
        <f>Inputs!K126*$N$7</f>
        <v>-160.12510234332754</v>
      </c>
      <c r="K108" s="38">
        <f>Inputs!L126*$O$7</f>
        <v>-164.46449261683168</v>
      </c>
    </row>
    <row r="109" spans="1:11">
      <c r="A109" s="2" t="s">
        <v>1</v>
      </c>
    </row>
    <row r="110" spans="1:11">
      <c r="A110" s="5" t="s">
        <v>159</v>
      </c>
      <c r="B110" s="38">
        <f>Inputs!B128</f>
        <v>-1594.63183</v>
      </c>
      <c r="C110" s="38">
        <f>Inputs!C128</f>
        <v>-1730</v>
      </c>
      <c r="D110" s="38">
        <f>Inputs!D128</f>
        <v>-1890.8625400000001</v>
      </c>
      <c r="E110" s="38">
        <f>Inputs!E128</f>
        <v>-1889.8563899999999</v>
      </c>
      <c r="F110" s="38">
        <f>Inputs!G128*$J$7</f>
        <v>-2557.185784122018</v>
      </c>
      <c r="G110" s="38">
        <f>Inputs!H128*$K$7</f>
        <v>-2626.4855188717247</v>
      </c>
      <c r="H110" s="38">
        <f>Inputs!I128*$L$7</f>
        <v>-2697.663276433148</v>
      </c>
      <c r="I110" s="38">
        <f>Inputs!J128*$M$7</f>
        <v>-2770.7699512244862</v>
      </c>
      <c r="J110" s="38">
        <f>Inputs!K128*$N$7</f>
        <v>-2845.8578169026691</v>
      </c>
      <c r="K110" s="38">
        <f>Inputs!L128*$O$7</f>
        <v>-2922.9805637407312</v>
      </c>
    </row>
    <row r="111" spans="1:11">
      <c r="A111" s="2" t="s">
        <v>170</v>
      </c>
    </row>
    <row r="112" spans="1:11">
      <c r="A112" s="5" t="s">
        <v>248</v>
      </c>
      <c r="B112" s="38">
        <f>Inputs!B130</f>
        <v>150</v>
      </c>
      <c r="C112" s="38">
        <f>Inputs!C130</f>
        <v>364</v>
      </c>
      <c r="D112" s="38">
        <f>Inputs!D130</f>
        <v>580</v>
      </c>
      <c r="E112" s="38">
        <f>Inputs!E130</f>
        <v>713.61402999999996</v>
      </c>
      <c r="F112" s="38">
        <f>Inputs!G130*$J$7</f>
        <v>456.76516582607206</v>
      </c>
      <c r="G112" s="38">
        <f>Inputs!H130*$K$7</f>
        <v>0</v>
      </c>
      <c r="H112" s="38">
        <f>Inputs!I130*$L$7</f>
        <v>0</v>
      </c>
      <c r="I112" s="38">
        <f>Inputs!J130*$M$7</f>
        <v>0</v>
      </c>
      <c r="J112" s="38">
        <f>Inputs!K130*$N$7</f>
        <v>0</v>
      </c>
      <c r="K112" s="38">
        <f>Inputs!L130*$O$7</f>
        <v>0</v>
      </c>
    </row>
    <row r="113" spans="1:11">
      <c r="A113" s="5" t="s">
        <v>209</v>
      </c>
      <c r="B113" s="38">
        <f>Inputs!B131</f>
        <v>-895</v>
      </c>
      <c r="C113" s="38">
        <f>Inputs!C131</f>
        <v>-1460</v>
      </c>
      <c r="D113" s="38">
        <f>Inputs!D131</f>
        <v>-1091</v>
      </c>
      <c r="E113" s="38">
        <f>Inputs!E131</f>
        <v>-1043.2318</v>
      </c>
      <c r="F113" s="38">
        <f>Inputs!G131*$J$7</f>
        <v>-447.33641444006383</v>
      </c>
      <c r="G113" s="38">
        <f>Inputs!H131*$K$7</f>
        <v>0</v>
      </c>
      <c r="H113" s="38">
        <f>Inputs!I131*$L$7</f>
        <v>0</v>
      </c>
      <c r="I113" s="38">
        <f>Inputs!J131*$M$7</f>
        <v>0</v>
      </c>
      <c r="J113" s="38">
        <f>Inputs!K131*$N$7</f>
        <v>0</v>
      </c>
      <c r="K113" s="38">
        <f>Inputs!L131*$O$7</f>
        <v>0</v>
      </c>
    </row>
    <row r="114" spans="1:11">
      <c r="G114" s="75"/>
      <c r="H114" s="75"/>
      <c r="I114" s="75"/>
      <c r="J114" s="75"/>
      <c r="K114" s="75"/>
    </row>
    <row r="115" spans="1:11" s="75" customFormat="1" ht="18.75">
      <c r="A115" s="6" t="s">
        <v>312</v>
      </c>
    </row>
    <row r="117" spans="1:11">
      <c r="A117" s="1" t="s">
        <v>61</v>
      </c>
      <c r="B117" s="34" t="s">
        <v>10</v>
      </c>
      <c r="C117" s="34" t="s">
        <v>11</v>
      </c>
      <c r="D117" s="34" t="s">
        <v>9</v>
      </c>
      <c r="E117" s="34" t="s">
        <v>12</v>
      </c>
      <c r="F117" s="34" t="s">
        <v>13</v>
      </c>
      <c r="G117" s="34" t="s">
        <v>14</v>
      </c>
      <c r="H117" s="34" t="s">
        <v>15</v>
      </c>
      <c r="I117" s="34" t="s">
        <v>16</v>
      </c>
      <c r="J117" s="34" t="s">
        <v>17</v>
      </c>
      <c r="K117" s="34" t="s">
        <v>18</v>
      </c>
    </row>
    <row r="118" spans="1:11">
      <c r="A118" s="5" t="s">
        <v>58</v>
      </c>
      <c r="B118" s="37">
        <f>Inputs!B19</f>
        <v>6.1699999999999998E-2</v>
      </c>
      <c r="C118" s="37">
        <f>Inputs!C19</f>
        <v>6.1699999999999998E-2</v>
      </c>
      <c r="D118" s="37">
        <f>Inputs!D19</f>
        <v>6.1699999999999998E-2</v>
      </c>
      <c r="E118" s="37">
        <f>Inputs!E19</f>
        <v>6.1699999999999998E-2</v>
      </c>
      <c r="F118" s="37">
        <f>Inputs!F19</f>
        <v>6.1699999999999998E-2</v>
      </c>
      <c r="G118" s="37">
        <f>Inputs!G19</f>
        <v>7.6083333333333295E-2</v>
      </c>
      <c r="H118" s="37">
        <f>Inputs!H19</f>
        <v>7.6083333333333295E-2</v>
      </c>
      <c r="I118" s="37">
        <f>Inputs!I19</f>
        <v>7.6083333333333295E-2</v>
      </c>
      <c r="J118" s="37">
        <f>Inputs!J19</f>
        <v>7.6083333333333295E-2</v>
      </c>
      <c r="K118" s="37">
        <f>Inputs!K19</f>
        <v>7.6083333333333295E-2</v>
      </c>
    </row>
    <row r="119" spans="1:11">
      <c r="A119" s="5" t="s">
        <v>59</v>
      </c>
      <c r="B119" s="37">
        <f>Inputs!B20</f>
        <v>3.5000000000000003E-2</v>
      </c>
      <c r="C119" s="37">
        <f>Inputs!C20</f>
        <v>3.5000000000000003E-2</v>
      </c>
      <c r="D119" s="37">
        <f>Inputs!D20</f>
        <v>3.5000000000000003E-2</v>
      </c>
      <c r="E119" s="37">
        <f>Inputs!E20</f>
        <v>3.5000000000000003E-2</v>
      </c>
      <c r="F119" s="37">
        <f>Inputs!F20</f>
        <v>3.5000000000000003E-2</v>
      </c>
      <c r="G119" s="37">
        <f>Inputs!G20</f>
        <v>2.9499999999999998E-2</v>
      </c>
      <c r="H119" s="37">
        <f>Inputs!H20</f>
        <v>2.9499999999999998E-2</v>
      </c>
      <c r="I119" s="37">
        <f>Inputs!I20</f>
        <v>2.9499999999999998E-2</v>
      </c>
      <c r="J119" s="37">
        <f>Inputs!J20</f>
        <v>2.9499999999999998E-2</v>
      </c>
      <c r="K119" s="37">
        <f>Inputs!K20</f>
        <v>2.9499999999999998E-2</v>
      </c>
    </row>
    <row r="120" spans="1:11">
      <c r="A120" s="5" t="s">
        <v>8</v>
      </c>
      <c r="B120" s="37">
        <f>Inputs!B21</f>
        <v>0.55000000000000004</v>
      </c>
      <c r="C120" s="37">
        <f>Inputs!C21</f>
        <v>0.55000000000000004</v>
      </c>
      <c r="D120" s="37">
        <f>Inputs!D21</f>
        <v>0.55000000000000004</v>
      </c>
      <c r="E120" s="37">
        <f>Inputs!E21</f>
        <v>0.55000000000000004</v>
      </c>
      <c r="F120" s="37">
        <f>Inputs!F21</f>
        <v>0.55000000000000004</v>
      </c>
      <c r="G120" s="37">
        <f>Inputs!G21</f>
        <v>0.55000000000000004</v>
      </c>
      <c r="H120" s="37">
        <f>Inputs!H21</f>
        <v>0.55000000000000004</v>
      </c>
      <c r="I120" s="37">
        <f>Inputs!I21</f>
        <v>0.55000000000000004</v>
      </c>
      <c r="J120" s="37">
        <f>Inputs!J21</f>
        <v>0.55000000000000004</v>
      </c>
      <c r="K120" s="37">
        <f>Inputs!K21</f>
        <v>0.55000000000000004</v>
      </c>
    </row>
    <row r="121" spans="1:11">
      <c r="A121" s="5" t="s">
        <v>60</v>
      </c>
      <c r="B121" s="37">
        <f>Inputs!B22</f>
        <v>0.26</v>
      </c>
      <c r="C121" s="37">
        <f>Inputs!C22</f>
        <v>0.26</v>
      </c>
      <c r="D121" s="37">
        <f>Inputs!D22</f>
        <v>0.24</v>
      </c>
      <c r="E121" s="37">
        <f>Inputs!E22</f>
        <v>0.23</v>
      </c>
      <c r="F121" s="37">
        <f>Inputs!F22</f>
        <v>0.21</v>
      </c>
      <c r="G121" s="37">
        <f>Inputs!G22</f>
        <v>0.2</v>
      </c>
      <c r="H121" s="37">
        <f>Inputs!H22</f>
        <v>0.2</v>
      </c>
      <c r="I121" s="37">
        <f>Inputs!I22</f>
        <v>0.19</v>
      </c>
      <c r="J121" s="37">
        <f>Inputs!J22</f>
        <v>0.19</v>
      </c>
      <c r="K121" s="37">
        <f>Inputs!K22</f>
        <v>0.19</v>
      </c>
    </row>
    <row r="123" spans="1:11">
      <c r="A123" s="1" t="s">
        <v>104</v>
      </c>
    </row>
    <row r="124" spans="1:11">
      <c r="A124" s="5" t="s">
        <v>73</v>
      </c>
      <c r="B124" s="41">
        <f>Inputs!B143</f>
        <v>10</v>
      </c>
    </row>
    <row r="125" spans="1:11">
      <c r="A125" s="5" t="s">
        <v>75</v>
      </c>
      <c r="B125" s="41">
        <f>Inputs!B144</f>
        <v>8</v>
      </c>
    </row>
    <row r="126" spans="1:11">
      <c r="A126" s="5" t="s">
        <v>74</v>
      </c>
      <c r="B126" s="41">
        <f>Inputs!B145</f>
        <v>5</v>
      </c>
    </row>
    <row r="127" spans="1:11">
      <c r="A127" s="5" t="s">
        <v>244</v>
      </c>
      <c r="B127" s="38">
        <f>Inputs!B146/Calc1!$E$7</f>
        <v>16552.87475049901</v>
      </c>
    </row>
    <row r="129" spans="1:18">
      <c r="A129" s="1" t="s">
        <v>76</v>
      </c>
      <c r="B129" s="75"/>
      <c r="C129" s="75"/>
      <c r="D129" s="75"/>
      <c r="E129" s="75"/>
      <c r="F129" s="75"/>
      <c r="G129" s="75"/>
      <c r="H129" s="75"/>
      <c r="I129" s="75"/>
      <c r="J129" s="75"/>
      <c r="K129" s="75"/>
      <c r="L129" s="75"/>
      <c r="M129" s="75"/>
      <c r="N129" s="75"/>
      <c r="O129" s="75"/>
      <c r="P129" s="75"/>
    </row>
    <row r="130" spans="1:18">
      <c r="A130" s="5" t="s">
        <v>77</v>
      </c>
      <c r="B130" s="86">
        <v>39387</v>
      </c>
      <c r="C130" s="86">
        <v>39539</v>
      </c>
      <c r="D130" s="86">
        <v>39722</v>
      </c>
      <c r="E130" s="86">
        <v>40087</v>
      </c>
      <c r="F130" s="86">
        <v>40269</v>
      </c>
      <c r="G130" s="86">
        <v>40452</v>
      </c>
      <c r="H130" s="86">
        <v>40817</v>
      </c>
      <c r="I130" s="86">
        <v>41183</v>
      </c>
      <c r="J130" s="86">
        <v>41548</v>
      </c>
      <c r="K130" s="86">
        <v>41913</v>
      </c>
      <c r="L130" s="86">
        <v>42278</v>
      </c>
      <c r="M130" s="86">
        <v>42644</v>
      </c>
      <c r="N130" s="86">
        <v>43009</v>
      </c>
      <c r="O130" s="86">
        <v>43374</v>
      </c>
      <c r="P130" s="86">
        <v>43739</v>
      </c>
      <c r="Q130" s="87"/>
      <c r="R130" s="87"/>
    </row>
    <row r="131" spans="1:18">
      <c r="A131" s="5" t="s">
        <v>88</v>
      </c>
      <c r="B131" s="86">
        <v>39538</v>
      </c>
      <c r="C131" s="86">
        <v>39721</v>
      </c>
      <c r="D131" s="86">
        <v>40086</v>
      </c>
      <c r="E131" s="86">
        <v>40268</v>
      </c>
      <c r="F131" s="86">
        <v>40451</v>
      </c>
      <c r="G131" s="88" t="s">
        <v>78</v>
      </c>
      <c r="H131" s="88" t="s">
        <v>79</v>
      </c>
      <c r="I131" s="88" t="s">
        <v>80</v>
      </c>
      <c r="J131" s="88" t="s">
        <v>81</v>
      </c>
      <c r="K131" s="88" t="s">
        <v>82</v>
      </c>
      <c r="L131" s="88" t="s">
        <v>83</v>
      </c>
      <c r="M131" s="88" t="s">
        <v>84</v>
      </c>
      <c r="N131" s="88" t="s">
        <v>85</v>
      </c>
      <c r="O131" s="88" t="s">
        <v>86</v>
      </c>
      <c r="P131" s="88" t="s">
        <v>87</v>
      </c>
    </row>
    <row r="132" spans="1:18">
      <c r="A132" s="4" t="s">
        <v>245</v>
      </c>
      <c r="B132" s="86"/>
      <c r="C132" s="86"/>
      <c r="D132" s="86"/>
      <c r="E132" s="86"/>
      <c r="F132" s="86"/>
      <c r="G132" s="88"/>
      <c r="H132" s="88"/>
      <c r="I132" s="88"/>
      <c r="J132" s="88"/>
      <c r="K132" s="88"/>
      <c r="L132" s="88"/>
      <c r="M132" s="88"/>
      <c r="N132" s="88"/>
      <c r="O132" s="88"/>
      <c r="P132" s="88"/>
    </row>
    <row r="133" spans="1:18">
      <c r="A133" s="5" t="s">
        <v>95</v>
      </c>
      <c r="B133" s="38">
        <f>Inputs!B177/Calc1!$E$7</f>
        <v>2116.7832446290081</v>
      </c>
      <c r="C133" s="38">
        <f>Inputs!B178/Calc1!$E$7</f>
        <v>1262.6801421709006</v>
      </c>
      <c r="D133" s="38">
        <f>Inputs!B179/Calc1!$E$7</f>
        <v>2346.1860374137109</v>
      </c>
      <c r="E133" s="38">
        <f>Inputs!B180/Calc1!$E$7</f>
        <v>1466.300982890592</v>
      </c>
      <c r="F133" s="38"/>
      <c r="G133" s="38"/>
      <c r="H133" s="38"/>
      <c r="I133" s="38"/>
      <c r="J133" s="38"/>
      <c r="K133" s="38"/>
      <c r="L133" s="38"/>
      <c r="M133" s="38"/>
      <c r="N133" s="38"/>
      <c r="O133" s="38"/>
      <c r="P133" s="38"/>
    </row>
    <row r="134" spans="1:18">
      <c r="A134" s="5" t="s">
        <v>89</v>
      </c>
      <c r="B134" s="38"/>
      <c r="C134" s="38"/>
      <c r="D134" s="38">
        <f>Inputs!B185/Calc1!$E$7</f>
        <v>1308.4658697862565</v>
      </c>
      <c r="E134" s="38">
        <f>Inputs!B186/Calc1!$E$7</f>
        <v>1568.8724418280337</v>
      </c>
      <c r="F134" s="38"/>
      <c r="G134" s="38"/>
      <c r="H134" s="38"/>
      <c r="I134" s="38"/>
      <c r="J134" s="38"/>
      <c r="K134" s="38"/>
      <c r="L134" s="38"/>
      <c r="M134" s="38"/>
      <c r="N134" s="38"/>
      <c r="O134" s="38"/>
      <c r="P134" s="38"/>
    </row>
    <row r="135" spans="1:18">
      <c r="A135" s="5" t="s">
        <v>97</v>
      </c>
      <c r="B135" s="38"/>
      <c r="C135" s="38"/>
      <c r="D135" s="38"/>
      <c r="E135" s="38"/>
      <c r="F135" s="38">
        <f>Inputs!B189/Calc1!$E$7</f>
        <v>1047.8191202872531</v>
      </c>
      <c r="G135" s="38">
        <f>Inputs!B190/Calc1!$E$7</f>
        <v>1013.3891382405744</v>
      </c>
      <c r="H135" s="38">
        <f>Inputs!B191/Calc1!$E$7</f>
        <v>1365.722621184919</v>
      </c>
      <c r="I135" s="38">
        <f>Inputs!B192/Calc1!$E$7</f>
        <v>281.17818671454216</v>
      </c>
      <c r="J135" s="38">
        <f>Inputs!B193/Calc1!$E$7</f>
        <v>1589.5175044883301</v>
      </c>
      <c r="K135" s="38">
        <f>Inputs!B194/Calc1!$E$7</f>
        <v>418.89811490125669</v>
      </c>
      <c r="L135" s="38"/>
      <c r="M135" s="38"/>
      <c r="N135" s="38"/>
      <c r="O135" s="38"/>
      <c r="P135" s="38"/>
    </row>
    <row r="136" spans="1:18">
      <c r="A136" s="5" t="s">
        <v>256</v>
      </c>
      <c r="B136" s="38"/>
      <c r="C136" s="38"/>
      <c r="D136" s="38"/>
      <c r="E136" s="38"/>
      <c r="F136" s="38">
        <f>Inputs!C189/Calc1!$E$7</f>
        <v>1047.8191202872531</v>
      </c>
      <c r="G136" s="38">
        <f>Inputs!C190/Calc1!$E$7</f>
        <v>1013.3891382405744</v>
      </c>
      <c r="H136" s="38">
        <f>Inputs!C191/Calc1!$E$7</f>
        <v>1365.722621184919</v>
      </c>
      <c r="I136" s="38">
        <f>Inputs!C192/Calc1!$E$7</f>
        <v>281.17818671454216</v>
      </c>
      <c r="J136" s="38">
        <f>Inputs!C193/Calc1!$E$7</f>
        <v>1589.5175044883301</v>
      </c>
      <c r="K136" s="38">
        <f>Inputs!C194/Calc1!$E$7</f>
        <v>418.89811490125669</v>
      </c>
      <c r="L136" s="38"/>
      <c r="M136" s="38"/>
      <c r="N136" s="38"/>
      <c r="O136" s="38"/>
      <c r="P136" s="38"/>
    </row>
    <row r="137" spans="1:18">
      <c r="A137" s="5" t="s">
        <v>91</v>
      </c>
      <c r="B137" s="38">
        <f>Inputs!B239/Calc1!$E$7</f>
        <v>687.15121839654023</v>
      </c>
      <c r="C137" s="38">
        <f>Inputs!B240/Calc1!$E$7</f>
        <v>827.64373752494998</v>
      </c>
      <c r="D137" s="38">
        <f>Inputs!B241/Calc1!$E$7</f>
        <v>1656.5634231536922</v>
      </c>
      <c r="E137" s="38">
        <f>Inputs!B242/Calc1!$E$7</f>
        <v>828.28171157684608</v>
      </c>
      <c r="F137" s="38">
        <f>Inputs!B245/Calc1!$E$7</f>
        <v>1034.5546719061877</v>
      </c>
      <c r="G137" s="38">
        <f>Inputs!B246/Calc1!$E$7</f>
        <v>2069.1093438123753</v>
      </c>
      <c r="H137" s="38">
        <f>Inputs!B247/Calc1!$E$7</f>
        <v>2069.1093438123753</v>
      </c>
      <c r="I137" s="38">
        <f>Inputs!B248/Calc1!$E$7</f>
        <v>2069.1093438123753</v>
      </c>
      <c r="J137" s="38">
        <f>Inputs!B249/Calc1!$E$7</f>
        <v>2069.1093438123753</v>
      </c>
      <c r="K137" s="38">
        <f>Inputs!B250/Calc1!$E$7</f>
        <v>2069.1093438123753</v>
      </c>
      <c r="L137" s="38"/>
      <c r="M137" s="38"/>
      <c r="N137" s="38"/>
      <c r="O137" s="38"/>
      <c r="P137" s="38"/>
    </row>
    <row r="138" spans="1:18">
      <c r="A138" s="5" t="s">
        <v>92</v>
      </c>
      <c r="B138" s="38"/>
      <c r="C138" s="38"/>
      <c r="D138" s="38">
        <f>Inputs!B255/Calc1!$E$7</f>
        <v>71.046407396004938</v>
      </c>
      <c r="E138" s="38">
        <f>Inputs!B256/Calc1!$E$7</f>
        <v>65.423293489312812</v>
      </c>
      <c r="F138" s="38"/>
      <c r="G138" s="38"/>
      <c r="H138" s="38"/>
      <c r="I138" s="38"/>
      <c r="J138" s="38"/>
      <c r="K138" s="38"/>
      <c r="L138" s="38"/>
      <c r="M138" s="38"/>
      <c r="N138" s="38"/>
      <c r="O138" s="38"/>
      <c r="P138" s="38"/>
    </row>
    <row r="139" spans="1:18">
      <c r="A139" s="5" t="s">
        <v>93</v>
      </c>
      <c r="B139" s="38"/>
      <c r="C139" s="38"/>
      <c r="D139" s="38"/>
      <c r="E139" s="38">
        <f>Inputs!C256/Calc1!$E$7</f>
        <v>12.377105725354388</v>
      </c>
      <c r="F139" s="38"/>
      <c r="G139" s="38"/>
      <c r="H139" s="38"/>
      <c r="I139" s="38"/>
      <c r="J139" s="38"/>
      <c r="K139" s="38"/>
      <c r="L139" s="38"/>
      <c r="M139" s="38"/>
      <c r="N139" s="38"/>
      <c r="O139" s="38"/>
      <c r="P139" s="38"/>
    </row>
    <row r="140" spans="1:18">
      <c r="A140" s="5" t="s">
        <v>90</v>
      </c>
      <c r="B140" s="38"/>
      <c r="C140" s="38"/>
      <c r="D140" s="38"/>
      <c r="E140" s="38"/>
      <c r="F140" s="38"/>
      <c r="G140" s="38"/>
      <c r="H140" s="38"/>
      <c r="I140" s="38"/>
      <c r="J140" s="38"/>
      <c r="K140" s="38"/>
      <c r="L140" s="38">
        <f>Inputs!B197/$B$8</f>
        <v>1510.5345585449033</v>
      </c>
      <c r="M140" s="38">
        <f>Inputs!B198/$B$8</f>
        <v>1490.3785145888594</v>
      </c>
      <c r="N140" s="38">
        <f>Inputs!B199/$B$8</f>
        <v>11631.440090943539</v>
      </c>
      <c r="O140" s="38">
        <f>Inputs!B200/$B$8</f>
        <v>1599.0370594922319</v>
      </c>
      <c r="P140" s="38">
        <f>Inputs!B201/$B$8</f>
        <v>1772.7425161045851</v>
      </c>
    </row>
    <row r="142" spans="1:18">
      <c r="A142" s="2" t="s">
        <v>103</v>
      </c>
    </row>
    <row r="143" spans="1:18">
      <c r="A143" s="5" t="s">
        <v>94</v>
      </c>
      <c r="B143" s="41">
        <f>Inputs!B149</f>
        <v>25</v>
      </c>
      <c r="L143" s="87"/>
      <c r="M143" s="87"/>
      <c r="N143" s="87"/>
      <c r="O143" s="87"/>
      <c r="P143" s="87"/>
      <c r="Q143" s="87"/>
      <c r="R143" s="87"/>
    </row>
    <row r="144" spans="1:18">
      <c r="A144" s="5" t="s">
        <v>246</v>
      </c>
      <c r="B144" s="38">
        <f>Inputs!B150/Calc1!$E$7</f>
        <v>0</v>
      </c>
    </row>
    <row r="146" spans="1:16">
      <c r="A146" s="1" t="s">
        <v>76</v>
      </c>
    </row>
    <row r="147" spans="1:16">
      <c r="A147" s="5" t="s">
        <v>77</v>
      </c>
      <c r="B147" s="86">
        <v>39387</v>
      </c>
      <c r="C147" s="86">
        <v>39539</v>
      </c>
      <c r="D147" s="86">
        <v>39722</v>
      </c>
      <c r="E147" s="86">
        <v>40087</v>
      </c>
      <c r="F147" s="86">
        <v>40269</v>
      </c>
      <c r="G147" s="86">
        <v>40452</v>
      </c>
      <c r="H147" s="86">
        <v>40817</v>
      </c>
      <c r="I147" s="86">
        <v>41183</v>
      </c>
      <c r="J147" s="86">
        <v>41548</v>
      </c>
      <c r="K147" s="86">
        <v>41913</v>
      </c>
      <c r="L147" s="86">
        <v>42278</v>
      </c>
      <c r="M147" s="86">
        <v>42644</v>
      </c>
      <c r="N147" s="86">
        <v>43009</v>
      </c>
      <c r="O147" s="86">
        <v>43374</v>
      </c>
      <c r="P147" s="86">
        <v>43739</v>
      </c>
    </row>
    <row r="148" spans="1:16">
      <c r="A148" s="5" t="s">
        <v>88</v>
      </c>
      <c r="B148" s="86">
        <v>39538</v>
      </c>
      <c r="C148" s="86">
        <v>39721</v>
      </c>
      <c r="D148" s="86">
        <v>40086</v>
      </c>
      <c r="E148" s="86">
        <v>40268</v>
      </c>
      <c r="F148" s="86">
        <v>40451</v>
      </c>
      <c r="G148" s="88" t="s">
        <v>78</v>
      </c>
      <c r="H148" s="88" t="s">
        <v>79</v>
      </c>
      <c r="I148" s="88" t="s">
        <v>80</v>
      </c>
      <c r="J148" s="88" t="s">
        <v>81</v>
      </c>
      <c r="K148" s="88" t="s">
        <v>82</v>
      </c>
      <c r="L148" s="88" t="s">
        <v>83</v>
      </c>
      <c r="M148" s="88" t="s">
        <v>84</v>
      </c>
      <c r="N148" s="88" t="s">
        <v>85</v>
      </c>
      <c r="O148" s="88" t="s">
        <v>86</v>
      </c>
      <c r="P148" s="88" t="s">
        <v>87</v>
      </c>
    </row>
    <row r="149" spans="1:16">
      <c r="A149" s="4" t="s">
        <v>245</v>
      </c>
      <c r="B149" s="38"/>
      <c r="C149" s="38"/>
      <c r="D149" s="38"/>
      <c r="E149" s="38"/>
      <c r="F149" s="38"/>
      <c r="G149" s="38"/>
      <c r="H149" s="38"/>
      <c r="I149" s="38"/>
      <c r="J149" s="38"/>
      <c r="K149" s="38"/>
      <c r="L149" s="38"/>
      <c r="M149" s="38"/>
      <c r="N149" s="38"/>
      <c r="O149" s="38"/>
      <c r="P149" s="38"/>
    </row>
    <row r="150" spans="1:16">
      <c r="A150" s="5" t="s">
        <v>97</v>
      </c>
      <c r="B150" s="38"/>
      <c r="C150" s="38"/>
      <c r="D150" s="38"/>
      <c r="E150" s="38"/>
      <c r="F150" s="38">
        <f>Inputs!B210/Calc1!$E$7</f>
        <v>0</v>
      </c>
      <c r="G150" s="38">
        <f>Inputs!B211/Calc1!$E$7</f>
        <v>1454.0929084380609</v>
      </c>
      <c r="H150" s="38">
        <f>Inputs!B212/Calc1!$E$7</f>
        <v>1454.0929084380609</v>
      </c>
      <c r="I150" s="38">
        <f>Inputs!B213/Calc1!$E$7</f>
        <v>0</v>
      </c>
      <c r="J150" s="38">
        <f>Inputs!B214/Calc1!$E$7</f>
        <v>0</v>
      </c>
      <c r="K150" s="38">
        <f>Inputs!B215/Calc1!$E$7</f>
        <v>0</v>
      </c>
      <c r="L150" s="38"/>
      <c r="M150" s="38"/>
      <c r="N150" s="38"/>
      <c r="O150" s="38"/>
      <c r="P150" s="38"/>
    </row>
    <row r="151" spans="1:16">
      <c r="A151" s="5" t="s">
        <v>256</v>
      </c>
      <c r="B151" s="38"/>
      <c r="C151" s="38"/>
      <c r="D151" s="38"/>
      <c r="E151" s="38"/>
      <c r="F151" s="38">
        <f>Inputs!C210/Calc1!$E$7</f>
        <v>0</v>
      </c>
      <c r="G151" s="38">
        <f>Inputs!C211/Calc1!$E$7</f>
        <v>1454.0929084380609</v>
      </c>
      <c r="H151" s="38">
        <f>Inputs!C212/Calc1!$E$7</f>
        <v>1454.0929084380609</v>
      </c>
      <c r="I151" s="38">
        <f>Inputs!C213/Calc1!$E$7</f>
        <v>0</v>
      </c>
      <c r="J151" s="38">
        <f>Inputs!C214/Calc1!$E$7</f>
        <v>0</v>
      </c>
      <c r="K151" s="38">
        <f>Inputs!C215/Calc1!$E$7</f>
        <v>0</v>
      </c>
      <c r="L151" s="38"/>
      <c r="M151" s="38"/>
      <c r="N151" s="38"/>
      <c r="O151" s="38"/>
      <c r="P151" s="38"/>
    </row>
    <row r="152" spans="1:16">
      <c r="A152" s="5" t="s">
        <v>90</v>
      </c>
      <c r="B152" s="38"/>
      <c r="C152" s="38"/>
      <c r="D152" s="38"/>
      <c r="E152" s="38"/>
      <c r="F152" s="38"/>
      <c r="G152" s="38"/>
      <c r="H152" s="38"/>
      <c r="I152" s="38"/>
      <c r="J152" s="38"/>
      <c r="K152" s="38"/>
      <c r="L152" s="38">
        <f>Inputs!B218/$B$8</f>
        <v>0</v>
      </c>
      <c r="M152" s="38">
        <f>Inputs!B219/Calc1!$B$8</f>
        <v>0</v>
      </c>
      <c r="N152" s="38">
        <f>Inputs!B220/Calc1!$B$8</f>
        <v>0</v>
      </c>
      <c r="O152" s="38">
        <f>Inputs!B221/Calc1!$B$8</f>
        <v>0</v>
      </c>
      <c r="P152" s="38">
        <f>Inputs!B222/Calc1!$B$8</f>
        <v>0</v>
      </c>
    </row>
    <row r="153" spans="1:16">
      <c r="C153" s="87"/>
      <c r="M153" s="43"/>
    </row>
    <row r="154" spans="1:16" ht="18.75">
      <c r="A154" s="6" t="s">
        <v>303</v>
      </c>
    </row>
    <row r="155" spans="1:16">
      <c r="B155" s="94" t="s">
        <v>290</v>
      </c>
      <c r="C155" s="94"/>
      <c r="D155" s="94"/>
      <c r="E155" s="94"/>
      <c r="F155" s="94"/>
      <c r="G155" s="94"/>
    </row>
    <row r="156" spans="1:16">
      <c r="A156" s="2" t="s">
        <v>186</v>
      </c>
      <c r="B156" s="34" t="s">
        <v>13</v>
      </c>
      <c r="C156" s="34" t="s">
        <v>14</v>
      </c>
      <c r="D156" s="34" t="s">
        <v>15</v>
      </c>
      <c r="E156" s="34" t="s">
        <v>16</v>
      </c>
      <c r="F156" s="34" t="s">
        <v>17</v>
      </c>
      <c r="G156" s="34" t="s">
        <v>18</v>
      </c>
    </row>
    <row r="157" spans="1:16">
      <c r="A157" s="1" t="s">
        <v>176</v>
      </c>
      <c r="B157" s="46"/>
      <c r="C157" s="46"/>
      <c r="D157" s="46"/>
      <c r="E157" s="46"/>
      <c r="F157" s="46"/>
      <c r="G157" s="46"/>
    </row>
    <row r="158" spans="1:16">
      <c r="A158" s="5" t="s">
        <v>187</v>
      </c>
      <c r="B158" s="38">
        <f>Inputs!G269</f>
        <v>0</v>
      </c>
      <c r="C158" s="46"/>
      <c r="D158" s="46"/>
      <c r="E158" s="46"/>
      <c r="F158" s="46"/>
      <c r="G158" s="46"/>
    </row>
    <row r="159" spans="1:16">
      <c r="A159" s="5" t="s">
        <v>199</v>
      </c>
      <c r="B159" s="38">
        <f>Inputs!G270</f>
        <v>250</v>
      </c>
      <c r="C159" s="38">
        <f>Inputs!H270</f>
        <v>250</v>
      </c>
      <c r="D159" s="38">
        <f>Inputs!I270</f>
        <v>250</v>
      </c>
      <c r="E159" s="38">
        <f>Inputs!J270</f>
        <v>250</v>
      </c>
      <c r="F159" s="38">
        <f>Inputs!K270</f>
        <v>250</v>
      </c>
      <c r="G159" s="38">
        <f>Inputs!L270</f>
        <v>250</v>
      </c>
    </row>
    <row r="160" spans="1:16">
      <c r="A160" s="4" t="s">
        <v>189</v>
      </c>
      <c r="B160" s="38"/>
      <c r="C160" s="38"/>
      <c r="D160" s="38"/>
      <c r="E160" s="38"/>
      <c r="F160" s="38"/>
      <c r="G160" s="38"/>
    </row>
    <row r="161" spans="1:7">
      <c r="A161" s="5" t="s">
        <v>177</v>
      </c>
      <c r="B161" s="46"/>
      <c r="C161" s="46"/>
      <c r="D161" s="46"/>
      <c r="E161" s="46"/>
      <c r="F161" s="46"/>
      <c r="G161" s="46"/>
    </row>
    <row r="162" spans="1:7">
      <c r="A162" s="5" t="s">
        <v>200</v>
      </c>
      <c r="B162" s="38">
        <f>Inputs!G273</f>
        <v>0</v>
      </c>
      <c r="C162" s="38">
        <f>Inputs!H273</f>
        <v>0</v>
      </c>
      <c r="D162" s="38">
        <f>Inputs!I273</f>
        <v>0</v>
      </c>
      <c r="E162" s="38">
        <f>Inputs!J273</f>
        <v>0</v>
      </c>
      <c r="F162" s="38">
        <f>Inputs!K273</f>
        <v>0</v>
      </c>
      <c r="G162" s="38">
        <f>Inputs!L273</f>
        <v>0</v>
      </c>
    </row>
    <row r="163" spans="1:7">
      <c r="A163" s="5" t="s">
        <v>197</v>
      </c>
      <c r="B163" s="38">
        <f>Inputs!G274</f>
        <v>4500</v>
      </c>
      <c r="C163" s="38">
        <f>Inputs!H274</f>
        <v>0</v>
      </c>
      <c r="D163" s="38">
        <f>Inputs!I274</f>
        <v>0</v>
      </c>
      <c r="E163" s="38">
        <f>Inputs!J274</f>
        <v>0</v>
      </c>
      <c r="F163" s="38">
        <f>Inputs!K274</f>
        <v>0</v>
      </c>
      <c r="G163" s="38">
        <f>Inputs!L274</f>
        <v>0</v>
      </c>
    </row>
    <row r="164" spans="1:7">
      <c r="A164" s="5" t="s">
        <v>190</v>
      </c>
      <c r="B164" s="38">
        <f>Inputs!G275</f>
        <v>0</v>
      </c>
      <c r="C164" s="38">
        <f>Inputs!H275</f>
        <v>0</v>
      </c>
      <c r="D164" s="38">
        <f>Inputs!I275</f>
        <v>0</v>
      </c>
      <c r="E164" s="38">
        <f>Inputs!J275</f>
        <v>0</v>
      </c>
      <c r="F164" s="38">
        <f>Inputs!K275</f>
        <v>0</v>
      </c>
      <c r="G164" s="38">
        <f>Inputs!L275</f>
        <v>0</v>
      </c>
    </row>
    <row r="165" spans="1:7">
      <c r="A165" s="5" t="s">
        <v>178</v>
      </c>
      <c r="B165" s="46"/>
      <c r="C165" s="46"/>
      <c r="D165" s="46"/>
      <c r="E165" s="46"/>
      <c r="F165" s="46"/>
      <c r="G165" s="46"/>
    </row>
    <row r="166" spans="1:7">
      <c r="A166" s="1" t="s">
        <v>191</v>
      </c>
      <c r="B166" s="46"/>
      <c r="C166" s="46"/>
      <c r="D166" s="46"/>
      <c r="E166" s="46"/>
      <c r="F166" s="46"/>
      <c r="G166" s="46"/>
    </row>
    <row r="167" spans="1:7">
      <c r="A167" s="5" t="s">
        <v>179</v>
      </c>
      <c r="B167" s="38">
        <f>Inputs!G278</f>
        <v>0</v>
      </c>
      <c r="C167" s="38">
        <f>Inputs!H278</f>
        <v>0</v>
      </c>
      <c r="D167" s="38">
        <f>Inputs!I278</f>
        <v>0</v>
      </c>
      <c r="E167" s="38">
        <f>Inputs!J278</f>
        <v>0</v>
      </c>
      <c r="F167" s="38">
        <f>Inputs!K278</f>
        <v>0</v>
      </c>
      <c r="G167" s="38">
        <f>Inputs!L278</f>
        <v>0</v>
      </c>
    </row>
    <row r="168" spans="1:7">
      <c r="A168" s="5" t="s">
        <v>654</v>
      </c>
      <c r="B168" s="38">
        <f>Inputs!G279</f>
        <v>0</v>
      </c>
      <c r="C168" s="38">
        <f>Inputs!H279</f>
        <v>0</v>
      </c>
      <c r="D168" s="38">
        <f>Inputs!I279</f>
        <v>0</v>
      </c>
      <c r="E168" s="38">
        <f>Inputs!J279</f>
        <v>0</v>
      </c>
      <c r="F168" s="38">
        <f>Inputs!K279</f>
        <v>0</v>
      </c>
      <c r="G168" s="38">
        <f>Inputs!L279</f>
        <v>0</v>
      </c>
    </row>
    <row r="169" spans="1:7">
      <c r="A169" s="5" t="s">
        <v>192</v>
      </c>
      <c r="B169" s="38">
        <f>Inputs!G280</f>
        <v>-120</v>
      </c>
      <c r="C169" s="38">
        <f>Inputs!H280</f>
        <v>-120</v>
      </c>
      <c r="D169" s="38">
        <f>Inputs!I280</f>
        <v>-120</v>
      </c>
      <c r="E169" s="38">
        <f>Inputs!J280</f>
        <v>-120</v>
      </c>
      <c r="F169" s="38">
        <f>Inputs!K280</f>
        <v>-120</v>
      </c>
      <c r="G169" s="38">
        <f>Inputs!L280</f>
        <v>-120</v>
      </c>
    </row>
    <row r="170" spans="1:7">
      <c r="A170" s="5" t="s">
        <v>193</v>
      </c>
      <c r="B170" s="46"/>
      <c r="C170" s="46"/>
      <c r="D170" s="46"/>
      <c r="E170" s="46"/>
      <c r="F170" s="46"/>
      <c r="G170" s="46"/>
    </row>
    <row r="171" spans="1:7">
      <c r="A171" s="1" t="s">
        <v>180</v>
      </c>
      <c r="B171" s="46"/>
      <c r="C171" s="46"/>
      <c r="D171" s="46"/>
      <c r="E171" s="46"/>
      <c r="F171" s="46"/>
      <c r="G171" s="46"/>
    </row>
    <row r="172" spans="1:7">
      <c r="A172" s="5" t="s">
        <v>194</v>
      </c>
      <c r="B172" s="38">
        <f>Inputs!G283</f>
        <v>97</v>
      </c>
      <c r="C172" s="38">
        <f>Inputs!H283</f>
        <v>97</v>
      </c>
      <c r="D172" s="38">
        <f>Inputs!I283</f>
        <v>97</v>
      </c>
      <c r="E172" s="38">
        <f>Inputs!J283</f>
        <v>97</v>
      </c>
      <c r="F172" s="38">
        <f>Inputs!K283</f>
        <v>97</v>
      </c>
      <c r="G172" s="38">
        <f>Inputs!L283</f>
        <v>97</v>
      </c>
    </row>
    <row r="173" spans="1:7">
      <c r="A173" s="5" t="s">
        <v>181</v>
      </c>
      <c r="B173" s="38">
        <f>Inputs!G284</f>
        <v>0</v>
      </c>
      <c r="C173" s="38">
        <f>Inputs!H284</f>
        <v>3000</v>
      </c>
      <c r="D173" s="38">
        <f>Inputs!I284</f>
        <v>8000</v>
      </c>
      <c r="E173" s="38">
        <f>Inputs!J284</f>
        <v>18000</v>
      </c>
      <c r="F173" s="38">
        <f>Inputs!K284</f>
        <v>15000</v>
      </c>
      <c r="G173" s="38">
        <f>Inputs!L284</f>
        <v>11000</v>
      </c>
    </row>
    <row r="174" spans="1:7">
      <c r="A174" s="5" t="s">
        <v>195</v>
      </c>
      <c r="B174" s="38">
        <f>Inputs!G285</f>
        <v>0</v>
      </c>
      <c r="C174" s="38">
        <f>Inputs!H285</f>
        <v>0</v>
      </c>
      <c r="D174" s="38">
        <f>Inputs!I285</f>
        <v>0</v>
      </c>
      <c r="E174" s="38">
        <f>Inputs!J285</f>
        <v>0</v>
      </c>
      <c r="F174" s="38">
        <f>Inputs!K285</f>
        <v>0</v>
      </c>
      <c r="G174" s="38">
        <f>Inputs!L285</f>
        <v>0</v>
      </c>
    </row>
    <row r="175" spans="1:7">
      <c r="A175" s="5" t="s">
        <v>54</v>
      </c>
      <c r="B175" s="38">
        <f>Inputs!G286</f>
        <v>1022</v>
      </c>
      <c r="C175" s="38">
        <f>Inputs!H286</f>
        <v>1022</v>
      </c>
      <c r="D175" s="38">
        <f>Inputs!I286</f>
        <v>1022</v>
      </c>
      <c r="E175" s="38">
        <f>Inputs!J286</f>
        <v>1022</v>
      </c>
      <c r="F175" s="38">
        <f>Inputs!K286</f>
        <v>1022</v>
      </c>
      <c r="G175" s="38">
        <f>Inputs!L286</f>
        <v>1022</v>
      </c>
    </row>
    <row r="176" spans="1:7">
      <c r="A176" s="1" t="s">
        <v>196</v>
      </c>
      <c r="B176" s="46"/>
      <c r="C176" s="46"/>
      <c r="D176" s="46"/>
      <c r="E176" s="46"/>
      <c r="F176" s="46"/>
      <c r="G176" s="46"/>
    </row>
    <row r="177" spans="1:11">
      <c r="A177" s="5" t="s">
        <v>183</v>
      </c>
      <c r="B177" s="46"/>
      <c r="C177" s="46"/>
      <c r="D177" s="46"/>
      <c r="E177" s="46"/>
      <c r="F177" s="46"/>
      <c r="G177" s="46"/>
    </row>
    <row r="178" spans="1:11">
      <c r="A178" s="5" t="s">
        <v>201</v>
      </c>
      <c r="B178" s="38">
        <f>Inputs!G289</f>
        <v>0</v>
      </c>
      <c r="C178" s="38">
        <f>Inputs!H289</f>
        <v>0</v>
      </c>
      <c r="D178" s="38">
        <f>Inputs!I289</f>
        <v>0</v>
      </c>
      <c r="E178" s="38">
        <f>Inputs!J289</f>
        <v>0</v>
      </c>
      <c r="F178" s="38">
        <f>Inputs!K289</f>
        <v>0</v>
      </c>
      <c r="G178" s="38">
        <f>Inputs!L289</f>
        <v>0</v>
      </c>
    </row>
    <row r="179" spans="1:11">
      <c r="A179" s="5" t="s">
        <v>198</v>
      </c>
      <c r="B179" s="38">
        <f>Inputs!G290</f>
        <v>0</v>
      </c>
      <c r="C179" s="38">
        <f>Inputs!H290</f>
        <v>0</v>
      </c>
      <c r="D179" s="38">
        <f>Inputs!I290</f>
        <v>0</v>
      </c>
      <c r="E179" s="38">
        <f>Inputs!J290</f>
        <v>0</v>
      </c>
      <c r="F179" s="38">
        <f>Inputs!K290</f>
        <v>0</v>
      </c>
      <c r="G179" s="38">
        <f>Inputs!L290</f>
        <v>0</v>
      </c>
    </row>
    <row r="180" spans="1:11">
      <c r="A180" s="5" t="s">
        <v>184</v>
      </c>
      <c r="B180" s="38">
        <f>Inputs!G291</f>
        <v>720</v>
      </c>
      <c r="C180" s="38">
        <f>Inputs!H291</f>
        <v>720</v>
      </c>
      <c r="D180" s="38">
        <f>Inputs!I291</f>
        <v>720</v>
      </c>
      <c r="E180" s="38">
        <f>Inputs!J291</f>
        <v>720</v>
      </c>
      <c r="F180" s="38">
        <f>Inputs!K291</f>
        <v>720</v>
      </c>
      <c r="G180" s="38">
        <f>Inputs!L291</f>
        <v>720</v>
      </c>
    </row>
    <row r="181" spans="1:11">
      <c r="A181" s="5" t="s">
        <v>181</v>
      </c>
      <c r="B181" s="38">
        <f>Inputs!G292</f>
        <v>3000</v>
      </c>
      <c r="C181" s="38">
        <f>Inputs!H292</f>
        <v>0</v>
      </c>
      <c r="D181" s="38">
        <f>Inputs!I292</f>
        <v>0</v>
      </c>
      <c r="E181" s="38">
        <f>Inputs!J292</f>
        <v>0</v>
      </c>
      <c r="F181" s="38">
        <f>Inputs!K292</f>
        <v>0</v>
      </c>
      <c r="G181" s="38">
        <f>Inputs!L292</f>
        <v>0</v>
      </c>
    </row>
    <row r="183" spans="1:11" ht="18.75">
      <c r="A183" s="6" t="s">
        <v>631</v>
      </c>
    </row>
    <row r="184" spans="1:11">
      <c r="B184" s="94" t="s">
        <v>290</v>
      </c>
      <c r="C184" s="94"/>
      <c r="D184" s="94"/>
      <c r="E184" s="94"/>
      <c r="F184" s="94"/>
      <c r="G184" s="94"/>
      <c r="H184" s="94"/>
      <c r="I184" s="94"/>
      <c r="J184" s="94"/>
      <c r="K184" s="94"/>
    </row>
    <row r="185" spans="1:11">
      <c r="B185" s="34" t="s">
        <v>10</v>
      </c>
      <c r="C185" s="34" t="s">
        <v>11</v>
      </c>
      <c r="D185" s="34" t="s">
        <v>9</v>
      </c>
      <c r="E185" s="34" t="s">
        <v>12</v>
      </c>
      <c r="F185" s="34" t="s">
        <v>13</v>
      </c>
      <c r="G185" s="34" t="s">
        <v>14</v>
      </c>
      <c r="H185" s="34" t="s">
        <v>15</v>
      </c>
      <c r="I185" s="34" t="s">
        <v>16</v>
      </c>
      <c r="J185" s="34" t="s">
        <v>17</v>
      </c>
      <c r="K185" s="34" t="s">
        <v>18</v>
      </c>
    </row>
    <row r="186" spans="1:11">
      <c r="A186" s="5" t="s">
        <v>669</v>
      </c>
      <c r="B186" s="38">
        <f>(Inputs!D190+Inputs!D211)*Calc1!F2/Calc1!$E$2</f>
        <v>289.16086999999965</v>
      </c>
      <c r="C186" s="38">
        <f>(Inputs!D191+Inputs!D212)*Calc1!G2/Calc1!$E$2</f>
        <v>565.09399999999971</v>
      </c>
      <c r="D186" s="38">
        <f>(Inputs!D192+Inputs!D213)*Calc1!H2/Calc1!$E$2</f>
        <v>2250.518999999998</v>
      </c>
      <c r="E186" s="38">
        <f>(Inputs!D193+Inputs!D215)*Calc1!I2/Calc1!$E$2</f>
        <v>2046.5390846124051</v>
      </c>
      <c r="F186" s="38">
        <f>(Inputs!D194+Inputs!D215)*Calc1!J7</f>
        <v>1830.6399245450375</v>
      </c>
      <c r="G186" s="38">
        <f>(Inputs!B197+Inputs!B218+Inputs!B225)*K7</f>
        <v>7368.9219852601445</v>
      </c>
      <c r="H186" s="38">
        <f>(Inputs!B198+Inputs!B219+Inputs!B226)*L7</f>
        <v>7547.1652050873454</v>
      </c>
      <c r="I186" s="38">
        <f>(Inputs!B199+Inputs!B220+Inputs!B227)*M7</f>
        <v>18838.604997316426</v>
      </c>
      <c r="J186" s="38">
        <f>(Inputs!B200+Inputs!B221+Inputs!B228)*N7</f>
        <v>8083.7766193871057</v>
      </c>
      <c r="K186" s="38">
        <f>(Inputs!B201+Inputs!B222+Inputs!B229)*O7</f>
        <v>8503.186234962719</v>
      </c>
    </row>
    <row r="187" spans="1:11">
      <c r="A187" s="5" t="s">
        <v>668</v>
      </c>
      <c r="B187" s="38"/>
      <c r="C187" s="38"/>
      <c r="D187" s="38"/>
      <c r="E187" s="38"/>
      <c r="F187" s="38"/>
      <c r="G187" s="38">
        <f>Inputs!B232*K7</f>
        <v>0</v>
      </c>
      <c r="H187" s="38">
        <f>Inputs!B233*L7</f>
        <v>0</v>
      </c>
      <c r="I187" s="38">
        <f>Inputs!B234*M7</f>
        <v>6122.3082591000875</v>
      </c>
      <c r="J187" s="38">
        <f>Inputs!B235*N7</f>
        <v>6288.2228129216983</v>
      </c>
      <c r="K187" s="38">
        <f>Inputs!B236*O7</f>
        <v>6458.6336511518757</v>
      </c>
    </row>
    <row r="188" spans="1:11">
      <c r="A188" s="5" t="s">
        <v>681</v>
      </c>
      <c r="B188" s="38"/>
      <c r="C188" s="38"/>
      <c r="D188" s="38"/>
      <c r="E188" s="38"/>
      <c r="F188" s="38"/>
      <c r="G188" s="38"/>
      <c r="H188" s="38"/>
      <c r="I188" s="38">
        <f>Inputs!B225*K7</f>
        <v>5803.496597575283</v>
      </c>
      <c r="J188" s="38">
        <f>Inputs!B226*L7</f>
        <v>5960.771355369573</v>
      </c>
      <c r="K188" s="38">
        <f>Inputs!B227*M7</f>
        <v>6122.3082591000875</v>
      </c>
    </row>
    <row r="189" spans="1:11">
      <c r="A189" s="5" t="s">
        <v>671</v>
      </c>
      <c r="B189" s="38">
        <f>B187-B188</f>
        <v>0</v>
      </c>
      <c r="C189" s="38">
        <f t="shared" ref="C189:K189" si="1">C187-C188</f>
        <v>0</v>
      </c>
      <c r="D189" s="38">
        <f t="shared" si="1"/>
        <v>0</v>
      </c>
      <c r="E189" s="38">
        <f t="shared" si="1"/>
        <v>0</v>
      </c>
      <c r="F189" s="38">
        <f t="shared" si="1"/>
        <v>0</v>
      </c>
      <c r="G189" s="38">
        <f t="shared" si="1"/>
        <v>0</v>
      </c>
      <c r="H189" s="38">
        <f t="shared" si="1"/>
        <v>0</v>
      </c>
      <c r="I189" s="38">
        <f t="shared" si="1"/>
        <v>318.81166152480455</v>
      </c>
      <c r="J189" s="38">
        <f t="shared" si="1"/>
        <v>327.45145755212525</v>
      </c>
      <c r="K189" s="38">
        <f t="shared" si="1"/>
        <v>336.32539205178819</v>
      </c>
    </row>
  </sheetData>
  <mergeCells count="2">
    <mergeCell ref="B155:G155"/>
    <mergeCell ref="B184:K18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6" tint="0.79998168889431442"/>
  </sheetPr>
  <dimension ref="A1:BG107"/>
  <sheetViews>
    <sheetView showGridLines="0" zoomScale="75" zoomScaleNormal="75" workbookViewId="0">
      <selection activeCell="D97" sqref="D97"/>
    </sheetView>
  </sheetViews>
  <sheetFormatPr defaultRowHeight="15"/>
  <cols>
    <col min="1" max="1" width="44.42578125" style="3" customWidth="1"/>
    <col min="2" max="6" width="15.7109375" style="3" customWidth="1"/>
    <col min="7" max="25" width="12.85546875" style="3" customWidth="1"/>
    <col min="26" max="52" width="13.140625" style="3" customWidth="1"/>
    <col min="53" max="16384" width="9.140625" style="3"/>
  </cols>
  <sheetData>
    <row r="1" spans="1:26" s="6" customFormat="1" ht="18.75">
      <c r="A1" s="6" t="s">
        <v>304</v>
      </c>
      <c r="G1" s="75"/>
      <c r="H1" s="75"/>
      <c r="I1" s="75"/>
      <c r="J1" s="75"/>
      <c r="K1" s="75"/>
      <c r="L1" s="75"/>
      <c r="M1" s="75"/>
      <c r="N1" s="75"/>
      <c r="O1" s="75"/>
      <c r="P1" s="75"/>
      <c r="Q1" s="75"/>
      <c r="R1" s="75"/>
      <c r="S1" s="75"/>
      <c r="T1" s="75"/>
      <c r="U1" s="75"/>
      <c r="V1" s="75"/>
      <c r="W1" s="75"/>
      <c r="X1" s="75"/>
      <c r="Y1" s="75"/>
      <c r="Z1" s="75"/>
    </row>
    <row r="2" spans="1:26">
      <c r="G2" s="25">
        <v>2</v>
      </c>
      <c r="H2" s="25">
        <v>3</v>
      </c>
      <c r="I2" s="25">
        <v>4</v>
      </c>
      <c r="J2" s="25">
        <v>5</v>
      </c>
      <c r="K2" s="25">
        <v>6</v>
      </c>
    </row>
    <row r="3" spans="1:26">
      <c r="A3" s="4"/>
      <c r="B3" s="34" t="s">
        <v>10</v>
      </c>
      <c r="C3" s="34" t="s">
        <v>11</v>
      </c>
      <c r="D3" s="34" t="s">
        <v>9</v>
      </c>
      <c r="E3" s="34" t="s">
        <v>12</v>
      </c>
      <c r="F3" s="34" t="s">
        <v>13</v>
      </c>
      <c r="G3" s="34" t="s">
        <v>14</v>
      </c>
      <c r="H3" s="34" t="s">
        <v>15</v>
      </c>
      <c r="I3" s="34" t="s">
        <v>16</v>
      </c>
      <c r="J3" s="34" t="s">
        <v>17</v>
      </c>
      <c r="K3" s="34" t="s">
        <v>18</v>
      </c>
    </row>
    <row r="4" spans="1:26">
      <c r="A4" s="5" t="s">
        <v>49</v>
      </c>
      <c r="B4" s="57">
        <f>(SUM(Calc1!B16:B20)+Calc1!B23+Calc1!B24)</f>
        <v>-4125.3882599999997</v>
      </c>
      <c r="C4" s="57">
        <f>(SUM(Calc1!C16:C20)+Calc1!C23+Calc1!C24)</f>
        <v>-4805.66417</v>
      </c>
      <c r="D4" s="57">
        <f>(SUM(Calc1!D16:D20)+Calc1!D23+Calc1!D24)</f>
        <v>-5304.0677300000007</v>
      </c>
      <c r="E4" s="57">
        <f>(SUM(Calc1!E16:E20)+Calc1!E23+Calc1!E24)</f>
        <v>-5432.6901999999991</v>
      </c>
      <c r="F4" s="57">
        <f>(SUM(Calc1!F16:F20)+Calc1!F23+Calc1!F24)</f>
        <v>-6494.1122432812699</v>
      </c>
      <c r="G4" s="57">
        <f>(SUM(Calc1!G16:G20)+Calc1!G23+Calc1!G24)</f>
        <v>-6692.8999294589321</v>
      </c>
      <c r="H4" s="57">
        <f>(SUM(Calc1!H16:H20)+Calc1!H23+Calc1!H24)</f>
        <v>-6874.2775175472671</v>
      </c>
      <c r="I4" s="57">
        <f>(SUM(Calc1!I16:I20)+Calc1!I23+Calc1!I24)</f>
        <v>-7060.5704382727981</v>
      </c>
      <c r="J4" s="57">
        <f>(SUM(Calc1!J16:J20)+Calc1!J23+Calc1!J24)</f>
        <v>-7251.9118971499884</v>
      </c>
      <c r="K4" s="57">
        <f>(SUM(Calc1!K16:K20)+Calc1!K23+Calc1!K24)</f>
        <v>-7448.4387095627535</v>
      </c>
    </row>
    <row r="5" spans="1:26">
      <c r="A5" s="5" t="s">
        <v>45</v>
      </c>
      <c r="B5" s="57">
        <f>Calc1!B21+Calc1!B22</f>
        <v>-724.65368999999998</v>
      </c>
      <c r="C5" s="57">
        <f>Calc1!C21+Calc1!C22</f>
        <v>-621.16818999999998</v>
      </c>
      <c r="D5" s="57">
        <f>Calc1!D21+Calc1!D22</f>
        <v>-737.33657000000005</v>
      </c>
      <c r="E5" s="57">
        <f>Calc1!E21+Calc1!E22</f>
        <v>-885.84759000000008</v>
      </c>
      <c r="F5" s="57">
        <f>Calc1!F21+Calc1!F22</f>
        <v>-1270.5762390792931</v>
      </c>
      <c r="G5" s="57">
        <f>Calc1!G21+Calc1!G22</f>
        <v>-785.86202295677958</v>
      </c>
      <c r="H5" s="57">
        <f>Calc1!H21+Calc1!H22</f>
        <v>-807.15888377890838</v>
      </c>
      <c r="I5" s="57">
        <f>Calc1!I21+Calc1!I22</f>
        <v>-829.03288952931666</v>
      </c>
      <c r="J5" s="57">
        <f>Calc1!J21+Calc1!J22</f>
        <v>-851.49968083556098</v>
      </c>
      <c r="K5" s="57">
        <f>Calc1!K21+Calc1!K22</f>
        <v>-874.57532218620463</v>
      </c>
    </row>
    <row r="6" spans="1:26">
      <c r="A6" s="5"/>
      <c r="B6" s="69"/>
      <c r="C6" s="69"/>
      <c r="D6" s="69"/>
      <c r="E6" s="69"/>
      <c r="F6" s="69"/>
      <c r="G6" s="69"/>
      <c r="H6" s="69"/>
      <c r="I6" s="69"/>
      <c r="J6" s="69"/>
      <c r="K6" s="69"/>
    </row>
    <row r="7" spans="1:26">
      <c r="A7" s="4"/>
      <c r="B7" s="34" t="s">
        <v>10</v>
      </c>
      <c r="C7" s="34" t="s">
        <v>11</v>
      </c>
      <c r="D7" s="34" t="s">
        <v>9</v>
      </c>
      <c r="E7" s="34" t="s">
        <v>12</v>
      </c>
      <c r="F7" s="34" t="s">
        <v>13</v>
      </c>
      <c r="G7" s="34" t="s">
        <v>14</v>
      </c>
      <c r="H7" s="34" t="s">
        <v>15</v>
      </c>
      <c r="I7" s="34" t="s">
        <v>16</v>
      </c>
      <c r="J7" s="34" t="s">
        <v>17</v>
      </c>
      <c r="K7" s="34" t="s">
        <v>18</v>
      </c>
    </row>
    <row r="8" spans="1:26">
      <c r="A8" s="5" t="s">
        <v>47</v>
      </c>
      <c r="B8" s="57">
        <f>SUM(Calc1!B28:B30)</f>
        <v>-1439.75692</v>
      </c>
      <c r="C8" s="57">
        <f>SUM(Calc1!C28:C30)</f>
        <v>-1501.0389500000001</v>
      </c>
      <c r="D8" s="57">
        <f>SUM(Calc1!D28:D30)</f>
        <v>-1599.0362300000002</v>
      </c>
      <c r="E8" s="57">
        <f>SUM(Calc1!E28:E30)</f>
        <v>-1429.4160000000002</v>
      </c>
      <c r="F8" s="57">
        <f>SUM(Calc1!F28:F30)</f>
        <v>-1782.8418850215091</v>
      </c>
      <c r="G8" s="57">
        <f>SUM(Calc1!G28:G30)</f>
        <v>-1847.2985659100505</v>
      </c>
      <c r="H8" s="57">
        <f>SUM(Calc1!H28:H30)</f>
        <v>-1968.7991373168607</v>
      </c>
      <c r="I8" s="57">
        <f>SUM(Calc1!I28:I30)</f>
        <v>-2103.5628014748672</v>
      </c>
      <c r="J8" s="57">
        <f>SUM(Calc1!J28:J30)</f>
        <v>-2187.2381555032089</v>
      </c>
      <c r="K8" s="57">
        <f>SUM(Calc1!K28:K30)</f>
        <v>-2303.2168063195836</v>
      </c>
    </row>
    <row r="9" spans="1:26">
      <c r="A9" s="5"/>
      <c r="B9" s="69"/>
      <c r="C9" s="69"/>
      <c r="D9" s="69"/>
      <c r="E9" s="69"/>
      <c r="F9" s="69"/>
      <c r="G9" s="69"/>
      <c r="H9" s="69"/>
      <c r="I9" s="69"/>
      <c r="J9" s="69"/>
      <c r="K9" s="69"/>
    </row>
    <row r="10" spans="1:26">
      <c r="A10" s="4"/>
      <c r="B10" s="34" t="s">
        <v>10</v>
      </c>
      <c r="C10" s="34" t="s">
        <v>11</v>
      </c>
      <c r="D10" s="34" t="s">
        <v>9</v>
      </c>
      <c r="E10" s="34" t="s">
        <v>12</v>
      </c>
      <c r="F10" s="34" t="s">
        <v>13</v>
      </c>
      <c r="G10" s="34" t="s">
        <v>14</v>
      </c>
      <c r="H10" s="34" t="s">
        <v>15</v>
      </c>
      <c r="I10" s="34" t="s">
        <v>16</v>
      </c>
      <c r="J10" s="34" t="s">
        <v>17</v>
      </c>
      <c r="K10" s="34" t="s">
        <v>18</v>
      </c>
    </row>
    <row r="11" spans="1:26">
      <c r="A11" s="5" t="s">
        <v>48</v>
      </c>
      <c r="B11" s="57">
        <f>SUM(Calc1!B$33:B$38)</f>
        <v>-149.60634999999999</v>
      </c>
      <c r="C11" s="57">
        <f>SUM(Calc1!C$33:C$38)</f>
        <v>-226.12289999999999</v>
      </c>
      <c r="D11" s="57">
        <f>SUM(Calc1!D$33:D$38)</f>
        <v>-306</v>
      </c>
      <c r="E11" s="57">
        <f>SUM(Calc1!E$33:E$38)</f>
        <v>-133.47548</v>
      </c>
      <c r="F11" s="57">
        <f>SUM(Calc1!F$33:F$38)</f>
        <v>-503.54322638342376</v>
      </c>
      <c r="G11" s="57">
        <f>SUM(Calc1!G$33:G$38)</f>
        <v>-665.97861846394233</v>
      </c>
      <c r="H11" s="57">
        <f>SUM(Calc1!H$33:H$38)</f>
        <v>-684.02663902431505</v>
      </c>
      <c r="I11" s="57">
        <f>SUM(Calc1!I$33:I$38)</f>
        <v>-565.90509444410418</v>
      </c>
      <c r="J11" s="57">
        <f>SUM(Calc1!J$33:J$38)</f>
        <v>-253.77470637862572</v>
      </c>
      <c r="K11" s="57">
        <f>SUM(Calc1!K$33:K$38)</f>
        <v>-260.65200092148643</v>
      </c>
    </row>
    <row r="12" spans="1:26">
      <c r="A12" s="5"/>
      <c r="B12" s="69"/>
      <c r="C12" s="69"/>
      <c r="D12" s="69"/>
      <c r="E12" s="69"/>
      <c r="F12" s="69"/>
      <c r="G12" s="69"/>
      <c r="H12" s="69"/>
      <c r="I12" s="69"/>
      <c r="J12" s="69"/>
      <c r="K12" s="69"/>
    </row>
    <row r="13" spans="1:26">
      <c r="A13" s="5"/>
      <c r="B13" s="34" t="s">
        <v>10</v>
      </c>
      <c r="C13" s="34" t="s">
        <v>11</v>
      </c>
      <c r="D13" s="34" t="s">
        <v>9</v>
      </c>
      <c r="E13" s="34" t="s">
        <v>12</v>
      </c>
      <c r="F13" s="34" t="s">
        <v>13</v>
      </c>
      <c r="G13" s="34" t="s">
        <v>14</v>
      </c>
      <c r="H13" s="34" t="s">
        <v>15</v>
      </c>
      <c r="I13" s="34" t="s">
        <v>16</v>
      </c>
      <c r="J13" s="34" t="s">
        <v>17</v>
      </c>
      <c r="K13" s="34" t="s">
        <v>18</v>
      </c>
    </row>
    <row r="14" spans="1:26">
      <c r="A14" s="5" t="s">
        <v>0</v>
      </c>
      <c r="B14" s="57">
        <f>Calc1!B$41</f>
        <v>-268.71767</v>
      </c>
      <c r="C14" s="57">
        <f>Calc1!C$41</f>
        <v>-274.63887</v>
      </c>
      <c r="D14" s="57">
        <f>Calc1!D$41</f>
        <v>-316.96451000000002</v>
      </c>
      <c r="E14" s="57">
        <f>Calc1!E$41</f>
        <v>-371.71755000000002</v>
      </c>
      <c r="F14" s="57">
        <f>Calc1!F$41</f>
        <v>-370.48847086429441</v>
      </c>
      <c r="G14" s="57">
        <f>Calc1!G$41</f>
        <v>-584.49501447008208</v>
      </c>
      <c r="H14" s="57">
        <f>Calc1!H$41</f>
        <v>-600.33482936222129</v>
      </c>
      <c r="I14" s="57">
        <f>Calc1!I$41</f>
        <v>-616.6039032379374</v>
      </c>
      <c r="J14" s="57">
        <f>Calc1!J$41</f>
        <v>-633.31386901568533</v>
      </c>
      <c r="K14" s="57">
        <f>Calc1!K$41</f>
        <v>-650.4766748660104</v>
      </c>
    </row>
    <row r="15" spans="1:26">
      <c r="A15" s="5"/>
      <c r="B15" s="69"/>
      <c r="C15" s="69"/>
      <c r="D15" s="69"/>
      <c r="E15" s="69"/>
      <c r="F15" s="69"/>
      <c r="G15" s="69"/>
      <c r="H15" s="69"/>
      <c r="I15" s="69"/>
      <c r="J15" s="69"/>
      <c r="K15" s="69"/>
    </row>
    <row r="16" spans="1:26">
      <c r="A16" s="5"/>
      <c r="B16" s="34" t="s">
        <v>10</v>
      </c>
      <c r="C16" s="34" t="s">
        <v>11</v>
      </c>
      <c r="D16" s="34" t="s">
        <v>9</v>
      </c>
      <c r="E16" s="34" t="s">
        <v>12</v>
      </c>
      <c r="F16" s="34" t="s">
        <v>13</v>
      </c>
      <c r="G16" s="34" t="s">
        <v>14</v>
      </c>
      <c r="H16" s="34" t="s">
        <v>15</v>
      </c>
      <c r="I16" s="34" t="s">
        <v>16</v>
      </c>
      <c r="J16" s="34" t="s">
        <v>17</v>
      </c>
      <c r="K16" s="34" t="s">
        <v>18</v>
      </c>
    </row>
    <row r="17" spans="1:11">
      <c r="A17" s="5" t="s">
        <v>52</v>
      </c>
      <c r="B17" s="57">
        <f>Calc1!B$44+Calc1!B46</f>
        <v>52.386130000000001</v>
      </c>
      <c r="C17" s="57">
        <f>Calc1!C$44+Calc1!C46</f>
        <v>68.978530000000006</v>
      </c>
      <c r="D17" s="57">
        <f>Calc1!D$44+Calc1!D46</f>
        <v>71.320689999999999</v>
      </c>
      <c r="E17" s="57">
        <f>Calc1!E$44+Calc1!E46</f>
        <v>571.02900999999997</v>
      </c>
      <c r="F17" s="57">
        <f>Calc1!F$44+Calc1!F46</f>
        <v>571.76378568635118</v>
      </c>
      <c r="G17" s="57">
        <f>Calc1!G$44+Calc1!G46</f>
        <v>0</v>
      </c>
      <c r="H17" s="57">
        <f>Calc1!H$44+Calc1!H46</f>
        <v>0</v>
      </c>
      <c r="I17" s="57">
        <f>Calc1!I$44+Calc1!I46</f>
        <v>0</v>
      </c>
      <c r="J17" s="57">
        <f>Calc1!J$44+Calc1!J46</f>
        <v>0</v>
      </c>
      <c r="K17" s="57">
        <f>Calc1!K$44+Calc1!K46</f>
        <v>0</v>
      </c>
    </row>
    <row r="18" spans="1:11">
      <c r="A18" s="5"/>
      <c r="B18" s="69"/>
      <c r="C18" s="69"/>
      <c r="D18" s="69"/>
      <c r="E18" s="69"/>
      <c r="F18" s="69"/>
      <c r="G18" s="69"/>
      <c r="H18" s="69"/>
      <c r="I18" s="69"/>
      <c r="J18" s="69"/>
      <c r="K18" s="69"/>
    </row>
    <row r="19" spans="1:11">
      <c r="A19" s="5"/>
      <c r="B19" s="34" t="s">
        <v>10</v>
      </c>
      <c r="C19" s="34" t="s">
        <v>11</v>
      </c>
      <c r="D19" s="34" t="s">
        <v>9</v>
      </c>
      <c r="E19" s="34" t="s">
        <v>12</v>
      </c>
      <c r="F19" s="34" t="s">
        <v>13</v>
      </c>
      <c r="G19" s="34" t="s">
        <v>14</v>
      </c>
      <c r="H19" s="34" t="s">
        <v>15</v>
      </c>
      <c r="I19" s="34" t="s">
        <v>16</v>
      </c>
      <c r="J19" s="34" t="s">
        <v>17</v>
      </c>
      <c r="K19" s="34" t="s">
        <v>18</v>
      </c>
    </row>
    <row r="20" spans="1:11">
      <c r="A20" s="5" t="s">
        <v>53</v>
      </c>
      <c r="B20" s="57">
        <f>Calc1!B$45+Calc1!B$47</f>
        <v>-265.64100000000002</v>
      </c>
      <c r="C20" s="57">
        <f>Calc1!C$45+Calc1!C$47</f>
        <v>-389.08883000000003</v>
      </c>
      <c r="D20" s="57">
        <f>Calc1!D$45+Calc1!D$47</f>
        <v>-386.27695</v>
      </c>
      <c r="E20" s="57">
        <f>Calc1!E$45+Calc1!E$47</f>
        <v>-1365.6666666666667</v>
      </c>
      <c r="F20" s="57">
        <f>Calc1!F$45+Calc1!F$47</f>
        <v>-1538.7172467735627</v>
      </c>
      <c r="G20" s="57">
        <f>Calc1!G$45+Calc1!G$47</f>
        <v>0</v>
      </c>
      <c r="H20" s="57">
        <f>Calc1!H$45+Calc1!H$47</f>
        <v>0</v>
      </c>
      <c r="I20" s="57">
        <f>Calc1!I$45+Calc1!I$47</f>
        <v>0</v>
      </c>
      <c r="J20" s="57">
        <f>Calc1!J$45+Calc1!J$47</f>
        <v>0</v>
      </c>
      <c r="K20" s="57">
        <f>Calc1!K$45+Calc1!K$47</f>
        <v>0</v>
      </c>
    </row>
    <row r="21" spans="1:11">
      <c r="A21" s="5"/>
      <c r="B21" s="69"/>
      <c r="C21" s="69"/>
      <c r="D21" s="69"/>
      <c r="E21" s="69"/>
      <c r="F21" s="69"/>
      <c r="G21" s="69"/>
      <c r="H21" s="69"/>
      <c r="I21" s="69"/>
      <c r="J21" s="69"/>
      <c r="K21" s="69"/>
    </row>
    <row r="22" spans="1:11">
      <c r="A22" s="5"/>
      <c r="B22" s="34" t="s">
        <v>10</v>
      </c>
      <c r="C22" s="34" t="s">
        <v>11</v>
      </c>
      <c r="D22" s="34" t="s">
        <v>9</v>
      </c>
      <c r="E22" s="34" t="s">
        <v>12</v>
      </c>
      <c r="F22" s="34" t="s">
        <v>13</v>
      </c>
      <c r="G22" s="34" t="s">
        <v>14</v>
      </c>
      <c r="H22" s="34" t="s">
        <v>15</v>
      </c>
      <c r="I22" s="34" t="s">
        <v>16</v>
      </c>
      <c r="J22" s="34" t="s">
        <v>17</v>
      </c>
      <c r="K22" s="34" t="s">
        <v>18</v>
      </c>
    </row>
    <row r="23" spans="1:11">
      <c r="A23" s="5" t="s">
        <v>281</v>
      </c>
      <c r="B23" s="57">
        <f>Calc1!B54</f>
        <v>-23.654330000000002</v>
      </c>
      <c r="C23" s="57">
        <f>Calc1!C54</f>
        <v>-25.683949999999999</v>
      </c>
      <c r="D23" s="57">
        <f>Calc1!D54</f>
        <v>-21.623049999999999</v>
      </c>
      <c r="E23" s="57">
        <f>Calc1!E54</f>
        <v>-39.606859999999998</v>
      </c>
      <c r="F23" s="57">
        <f>Calc1!F54</f>
        <v>-50.449745795854518</v>
      </c>
      <c r="G23" s="57">
        <f>Calc1!G54</f>
        <v>0</v>
      </c>
      <c r="H23" s="57">
        <f>Calc1!H54</f>
        <v>0</v>
      </c>
      <c r="I23" s="57">
        <f>Calc1!I54</f>
        <v>0</v>
      </c>
      <c r="J23" s="57">
        <f>Calc1!J54</f>
        <v>0</v>
      </c>
      <c r="K23" s="57">
        <f>Calc1!K54</f>
        <v>0</v>
      </c>
    </row>
    <row r="24" spans="1:11">
      <c r="A24" s="5"/>
      <c r="B24" s="69"/>
      <c r="C24" s="69"/>
      <c r="D24" s="69"/>
      <c r="E24" s="69"/>
      <c r="F24" s="69"/>
      <c r="G24" s="69"/>
      <c r="H24" s="69"/>
      <c r="I24" s="69"/>
      <c r="J24" s="69"/>
      <c r="K24" s="69"/>
    </row>
    <row r="25" spans="1:11">
      <c r="A25" s="5"/>
      <c r="B25" s="34" t="s">
        <v>10</v>
      </c>
      <c r="C25" s="34" t="s">
        <v>11</v>
      </c>
      <c r="D25" s="34" t="s">
        <v>9</v>
      </c>
      <c r="E25" s="34" t="s">
        <v>12</v>
      </c>
      <c r="F25" s="34" t="s">
        <v>13</v>
      </c>
      <c r="G25" s="34" t="s">
        <v>14</v>
      </c>
      <c r="H25" s="34" t="s">
        <v>15</v>
      </c>
      <c r="I25" s="34" t="s">
        <v>16</v>
      </c>
      <c r="J25" s="34" t="s">
        <v>17</v>
      </c>
      <c r="K25" s="34" t="s">
        <v>18</v>
      </c>
    </row>
    <row r="26" spans="1:11">
      <c r="A26" s="5" t="s">
        <v>657</v>
      </c>
      <c r="B26" s="57">
        <f>Calc1!B57</f>
        <v>-292.66307999999992</v>
      </c>
      <c r="C26" s="57">
        <f>Calc1!C57</f>
        <v>-368.59472000000005</v>
      </c>
      <c r="D26" s="57">
        <f>Calc1!D57</f>
        <v>-402.91129000000006</v>
      </c>
      <c r="E26" s="57">
        <f>Calc1!E57</f>
        <v>-478.35872999999998</v>
      </c>
      <c r="F26" s="57">
        <f>Calc1!F57</f>
        <v>-529.61213578177001</v>
      </c>
      <c r="G26" s="57">
        <f>Calc1!G57</f>
        <v>-422.27001558182184</v>
      </c>
      <c r="H26" s="57">
        <f>Calc1!H57</f>
        <v>-433.71353300408919</v>
      </c>
      <c r="I26" s="57">
        <f>Calc1!I57</f>
        <v>-445.46716974849994</v>
      </c>
      <c r="J26" s="57">
        <f>Calc1!J57</f>
        <v>-457.53933004868423</v>
      </c>
      <c r="K26" s="57">
        <f>Calc1!K57</f>
        <v>-469.93864589300352</v>
      </c>
    </row>
    <row r="27" spans="1:11">
      <c r="A27" s="5"/>
      <c r="B27" s="69"/>
      <c r="C27" s="69"/>
      <c r="D27" s="69"/>
      <c r="E27" s="69"/>
      <c r="F27" s="69"/>
      <c r="G27" s="69"/>
      <c r="H27" s="69"/>
      <c r="I27" s="69"/>
      <c r="J27" s="69"/>
      <c r="K27" s="69"/>
    </row>
    <row r="28" spans="1:11">
      <c r="A28" s="5"/>
      <c r="B28" s="34" t="s">
        <v>10</v>
      </c>
      <c r="C28" s="34" t="s">
        <v>11</v>
      </c>
      <c r="D28" s="34" t="s">
        <v>9</v>
      </c>
      <c r="E28" s="34" t="s">
        <v>12</v>
      </c>
      <c r="F28" s="34" t="s">
        <v>13</v>
      </c>
      <c r="G28" s="34" t="s">
        <v>14</v>
      </c>
      <c r="H28" s="34" t="s">
        <v>15</v>
      </c>
      <c r="I28" s="34" t="s">
        <v>16</v>
      </c>
      <c r="J28" s="34" t="s">
        <v>17</v>
      </c>
      <c r="K28" s="34" t="s">
        <v>18</v>
      </c>
    </row>
    <row r="29" spans="1:11">
      <c r="A29" s="5" t="s">
        <v>658</v>
      </c>
      <c r="B29" s="57">
        <f>Calc1!B58</f>
        <v>-157.4169</v>
      </c>
      <c r="C29" s="57">
        <f>Calc1!C58</f>
        <v>-121.12184999999999</v>
      </c>
      <c r="D29" s="57">
        <f>Calc1!D58</f>
        <v>-184.6815</v>
      </c>
      <c r="E29" s="57">
        <f>Calc1!E58</f>
        <v>-100.47192999999997</v>
      </c>
      <c r="F29" s="57">
        <f>Calc1!F58</f>
        <v>-106.98255545561206</v>
      </c>
      <c r="G29" s="57">
        <f>Calc1!G58</f>
        <v>-221.80635994741101</v>
      </c>
      <c r="H29" s="57">
        <f>Calc1!H58</f>
        <v>-227.81731230198585</v>
      </c>
      <c r="I29" s="57">
        <f>Calc1!I58</f>
        <v>-233.99116146536963</v>
      </c>
      <c r="J29" s="57">
        <f>Calc1!J58</f>
        <v>-240.33232194108112</v>
      </c>
      <c r="K29" s="57">
        <f>Calc1!K58</f>
        <v>-246.84532786568437</v>
      </c>
    </row>
    <row r="30" spans="1:11">
      <c r="A30" s="5"/>
      <c r="B30" s="69"/>
      <c r="C30" s="69"/>
      <c r="D30" s="69"/>
      <c r="E30" s="69"/>
      <c r="F30" s="69"/>
      <c r="G30" s="69"/>
      <c r="H30" s="69"/>
      <c r="I30" s="69"/>
      <c r="J30" s="69"/>
      <c r="K30" s="69"/>
    </row>
    <row r="31" spans="1:11">
      <c r="A31" s="5"/>
      <c r="B31" s="34" t="s">
        <v>10</v>
      </c>
      <c r="C31" s="34" t="s">
        <v>11</v>
      </c>
      <c r="D31" s="34" t="s">
        <v>9</v>
      </c>
      <c r="E31" s="34" t="s">
        <v>12</v>
      </c>
      <c r="F31" s="34" t="s">
        <v>13</v>
      </c>
      <c r="G31" s="34" t="s">
        <v>14</v>
      </c>
      <c r="H31" s="34" t="s">
        <v>15</v>
      </c>
      <c r="I31" s="34" t="s">
        <v>16</v>
      </c>
      <c r="J31" s="34" t="s">
        <v>17</v>
      </c>
      <c r="K31" s="34" t="s">
        <v>18</v>
      </c>
    </row>
    <row r="32" spans="1:11">
      <c r="A32" s="5" t="s">
        <v>54</v>
      </c>
      <c r="B32" s="57">
        <f>SUM(Calc1!B50:B51)</f>
        <v>-30</v>
      </c>
      <c r="C32" s="57">
        <f>SUM(Calc1!C50:C51)</f>
        <v>-30</v>
      </c>
      <c r="D32" s="57">
        <f>SUM(Calc1!D50:D51)</f>
        <v>-30</v>
      </c>
      <c r="E32" s="57">
        <f>SUM(Calc1!E50:E51)</f>
        <v>-148</v>
      </c>
      <c r="F32" s="57">
        <f>SUM(Calc1!F50:F51)</f>
        <v>-653.82870551427459</v>
      </c>
      <c r="G32" s="57">
        <f>SUM(Calc1!G50:G51)</f>
        <v>-195.34984082909656</v>
      </c>
      <c r="H32" s="57">
        <f>SUM(Calc1!H50:H51)</f>
        <v>-200.64382151556507</v>
      </c>
      <c r="I32" s="57">
        <f>SUM(Calc1!I50:I51)</f>
        <v>-206.08126907863686</v>
      </c>
      <c r="J32" s="57">
        <f>SUM(Calc1!J50:J51)</f>
        <v>-211.6660714706679</v>
      </c>
      <c r="K32" s="57">
        <f>SUM(Calc1!K50:K51)</f>
        <v>-217.40222200752297</v>
      </c>
    </row>
    <row r="33" spans="1:11">
      <c r="A33" s="5"/>
      <c r="B33" s="69"/>
      <c r="C33" s="69"/>
      <c r="D33" s="69"/>
      <c r="E33" s="69"/>
      <c r="F33" s="69"/>
      <c r="G33" s="69"/>
      <c r="H33" s="69"/>
      <c r="I33" s="69"/>
      <c r="J33" s="69"/>
      <c r="K33" s="69"/>
    </row>
    <row r="34" spans="1:11">
      <c r="A34" s="5"/>
      <c r="B34" s="34" t="s">
        <v>10</v>
      </c>
      <c r="C34" s="34" t="s">
        <v>11</v>
      </c>
      <c r="D34" s="34" t="s">
        <v>9</v>
      </c>
      <c r="E34" s="34" t="s">
        <v>12</v>
      </c>
      <c r="F34" s="34" t="s">
        <v>13</v>
      </c>
      <c r="G34" s="34" t="s">
        <v>14</v>
      </c>
      <c r="H34" s="34" t="s">
        <v>15</v>
      </c>
      <c r="I34" s="34" t="s">
        <v>16</v>
      </c>
      <c r="J34" s="34" t="s">
        <v>17</v>
      </c>
      <c r="K34" s="34" t="s">
        <v>18</v>
      </c>
    </row>
    <row r="35" spans="1:11">
      <c r="A35" s="5" t="s">
        <v>38</v>
      </c>
      <c r="B35" s="57">
        <f>Calc1!B61</f>
        <v>0</v>
      </c>
      <c r="C35" s="57">
        <f>Calc1!C61</f>
        <v>0</v>
      </c>
      <c r="D35" s="57">
        <f>Calc1!D61</f>
        <v>0</v>
      </c>
      <c r="E35" s="57">
        <f>Calc1!E61</f>
        <v>0</v>
      </c>
      <c r="F35" s="57">
        <f>Calc1!F61</f>
        <v>0</v>
      </c>
      <c r="G35" s="57">
        <f>Calc1!G61</f>
        <v>0</v>
      </c>
      <c r="H35" s="57">
        <f>Calc1!H61</f>
        <v>0</v>
      </c>
      <c r="I35" s="57">
        <f>Calc1!I61</f>
        <v>0</v>
      </c>
      <c r="J35" s="57">
        <f>Calc1!J61</f>
        <v>0</v>
      </c>
      <c r="K35" s="57">
        <f>Calc1!K61</f>
        <v>0</v>
      </c>
    </row>
    <row r="36" spans="1:11">
      <c r="A36" s="5"/>
      <c r="B36" s="69"/>
      <c r="C36" s="69"/>
      <c r="D36" s="69"/>
      <c r="E36" s="69"/>
      <c r="F36" s="69"/>
      <c r="G36" s="69"/>
      <c r="H36" s="69"/>
      <c r="I36" s="69"/>
      <c r="J36" s="69"/>
      <c r="K36" s="69"/>
    </row>
    <row r="37" spans="1:11">
      <c r="A37" s="5"/>
      <c r="B37" s="34" t="s">
        <v>10</v>
      </c>
      <c r="C37" s="34" t="s">
        <v>11</v>
      </c>
      <c r="D37" s="34" t="s">
        <v>9</v>
      </c>
      <c r="E37" s="34" t="s">
        <v>12</v>
      </c>
      <c r="F37" s="34" t="s">
        <v>13</v>
      </c>
      <c r="G37" s="34" t="s">
        <v>14</v>
      </c>
      <c r="H37" s="34" t="s">
        <v>15</v>
      </c>
      <c r="I37" s="34" t="s">
        <v>16</v>
      </c>
      <c r="J37" s="34" t="s">
        <v>17</v>
      </c>
      <c r="K37" s="34" t="s">
        <v>18</v>
      </c>
    </row>
    <row r="38" spans="1:11">
      <c r="A38" s="5" t="s">
        <v>57</v>
      </c>
      <c r="B38" s="57">
        <v>0</v>
      </c>
      <c r="C38" s="57">
        <v>0</v>
      </c>
      <c r="D38" s="57">
        <v>0</v>
      </c>
      <c r="E38" s="57">
        <v>0</v>
      </c>
      <c r="F38" s="57">
        <v>0</v>
      </c>
      <c r="G38" s="57">
        <f>((1+(Inputs!$B$16))^G$2-1)*(G4+G5+G8+G11+G14+G17+G20+G26+G29)</f>
        <v>-157.63835729085616</v>
      </c>
      <c r="H38" s="57">
        <f>((1+(Inputs!$B$16))^H$2-1)*(H4+H5+H8+H11+H14+H17+H20+H26+H29)</f>
        <v>-245.22729316518999</v>
      </c>
      <c r="I38" s="57">
        <f>((1+(Inputs!$B$16))^I$2-1)*(I4+I5+I8+I11+I14+I17+I20+I26+I29)</f>
        <v>-335.44543977281791</v>
      </c>
      <c r="J38" s="57">
        <f>((1+(Inputs!$B$16))^J$2-1)*(J4+J5+J8+J11+J14+J17+J20+J26+J29)</f>
        <v>-421.50627361982754</v>
      </c>
      <c r="K38" s="57">
        <f>((1+(Inputs!$B$16))^K$2-1)*(K4+K5+K8+K11+K14+K17+K20+K26+K29)</f>
        <v>-523.7653279376832</v>
      </c>
    </row>
    <row r="41" spans="1:11" ht="18.75">
      <c r="A41" s="6" t="s">
        <v>305</v>
      </c>
    </row>
    <row r="43" spans="1:11">
      <c r="A43" s="10" t="s">
        <v>121</v>
      </c>
      <c r="B43" s="34" t="s">
        <v>10</v>
      </c>
      <c r="C43" s="34" t="s">
        <v>11</v>
      </c>
      <c r="D43" s="34" t="s">
        <v>9</v>
      </c>
      <c r="E43" s="34" t="s">
        <v>12</v>
      </c>
      <c r="F43" s="34" t="s">
        <v>13</v>
      </c>
      <c r="G43" s="34" t="s">
        <v>14</v>
      </c>
      <c r="H43" s="34" t="s">
        <v>15</v>
      </c>
      <c r="I43" s="34" t="s">
        <v>16</v>
      </c>
      <c r="J43" s="34" t="s">
        <v>17</v>
      </c>
      <c r="K43" s="34" t="s">
        <v>18</v>
      </c>
    </row>
    <row r="44" spans="1:11">
      <c r="A44" s="5" t="s">
        <v>160</v>
      </c>
      <c r="B44" s="57">
        <f>SUM(Calc1!B95:B100)</f>
        <v>-44346.011299999998</v>
      </c>
      <c r="C44" s="57">
        <f>SUM(Calc1!C95:C100)</f>
        <v>-52152.286619999999</v>
      </c>
      <c r="D44" s="57">
        <f>SUM(Calc1!D95:D100)</f>
        <v>-49441.397790000003</v>
      </c>
      <c r="E44" s="57">
        <f>SUM(Calc1!E95:E100)</f>
        <v>-54926.434459999997</v>
      </c>
      <c r="F44" s="57">
        <f>SUM(Calc1!F95:F100)</f>
        <v>-45430.181024054851</v>
      </c>
      <c r="G44" s="57">
        <f>SUM(Calc1!G95:G100)</f>
        <v>-66956.926907472036</v>
      </c>
      <c r="H44" s="57">
        <f>SUM(Calc1!H95:H100)</f>
        <v>-82608.964558772452</v>
      </c>
      <c r="I44" s="57">
        <f>SUM(Calc1!I95:I100)</f>
        <v>-93593.822154172449</v>
      </c>
      <c r="J44" s="57">
        <f>SUM(Calc1!J95:J100)</f>
        <v>-105113.39018158149</v>
      </c>
      <c r="K44" s="57">
        <f>SUM(Calc1!K95:K100)</f>
        <v>-117044.41662743466</v>
      </c>
    </row>
    <row r="45" spans="1:11">
      <c r="A45" s="13" t="s">
        <v>161</v>
      </c>
      <c r="B45" s="57">
        <f>SUM(Calc1!B104:B108)</f>
        <v>-261.80063999999993</v>
      </c>
      <c r="C45" s="57">
        <f>SUM(Calc1!C104:C108)</f>
        <v>-1130.8632900000002</v>
      </c>
      <c r="D45" s="57">
        <f>SUM(Calc1!D104:D108)</f>
        <v>-1012.9771300000001</v>
      </c>
      <c r="E45" s="57">
        <f>SUM(Calc1!E104:E108)</f>
        <v>-1216.54901</v>
      </c>
      <c r="F45" s="57">
        <f>SUM(Calc1!F104:F108)</f>
        <v>-1440.1535784122018</v>
      </c>
      <c r="G45" s="57">
        <f>SUM(Calc1!G104:G108)</f>
        <v>-1340.8160181141961</v>
      </c>
      <c r="H45" s="57">
        <f>SUM(Calc1!H104:H108)</f>
        <v>-1377.1521322050908</v>
      </c>
      <c r="I45" s="57">
        <f>SUM(Calc1!I104:I108)</f>
        <v>-1414.4729549878484</v>
      </c>
      <c r="J45" s="57">
        <f>SUM(Calc1!J104:J108)</f>
        <v>-1452.8051720680189</v>
      </c>
      <c r="K45" s="57">
        <f>SUM(Calc1!K104:K108)</f>
        <v>-1492.176192231062</v>
      </c>
    </row>
    <row r="46" spans="1:11">
      <c r="A46" s="13" t="s">
        <v>163</v>
      </c>
      <c r="B46" s="57">
        <f>Calc1!B101</f>
        <v>0</v>
      </c>
      <c r="C46" s="57">
        <f>Calc1!C101</f>
        <v>0</v>
      </c>
      <c r="D46" s="57">
        <f>Calc1!D101</f>
        <v>-14499.999970000001</v>
      </c>
      <c r="E46" s="57">
        <f>Calc1!E101</f>
        <v>-19810.000019999999</v>
      </c>
      <c r="F46" s="57">
        <f>Calc1!F101</f>
        <v>-24180.058662495103</v>
      </c>
      <c r="G46" s="57">
        <f>Calc1!G101</f>
        <v>-24872.128275322641</v>
      </c>
      <c r="H46" s="57">
        <f>Calc1!H101</f>
        <v>-25546.162951583883</v>
      </c>
      <c r="I46" s="57">
        <f>Calc1!I101</f>
        <v>-26238.463967571803</v>
      </c>
      <c r="J46" s="57">
        <f>Calc1!J101</f>
        <v>-26949.526341092995</v>
      </c>
      <c r="K46" s="57">
        <f>Calc1!K101</f>
        <v>-27679.858504936612</v>
      </c>
    </row>
    <row r="47" spans="1:11">
      <c r="A47" s="13" t="s">
        <v>169</v>
      </c>
      <c r="B47" s="57">
        <f>Calc1!B102</f>
        <v>0</v>
      </c>
      <c r="C47" s="57">
        <f>Calc1!C102</f>
        <v>-3543.0319</v>
      </c>
      <c r="D47" s="57">
        <f>Calc1!D102</f>
        <v>-1311.7877800000001</v>
      </c>
      <c r="E47" s="57">
        <f>Calc1!E102</f>
        <v>-2356.9339</v>
      </c>
      <c r="F47" s="57">
        <f>Calc1!F102</f>
        <v>0</v>
      </c>
      <c r="G47" s="57">
        <f>Calc1!G102</f>
        <v>0</v>
      </c>
      <c r="H47" s="57">
        <f>Calc1!H102</f>
        <v>0</v>
      </c>
      <c r="I47" s="57">
        <f>Calc1!I102</f>
        <v>0</v>
      </c>
      <c r="J47" s="57">
        <f>Calc1!J102</f>
        <v>0</v>
      </c>
      <c r="K47" s="57">
        <f>Calc1!K102</f>
        <v>0</v>
      </c>
    </row>
    <row r="49" spans="1:11">
      <c r="A49" s="10" t="s">
        <v>141</v>
      </c>
      <c r="B49" s="34" t="s">
        <v>10</v>
      </c>
      <c r="C49" s="34" t="s">
        <v>11</v>
      </c>
      <c r="D49" s="34" t="s">
        <v>9</v>
      </c>
      <c r="E49" s="34" t="s">
        <v>12</v>
      </c>
      <c r="F49" s="34" t="s">
        <v>13</v>
      </c>
    </row>
    <row r="50" spans="1:11">
      <c r="A50" s="5" t="s">
        <v>164</v>
      </c>
      <c r="B50" s="57">
        <f>Calc1!B86</f>
        <v>24385.17137</v>
      </c>
      <c r="C50" s="57">
        <f>Calc1!C86</f>
        <v>26140.82069</v>
      </c>
      <c r="D50" s="57">
        <f>Calc1!D86</f>
        <v>31993.618760000001</v>
      </c>
      <c r="E50" s="57">
        <f>Calc1!E86</f>
        <v>26233.567449999999</v>
      </c>
      <c r="F50" s="57">
        <f>Calc1!F86</f>
        <v>34627.192021900657</v>
      </c>
      <c r="J50" s="19"/>
    </row>
    <row r="51" spans="1:11">
      <c r="A51" s="5" t="s">
        <v>165</v>
      </c>
      <c r="B51" s="57">
        <f>Calc1!B89</f>
        <v>31900.618409999999</v>
      </c>
      <c r="C51" s="57">
        <f>Calc1!C89</f>
        <v>36196.60383</v>
      </c>
      <c r="D51" s="57">
        <f>Calc1!D89</f>
        <v>45294.977559999999</v>
      </c>
      <c r="E51" s="57">
        <f>Calc1!E89</f>
        <v>44888.029539999996</v>
      </c>
      <c r="F51" s="57">
        <f>Calc1!F89</f>
        <v>30432.879722446796</v>
      </c>
      <c r="J51" s="19"/>
    </row>
    <row r="52" spans="1:11">
      <c r="A52" s="13" t="s">
        <v>163</v>
      </c>
      <c r="B52" s="57">
        <f>Calc1!B90</f>
        <v>0</v>
      </c>
      <c r="C52" s="57">
        <f>Calc1!C90</f>
        <v>0</v>
      </c>
      <c r="D52" s="57">
        <f>Calc1!D90</f>
        <v>14546.147510000001</v>
      </c>
      <c r="E52" s="57">
        <f>Calc1!E90</f>
        <v>19288.163570000001</v>
      </c>
      <c r="F52" s="57">
        <f>Calc1!F90</f>
        <v>24180.058662495103</v>
      </c>
    </row>
    <row r="53" spans="1:11">
      <c r="A53" s="13" t="s">
        <v>145</v>
      </c>
      <c r="B53" s="57">
        <f>Calc1!B88</f>
        <v>2572.0569999999998</v>
      </c>
      <c r="C53" s="57">
        <f>Calc1!C88</f>
        <v>277.54822000000001</v>
      </c>
      <c r="D53" s="57">
        <f>Calc1!D88</f>
        <v>210.524</v>
      </c>
      <c r="E53" s="57">
        <f>Calc1!E88</f>
        <v>60.931359999999998</v>
      </c>
      <c r="F53" s="57">
        <f>Calc1!F88</f>
        <v>614.47790379350806</v>
      </c>
    </row>
    <row r="54" spans="1:11">
      <c r="A54" s="13" t="s">
        <v>120</v>
      </c>
      <c r="B54" s="57">
        <f>SUM(Calc1!B91:B92)</f>
        <v>59.409910000000004</v>
      </c>
      <c r="C54" s="57">
        <f>SUM(Calc1!C91:C92)</f>
        <v>49.777430000000003</v>
      </c>
      <c r="D54" s="57">
        <f>SUM(Calc1!D91:D92)</f>
        <v>249.00051999999999</v>
      </c>
      <c r="E54" s="57">
        <f>SUM(Calc1!E91:E92)</f>
        <v>311.22459999999995</v>
      </c>
      <c r="F54" s="57">
        <f>SUM(Calc1!F91:F92)</f>
        <v>28.581637543996873</v>
      </c>
    </row>
    <row r="55" spans="1:11">
      <c r="A55" s="11" t="s">
        <v>167</v>
      </c>
      <c r="B55" s="14">
        <f>SUM(B50:B54)</f>
        <v>58917.256690000002</v>
      </c>
      <c r="C55" s="14">
        <f t="shared" ref="C55:F55" si="0">SUM(C50:C54)</f>
        <v>62664.750169999999</v>
      </c>
      <c r="D55" s="14">
        <f t="shared" si="0"/>
        <v>92294.268349999998</v>
      </c>
      <c r="E55" s="14">
        <f t="shared" si="0"/>
        <v>90781.916519999999</v>
      </c>
      <c r="F55" s="14">
        <f t="shared" si="0"/>
        <v>89883.189948180065</v>
      </c>
    </row>
    <row r="56" spans="1:11">
      <c r="A56" s="11" t="s">
        <v>142</v>
      </c>
      <c r="B56" s="14">
        <f>Calc1!B87</f>
        <v>457</v>
      </c>
      <c r="C56" s="14">
        <f>Calc1!C87</f>
        <v>9367</v>
      </c>
      <c r="D56" s="14">
        <f>Calc1!D87</f>
        <v>-10165.62703</v>
      </c>
      <c r="E56" s="14">
        <f>Calc1!E87</f>
        <v>4457.1311500000093</v>
      </c>
      <c r="F56" s="14">
        <f>Calc1!F87</f>
        <v>0</v>
      </c>
    </row>
    <row r="58" spans="1:11">
      <c r="A58" s="10" t="s">
        <v>1</v>
      </c>
      <c r="B58" s="34" t="s">
        <v>10</v>
      </c>
      <c r="C58" s="34" t="s">
        <v>11</v>
      </c>
      <c r="D58" s="34" t="s">
        <v>9</v>
      </c>
      <c r="E58" s="34" t="s">
        <v>12</v>
      </c>
    </row>
    <row r="59" spans="1:11">
      <c r="A59" s="5" t="s">
        <v>168</v>
      </c>
      <c r="B59" s="57">
        <f>Calc1!B110</f>
        <v>-1594.63183</v>
      </c>
      <c r="C59" s="57">
        <f>Calc1!C110</f>
        <v>-1730</v>
      </c>
      <c r="D59" s="57">
        <f>Calc1!D110</f>
        <v>-1890.8625400000001</v>
      </c>
      <c r="E59" s="57">
        <f>Calc1!E110</f>
        <v>-1889.8563899999999</v>
      </c>
    </row>
    <row r="61" spans="1:11">
      <c r="A61" s="10" t="s">
        <v>170</v>
      </c>
      <c r="B61" s="34" t="s">
        <v>10</v>
      </c>
      <c r="C61" s="34" t="s">
        <v>11</v>
      </c>
      <c r="D61" s="34" t="s">
        <v>9</v>
      </c>
      <c r="E61" s="34" t="s">
        <v>12</v>
      </c>
      <c r="F61" s="34" t="s">
        <v>13</v>
      </c>
      <c r="G61" s="34" t="s">
        <v>14</v>
      </c>
      <c r="H61" s="34" t="s">
        <v>15</v>
      </c>
      <c r="I61" s="34" t="s">
        <v>16</v>
      </c>
      <c r="J61" s="34" t="s">
        <v>17</v>
      </c>
      <c r="K61" s="34" t="s">
        <v>18</v>
      </c>
    </row>
    <row r="62" spans="1:11">
      <c r="A62" s="5" t="s">
        <v>248</v>
      </c>
      <c r="B62" s="57">
        <f>Calc1!B112</f>
        <v>150</v>
      </c>
      <c r="C62" s="57">
        <f>Calc1!C112</f>
        <v>364</v>
      </c>
      <c r="D62" s="57">
        <f>Calc1!D112</f>
        <v>580</v>
      </c>
      <c r="E62" s="57">
        <f>Calc1!E112</f>
        <v>713.61402999999996</v>
      </c>
      <c r="F62" s="57">
        <f>Calc1!F112</f>
        <v>456.76516582607206</v>
      </c>
      <c r="G62" s="57">
        <f>Calc1!G112</f>
        <v>0</v>
      </c>
      <c r="H62" s="57">
        <f>Calc1!H112</f>
        <v>0</v>
      </c>
      <c r="I62" s="57">
        <f>Calc1!I112</f>
        <v>0</v>
      </c>
      <c r="J62" s="57">
        <f>Calc1!J112</f>
        <v>0</v>
      </c>
      <c r="K62" s="57">
        <f>Calc1!K112</f>
        <v>0</v>
      </c>
    </row>
    <row r="63" spans="1:11">
      <c r="A63" s="5" t="s">
        <v>209</v>
      </c>
      <c r="B63" s="57">
        <f>Calc1!B113</f>
        <v>-895</v>
      </c>
      <c r="C63" s="57">
        <f>Calc1!C113</f>
        <v>-1460</v>
      </c>
      <c r="D63" s="57">
        <f>Calc1!D113</f>
        <v>-1091</v>
      </c>
      <c r="E63" s="57">
        <f>Calc1!E113</f>
        <v>-1043.2318</v>
      </c>
      <c r="F63" s="57">
        <f>-((Inputs!E284+Inputs!E292)+(B91+B101)/2)*Calc1!$B$11</f>
        <v>-267.94063259999956</v>
      </c>
      <c r="G63" s="57">
        <f>-((B91+C101)+(C91+C101))/2*Calc1!$B$11</f>
        <v>-86.09917499999986</v>
      </c>
      <c r="H63" s="57">
        <f>-((C91+D101)+(D91+D101))/2*Calc1!$B$11</f>
        <v>-315.6969749999995</v>
      </c>
      <c r="I63" s="57">
        <f>-((D91+E101)+(E91+E101))/2*Calc1!$B$11</f>
        <v>-746.19284999999877</v>
      </c>
      <c r="J63" s="57">
        <f>-((E91+F101)+(F91+F101))/2*Calc1!$B$11</f>
        <v>-947.09092499999849</v>
      </c>
      <c r="K63" s="57">
        <f>-((F91+G101)+(G91+G101))/2*Calc1!$B$11</f>
        <v>-746.19284999999877</v>
      </c>
    </row>
    <row r="66" spans="1:7" ht="18.75">
      <c r="A66" s="6" t="s">
        <v>306</v>
      </c>
    </row>
    <row r="67" spans="1:7">
      <c r="B67" s="94" t="s">
        <v>290</v>
      </c>
      <c r="C67" s="94"/>
      <c r="D67" s="94"/>
      <c r="E67" s="94"/>
      <c r="F67" s="94"/>
      <c r="G67" s="94"/>
    </row>
    <row r="68" spans="1:7">
      <c r="A68" s="2" t="s">
        <v>186</v>
      </c>
      <c r="B68" s="34" t="s">
        <v>13</v>
      </c>
      <c r="C68" s="34" t="s">
        <v>14</v>
      </c>
      <c r="D68" s="34" t="s">
        <v>15</v>
      </c>
      <c r="E68" s="34" t="s">
        <v>16</v>
      </c>
      <c r="F68" s="34" t="s">
        <v>17</v>
      </c>
      <c r="G68" s="34" t="s">
        <v>18</v>
      </c>
    </row>
    <row r="69" spans="1:7">
      <c r="A69" s="4" t="s">
        <v>176</v>
      </c>
      <c r="B69" s="57"/>
      <c r="C69" s="57"/>
      <c r="D69" s="57"/>
      <c r="E69" s="57"/>
      <c r="F69" s="57"/>
      <c r="G69" s="57"/>
    </row>
    <row r="70" spans="1:7">
      <c r="A70" s="5" t="s">
        <v>187</v>
      </c>
      <c r="B70" s="57">
        <f>Inputs!E269+Calc1!F186-'Acct depreciation'!F158</f>
        <v>10898.206701075342</v>
      </c>
      <c r="C70" s="57">
        <f>B70+Calc1!G186-Calc1!G188-'Acct depreciation'!G158</f>
        <v>16431.856847814692</v>
      </c>
      <c r="D70" s="57">
        <f>C70+Calc1!H186-Calc1!H188-'Acct depreciation'!H158</f>
        <v>22178.650173000391</v>
      </c>
      <c r="E70" s="57">
        <f>D70+Calc1!I186-Calc1!I188-'Acct depreciation'!I158</f>
        <v>32555.101427778267</v>
      </c>
      <c r="F70" s="57">
        <f>E70+Calc1!J186-Calc1!J188-'Acct depreciation'!J158</f>
        <v>30706.886694486358</v>
      </c>
      <c r="G70" s="57">
        <f>F70+Calc1!K186-Calc1!K188-'Acct depreciation'!K158</f>
        <v>28775.24228144942</v>
      </c>
    </row>
    <row r="71" spans="1:7">
      <c r="A71" s="5" t="s">
        <v>188</v>
      </c>
      <c r="B71" s="57">
        <f>Calc1!B159</f>
        <v>250</v>
      </c>
      <c r="C71" s="57">
        <f>Calc1!C159</f>
        <v>250</v>
      </c>
      <c r="D71" s="57">
        <f>Calc1!D159</f>
        <v>250</v>
      </c>
      <c r="E71" s="57">
        <f>Calc1!E159</f>
        <v>250</v>
      </c>
      <c r="F71" s="57">
        <f>Calc1!F159</f>
        <v>250</v>
      </c>
      <c r="G71" s="57">
        <f>Calc1!G159</f>
        <v>250</v>
      </c>
    </row>
    <row r="72" spans="1:7">
      <c r="A72" s="4" t="s">
        <v>202</v>
      </c>
      <c r="B72" s="57"/>
      <c r="C72" s="57"/>
      <c r="D72" s="57"/>
      <c r="E72" s="57"/>
      <c r="F72" s="57"/>
      <c r="G72" s="57"/>
    </row>
    <row r="73" spans="1:7">
      <c r="A73" s="5"/>
      <c r="B73" s="57"/>
      <c r="C73" s="57"/>
      <c r="D73" s="57"/>
      <c r="E73" s="57"/>
      <c r="F73" s="57"/>
      <c r="G73" s="57"/>
    </row>
    <row r="74" spans="1:7">
      <c r="A74" s="4" t="s">
        <v>189</v>
      </c>
      <c r="B74" s="57"/>
      <c r="C74" s="57"/>
      <c r="D74" s="57"/>
      <c r="E74" s="57"/>
      <c r="F74" s="57"/>
      <c r="G74" s="57"/>
    </row>
    <row r="75" spans="1:7">
      <c r="A75" s="5" t="s">
        <v>177</v>
      </c>
      <c r="B75" s="57">
        <f>(SUM(Inputs!$B$272:$E$272)/SUM(Inputs!$B$88:$E$88))*'P&amp;L'!F4</f>
        <v>9540.7763033676238</v>
      </c>
      <c r="C75" s="57">
        <f>(SUM(Inputs!$B$272:$E$272)/SUM(Inputs!$B$88:$E$88))*'P&amp;L'!G4</f>
        <v>11823.167390470764</v>
      </c>
      <c r="D75" s="57">
        <f>(SUM(Inputs!$B$272:$E$272)/SUM(Inputs!$B$88:$E$88))*'P&amp;L'!H4</f>
        <v>13413.822072460131</v>
      </c>
      <c r="E75" s="57">
        <f>(SUM(Inputs!$B$272:$E$272)/SUM(Inputs!$B$88:$E$88))*'P&amp;L'!I4</f>
        <v>14848.495474307649</v>
      </c>
      <c r="F75" s="57">
        <f>(SUM(Inputs!$B$272:$E$272)/SUM(Inputs!$B$88:$E$88))*'P&amp;L'!J4</f>
        <v>16454.378681367893</v>
      </c>
      <c r="G75" s="57">
        <f>(SUM(Inputs!$B$272:$E$272)/SUM(Inputs!$B$88:$E$88))*'P&amp;L'!K4</f>
        <v>17874.603863621975</v>
      </c>
    </row>
    <row r="76" spans="1:7">
      <c r="A76" s="5" t="s">
        <v>200</v>
      </c>
      <c r="B76" s="57">
        <f>Calc1!B162</f>
        <v>0</v>
      </c>
      <c r="C76" s="57">
        <f>Calc1!C162</f>
        <v>0</v>
      </c>
      <c r="D76" s="57">
        <f>Calc1!D162</f>
        <v>0</v>
      </c>
      <c r="E76" s="57">
        <f>Calc1!E162</f>
        <v>0</v>
      </c>
      <c r="F76" s="57">
        <f>Calc1!F162</f>
        <v>0</v>
      </c>
      <c r="G76" s="57">
        <f>Calc1!G162</f>
        <v>0</v>
      </c>
    </row>
    <row r="77" spans="1:7">
      <c r="A77" s="5" t="s">
        <v>197</v>
      </c>
      <c r="B77" s="57">
        <f>Calc1!B163</f>
        <v>4500</v>
      </c>
      <c r="C77" s="57">
        <f>Calc1!C163</f>
        <v>0</v>
      </c>
      <c r="D77" s="57">
        <f>Calc1!D163</f>
        <v>0</v>
      </c>
      <c r="E77" s="57">
        <f>Calc1!E163</f>
        <v>0</v>
      </c>
      <c r="F77" s="57">
        <f>Calc1!F163</f>
        <v>0</v>
      </c>
      <c r="G77" s="57">
        <f>Calc1!G163</f>
        <v>0</v>
      </c>
    </row>
    <row r="78" spans="1:7">
      <c r="A78" s="5" t="s">
        <v>190</v>
      </c>
      <c r="B78" s="57">
        <f>Calc1!B164</f>
        <v>0</v>
      </c>
      <c r="C78" s="57">
        <f>Calc1!C164</f>
        <v>0</v>
      </c>
      <c r="D78" s="57">
        <f>Calc1!D164</f>
        <v>0</v>
      </c>
      <c r="E78" s="57">
        <f>Calc1!E164</f>
        <v>0</v>
      </c>
      <c r="F78" s="57">
        <f>Calc1!F164</f>
        <v>0</v>
      </c>
      <c r="G78" s="57">
        <f>Calc1!G164</f>
        <v>0</v>
      </c>
    </row>
    <row r="79" spans="1:7">
      <c r="A79" s="5" t="s">
        <v>178</v>
      </c>
    </row>
    <row r="80" spans="1:7">
      <c r="A80" s="4" t="s">
        <v>203</v>
      </c>
      <c r="B80" s="57"/>
      <c r="C80" s="57"/>
      <c r="D80" s="57"/>
      <c r="E80" s="57"/>
      <c r="F80" s="57"/>
      <c r="G80" s="57"/>
    </row>
    <row r="81" spans="1:59">
      <c r="A81" s="5"/>
      <c r="B81" s="57"/>
      <c r="C81" s="57"/>
      <c r="D81" s="57"/>
      <c r="E81" s="57"/>
      <c r="F81" s="57"/>
      <c r="G81" s="57"/>
    </row>
    <row r="82" spans="1:59">
      <c r="A82" s="4" t="s">
        <v>191</v>
      </c>
      <c r="B82" s="57"/>
      <c r="C82" s="57"/>
      <c r="D82" s="57"/>
      <c r="E82" s="57"/>
      <c r="F82" s="57"/>
      <c r="G82" s="57"/>
    </row>
    <row r="83" spans="1:59" ht="18.75">
      <c r="A83" s="5" t="s">
        <v>179</v>
      </c>
      <c r="B83" s="57">
        <f>Calc1!B167</f>
        <v>0</v>
      </c>
      <c r="C83" s="57">
        <f>Calc1!C167</f>
        <v>0</v>
      </c>
      <c r="D83" s="57">
        <f>Calc1!D167</f>
        <v>0</v>
      </c>
      <c r="E83" s="57">
        <f>Calc1!E167</f>
        <v>0</v>
      </c>
      <c r="F83" s="57">
        <f>Calc1!F167</f>
        <v>0</v>
      </c>
      <c r="G83" s="57">
        <f>Calc1!G167</f>
        <v>0</v>
      </c>
      <c r="AQ83" s="6"/>
      <c r="AR83" s="6"/>
      <c r="AS83" s="6"/>
      <c r="AT83" s="6"/>
      <c r="AU83" s="6"/>
      <c r="AV83" s="6"/>
      <c r="AW83" s="6"/>
      <c r="AX83" s="6"/>
      <c r="AY83" s="6"/>
      <c r="AZ83" s="6"/>
      <c r="BA83" s="6"/>
      <c r="BB83" s="6"/>
      <c r="BC83" s="6"/>
      <c r="BD83" s="6"/>
      <c r="BE83" s="6"/>
      <c r="BF83" s="6"/>
      <c r="BG83" s="6"/>
    </row>
    <row r="84" spans="1:59" ht="18.75">
      <c r="A84" s="5" t="s">
        <v>654</v>
      </c>
      <c r="B84" s="57">
        <f>Calc1!B168</f>
        <v>0</v>
      </c>
      <c r="C84" s="57">
        <f>Calc1!C168</f>
        <v>0</v>
      </c>
      <c r="D84" s="57">
        <f>Calc1!D168</f>
        <v>0</v>
      </c>
      <c r="E84" s="57">
        <f>Calc1!E168</f>
        <v>0</v>
      </c>
      <c r="F84" s="57">
        <f>Calc1!F168</f>
        <v>0</v>
      </c>
      <c r="G84" s="57">
        <f>Calc1!G168</f>
        <v>0</v>
      </c>
      <c r="AQ84" s="6"/>
      <c r="AR84" s="6"/>
      <c r="AS84" s="6"/>
      <c r="AT84" s="6"/>
      <c r="AU84" s="6"/>
      <c r="AV84" s="6"/>
      <c r="AW84" s="6"/>
      <c r="AX84" s="6"/>
      <c r="AY84" s="6"/>
      <c r="AZ84" s="6"/>
      <c r="BA84" s="6"/>
      <c r="BB84" s="6"/>
      <c r="BC84" s="6"/>
      <c r="BD84" s="6"/>
      <c r="BE84" s="6"/>
      <c r="BF84" s="6"/>
      <c r="BG84" s="6"/>
    </row>
    <row r="85" spans="1:59">
      <c r="A85" s="5" t="s">
        <v>192</v>
      </c>
      <c r="B85" s="57">
        <f>Calc1!B169</f>
        <v>-120</v>
      </c>
      <c r="C85" s="57">
        <f>Calc1!C169</f>
        <v>-120</v>
      </c>
      <c r="D85" s="57">
        <f>Calc1!D169</f>
        <v>-120</v>
      </c>
      <c r="E85" s="57">
        <f>Calc1!E169</f>
        <v>-120</v>
      </c>
      <c r="F85" s="57">
        <f>Calc1!F169</f>
        <v>-120</v>
      </c>
      <c r="G85" s="57">
        <f>Calc1!G169</f>
        <v>-120</v>
      </c>
    </row>
    <row r="86" spans="1:59">
      <c r="A86" s="5" t="s">
        <v>193</v>
      </c>
      <c r="B86" s="57"/>
      <c r="C86" s="57"/>
      <c r="D86" s="57"/>
      <c r="E86" s="57"/>
      <c r="F86" s="57"/>
      <c r="G86" s="57"/>
    </row>
    <row r="87" spans="1:59">
      <c r="A87" s="4" t="s">
        <v>204</v>
      </c>
      <c r="B87" s="57"/>
      <c r="C87" s="57"/>
      <c r="D87" s="57"/>
      <c r="E87" s="57"/>
      <c r="F87" s="57"/>
      <c r="G87" s="57"/>
    </row>
    <row r="88" spans="1:59">
      <c r="A88" s="5"/>
      <c r="B88" s="57"/>
      <c r="C88" s="57"/>
      <c r="D88" s="57"/>
      <c r="E88" s="57"/>
      <c r="F88" s="57"/>
      <c r="G88" s="57"/>
    </row>
    <row r="89" spans="1:59">
      <c r="A89" s="4" t="s">
        <v>180</v>
      </c>
      <c r="B89" s="57"/>
      <c r="C89" s="57"/>
      <c r="D89" s="57"/>
      <c r="E89" s="57"/>
      <c r="F89" s="57"/>
      <c r="G89" s="57"/>
    </row>
    <row r="90" spans="1:59">
      <c r="A90" s="5" t="s">
        <v>194</v>
      </c>
      <c r="B90" s="57">
        <f>Calc1!B172</f>
        <v>97</v>
      </c>
      <c r="C90" s="57">
        <f>Calc1!C172</f>
        <v>97</v>
      </c>
      <c r="D90" s="57">
        <f>Calc1!D172</f>
        <v>97</v>
      </c>
      <c r="E90" s="57">
        <f>Calc1!E172</f>
        <v>97</v>
      </c>
      <c r="F90" s="57">
        <f>Calc1!F172</f>
        <v>97</v>
      </c>
      <c r="G90" s="57">
        <f>Calc1!G172</f>
        <v>97</v>
      </c>
    </row>
    <row r="91" spans="1:59">
      <c r="A91" s="5" t="s">
        <v>181</v>
      </c>
      <c r="B91" s="57">
        <f>Calc1!B173</f>
        <v>0</v>
      </c>
      <c r="C91" s="57">
        <f>Calc1!C173</f>
        <v>3000</v>
      </c>
      <c r="D91" s="57">
        <f>Calc1!D173</f>
        <v>8000</v>
      </c>
      <c r="E91" s="57">
        <f>Calc1!E173</f>
        <v>18000</v>
      </c>
      <c r="F91" s="57">
        <f>Calc1!F173</f>
        <v>15000</v>
      </c>
      <c r="G91" s="57">
        <f>Calc1!G173</f>
        <v>11000</v>
      </c>
    </row>
    <row r="92" spans="1:59">
      <c r="A92" s="5" t="s">
        <v>195</v>
      </c>
      <c r="B92" s="57">
        <f>Calc1!B174</f>
        <v>0</v>
      </c>
      <c r="C92" s="57">
        <f>Calc1!C174</f>
        <v>0</v>
      </c>
      <c r="D92" s="57">
        <f>Calc1!D174</f>
        <v>0</v>
      </c>
      <c r="E92" s="57">
        <f>Calc1!E174</f>
        <v>0</v>
      </c>
      <c r="F92" s="57">
        <f>Calc1!F174</f>
        <v>0</v>
      </c>
      <c r="G92" s="57">
        <f>Calc1!G174</f>
        <v>0</v>
      </c>
    </row>
    <row r="93" spans="1:59">
      <c r="A93" s="5" t="s">
        <v>54</v>
      </c>
      <c r="B93" s="57">
        <f>Calc1!B175</f>
        <v>1022</v>
      </c>
      <c r="C93" s="57">
        <f>Calc1!C175</f>
        <v>1022</v>
      </c>
      <c r="D93" s="57">
        <f>Calc1!D175</f>
        <v>1022</v>
      </c>
      <c r="E93" s="57">
        <f>Calc1!E175</f>
        <v>1022</v>
      </c>
      <c r="F93" s="57">
        <f>Calc1!F175</f>
        <v>1022</v>
      </c>
      <c r="G93" s="57">
        <f>Calc1!G175</f>
        <v>1022</v>
      </c>
    </row>
    <row r="94" spans="1:59">
      <c r="A94" s="4" t="s">
        <v>182</v>
      </c>
      <c r="B94" s="57"/>
      <c r="C94" s="57"/>
      <c r="D94" s="57"/>
      <c r="E94" s="57"/>
      <c r="F94" s="57"/>
      <c r="G94" s="57"/>
    </row>
    <row r="95" spans="1:59">
      <c r="A95" s="5"/>
      <c r="B95" s="57"/>
      <c r="C95" s="57"/>
      <c r="D95" s="57"/>
      <c r="E95" s="57"/>
      <c r="F95" s="57"/>
      <c r="G95" s="57"/>
    </row>
    <row r="96" spans="1:59">
      <c r="A96" s="4" t="s">
        <v>196</v>
      </c>
      <c r="B96" s="57"/>
      <c r="C96" s="57"/>
      <c r="D96" s="57"/>
      <c r="E96" s="57"/>
      <c r="F96" s="57"/>
      <c r="G96" s="57"/>
    </row>
    <row r="97" spans="1:42">
      <c r="A97" s="5" t="s">
        <v>183</v>
      </c>
      <c r="B97" s="57">
        <f>(SUM(Inputs!$B$288:$E$288)/SUM(Inputs!$B$90:$E$91))*('P&amp;L'!F15-'P&amp;L'!F14)</f>
        <v>9156.2809232187701</v>
      </c>
      <c r="C97" s="57">
        <f>(SUM(Inputs!$B$288:$E$288)/SUM(Inputs!$B$90:$E$91))*('P&amp;L'!G15-'P&amp;L'!G14)</f>
        <v>11447.399520302954</v>
      </c>
      <c r="D97" s="57">
        <f>(SUM(Inputs!$B$288:$E$288)/SUM(Inputs!$B$90:$E$91))*('P&amp;L'!H15-'P&amp;L'!H14)</f>
        <v>13286.836302273594</v>
      </c>
      <c r="E97" s="57">
        <f>(SUM(Inputs!$B$288:$E$288)/SUM(Inputs!$B$90:$E$91))*('P&amp;L'!I15-'P&amp;L'!I14)</f>
        <v>14605.871033546235</v>
      </c>
      <c r="F97" s="57">
        <f>(SUM(Inputs!$B$288:$E$288)/SUM(Inputs!$B$90:$E$91))*('P&amp;L'!J15-'P&amp;L'!J14)</f>
        <v>15958.998095385132</v>
      </c>
      <c r="G97" s="57">
        <f>(SUM(Inputs!$B$288:$E$288)/SUM(Inputs!$B$90:$E$91))*('P&amp;L'!K15-'P&amp;L'!K14)</f>
        <v>17400.231760337814</v>
      </c>
    </row>
    <row r="98" spans="1:42">
      <c r="A98" s="5" t="s">
        <v>201</v>
      </c>
      <c r="B98" s="57">
        <f>Calc1!B178</f>
        <v>0</v>
      </c>
      <c r="C98" s="57">
        <f>Calc1!C178</f>
        <v>0</v>
      </c>
      <c r="D98" s="57">
        <f>Calc1!D178</f>
        <v>0</v>
      </c>
      <c r="E98" s="57">
        <f>Calc1!E178</f>
        <v>0</v>
      </c>
      <c r="F98" s="57">
        <f>Calc1!F178</f>
        <v>0</v>
      </c>
      <c r="G98" s="57">
        <f>Calc1!G178</f>
        <v>0</v>
      </c>
    </row>
    <row r="99" spans="1:42">
      <c r="A99" s="5" t="s">
        <v>198</v>
      </c>
      <c r="B99" s="57">
        <f>Calc1!B179</f>
        <v>0</v>
      </c>
      <c r="C99" s="57">
        <f>Calc1!C179</f>
        <v>0</v>
      </c>
      <c r="D99" s="57">
        <f>Calc1!D179</f>
        <v>0</v>
      </c>
      <c r="E99" s="57">
        <f>Calc1!E179</f>
        <v>0</v>
      </c>
      <c r="F99" s="57">
        <f>Calc1!F179</f>
        <v>0</v>
      </c>
      <c r="G99" s="57">
        <f>Calc1!G179</f>
        <v>0</v>
      </c>
    </row>
    <row r="100" spans="1:42">
      <c r="A100" s="5" t="s">
        <v>184</v>
      </c>
      <c r="B100" s="57">
        <f>Calc1!B180</f>
        <v>720</v>
      </c>
      <c r="C100" s="57">
        <f>Calc1!C180</f>
        <v>720</v>
      </c>
      <c r="D100" s="57">
        <f>Calc1!D180</f>
        <v>720</v>
      </c>
      <c r="E100" s="57">
        <f>Calc1!E180</f>
        <v>720</v>
      </c>
      <c r="F100" s="57">
        <f>Calc1!F180</f>
        <v>720</v>
      </c>
      <c r="G100" s="57">
        <f>Calc1!G180</f>
        <v>720</v>
      </c>
    </row>
    <row r="101" spans="1:42">
      <c r="A101" s="5" t="s">
        <v>181</v>
      </c>
      <c r="B101" s="57">
        <f>Calc1!B181</f>
        <v>3000</v>
      </c>
      <c r="C101" s="57">
        <f>Calc1!C181</f>
        <v>0</v>
      </c>
      <c r="D101" s="57">
        <f>Calc1!D181</f>
        <v>0</v>
      </c>
      <c r="E101" s="57">
        <f>Calc1!E181</f>
        <v>0</v>
      </c>
      <c r="F101" s="57">
        <f>Calc1!F181</f>
        <v>0</v>
      </c>
      <c r="G101" s="57">
        <f>Calc1!G181</f>
        <v>0</v>
      </c>
    </row>
    <row r="102" spans="1:42">
      <c r="A102" s="4" t="s">
        <v>185</v>
      </c>
      <c r="B102" s="57"/>
      <c r="C102" s="57"/>
      <c r="D102" s="57"/>
      <c r="E102" s="57"/>
      <c r="F102" s="57"/>
      <c r="G102" s="57"/>
    </row>
    <row r="107" spans="1:42" ht="18.75">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sheetData>
  <mergeCells count="1">
    <mergeCell ref="B67:G67"/>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6" tint="0.79998168889431442"/>
  </sheetPr>
  <dimension ref="A1:X158"/>
  <sheetViews>
    <sheetView showGridLines="0" topLeftCell="A127" zoomScale="75" zoomScaleNormal="75" workbookViewId="0"/>
  </sheetViews>
  <sheetFormatPr defaultRowHeight="15"/>
  <cols>
    <col min="1" max="4" width="11.7109375" style="3" customWidth="1"/>
    <col min="5" max="5" width="37.85546875" style="3" customWidth="1"/>
    <col min="6" max="11" width="15.28515625" style="3" customWidth="1"/>
    <col min="12" max="20" width="13.7109375" style="3" customWidth="1"/>
    <col min="21" max="24" width="13.42578125" style="3" customWidth="1"/>
    <col min="25" max="16384" width="9.140625" style="3"/>
  </cols>
  <sheetData>
    <row r="1" spans="1:24" ht="18.75">
      <c r="A1" s="6" t="s">
        <v>313</v>
      </c>
      <c r="B1" s="75"/>
      <c r="C1" s="75"/>
      <c r="D1" s="75"/>
      <c r="E1" s="75"/>
      <c r="F1" s="75"/>
      <c r="G1" s="75"/>
      <c r="H1" s="75"/>
      <c r="I1" s="75"/>
      <c r="J1" s="75"/>
    </row>
    <row r="2" spans="1:24">
      <c r="A2" s="75"/>
      <c r="B2" s="75"/>
      <c r="C2" s="75"/>
      <c r="D2" s="75"/>
      <c r="E2" s="75"/>
      <c r="F2" s="75"/>
      <c r="G2" s="75"/>
      <c r="H2" s="75"/>
      <c r="I2" s="75"/>
      <c r="J2" s="75"/>
    </row>
    <row r="3" spans="1:24" ht="45">
      <c r="A3" s="35" t="s">
        <v>314</v>
      </c>
      <c r="B3" s="35" t="s">
        <v>315</v>
      </c>
      <c r="C3" s="35" t="s">
        <v>316</v>
      </c>
      <c r="D3" s="35" t="s">
        <v>317</v>
      </c>
      <c r="E3" s="35" t="s">
        <v>318</v>
      </c>
      <c r="F3" s="35" t="s">
        <v>319</v>
      </c>
      <c r="G3" s="35" t="s">
        <v>320</v>
      </c>
      <c r="H3" s="35" t="s">
        <v>321</v>
      </c>
      <c r="I3" s="35" t="s">
        <v>322</v>
      </c>
      <c r="J3" s="35" t="s">
        <v>323</v>
      </c>
      <c r="K3" s="35" t="s">
        <v>602</v>
      </c>
      <c r="L3" s="35" t="s">
        <v>596</v>
      </c>
      <c r="M3" s="35" t="s">
        <v>603</v>
      </c>
      <c r="N3" s="35" t="s">
        <v>597</v>
      </c>
      <c r="O3" s="35" t="s">
        <v>604</v>
      </c>
      <c r="P3" s="35" t="s">
        <v>598</v>
      </c>
      <c r="Q3" s="35" t="s">
        <v>605</v>
      </c>
      <c r="R3" s="35" t="s">
        <v>599</v>
      </c>
      <c r="S3" s="35" t="s">
        <v>606</v>
      </c>
      <c r="T3" s="35" t="s">
        <v>600</v>
      </c>
      <c r="U3" s="35" t="s">
        <v>607</v>
      </c>
      <c r="V3" s="35" t="s">
        <v>601</v>
      </c>
      <c r="W3" s="35" t="s">
        <v>607</v>
      </c>
      <c r="X3" s="35" t="s">
        <v>601</v>
      </c>
    </row>
    <row r="4" spans="1:24">
      <c r="A4" s="26" t="s">
        <v>324</v>
      </c>
      <c r="B4" s="26" t="s">
        <v>325</v>
      </c>
      <c r="C4" s="26" t="s">
        <v>328</v>
      </c>
      <c r="D4" s="27">
        <v>39957</v>
      </c>
      <c r="E4" s="26" t="s">
        <v>329</v>
      </c>
      <c r="F4" s="26">
        <v>0</v>
      </c>
      <c r="G4" s="27">
        <v>39957</v>
      </c>
      <c r="H4" s="30">
        <v>11613</v>
      </c>
      <c r="I4" s="30">
        <v>0</v>
      </c>
      <c r="J4" s="30">
        <v>11613</v>
      </c>
      <c r="K4" s="31">
        <v>0</v>
      </c>
      <c r="L4" s="31">
        <v>11613</v>
      </c>
      <c r="M4" s="31">
        <v>0</v>
      </c>
      <c r="N4" s="31">
        <v>11613</v>
      </c>
      <c r="O4" s="31">
        <v>0</v>
      </c>
      <c r="P4" s="31">
        <v>11613</v>
      </c>
      <c r="Q4" s="31">
        <v>0</v>
      </c>
      <c r="R4" s="31">
        <v>11613</v>
      </c>
      <c r="S4" s="31">
        <v>0</v>
      </c>
      <c r="T4" s="31">
        <v>11613</v>
      </c>
      <c r="U4" s="31">
        <v>0</v>
      </c>
      <c r="V4" s="31">
        <v>11613</v>
      </c>
      <c r="W4" s="31">
        <v>0</v>
      </c>
      <c r="X4" s="31">
        <v>11613</v>
      </c>
    </row>
    <row r="5" spans="1:24">
      <c r="A5" s="26" t="s">
        <v>324</v>
      </c>
      <c r="B5" s="26" t="s">
        <v>325</v>
      </c>
      <c r="C5" s="26" t="s">
        <v>330</v>
      </c>
      <c r="D5" s="27">
        <v>39957</v>
      </c>
      <c r="E5" s="26" t="s">
        <v>331</v>
      </c>
      <c r="F5" s="26">
        <v>25</v>
      </c>
      <c r="G5" s="27">
        <v>39957</v>
      </c>
      <c r="H5" s="30">
        <v>2570242.75</v>
      </c>
      <c r="I5" s="30">
        <v>-1835804.62</v>
      </c>
      <c r="J5" s="30">
        <v>734438.13</v>
      </c>
      <c r="K5" s="31">
        <f>IF(J5=0,0,IF($H5/$F5&gt;J5,J5,$H5/$F5))</f>
        <v>102809.71</v>
      </c>
      <c r="L5" s="31">
        <f>IF((J5-K5)&lt;0,0,(J5-K5))</f>
        <v>631628.42000000004</v>
      </c>
      <c r="M5" s="31">
        <f>IF(L5=0,0,IF($H5/$F5&gt;L5,L5,$H5/$F5))</f>
        <v>102809.71</v>
      </c>
      <c r="N5" s="31">
        <f>IF((L5-M5)&lt;0,0,(L5-M5))</f>
        <v>528818.71000000008</v>
      </c>
      <c r="O5" s="31">
        <f>IF(N5=0,0,IF($H5/$F5&gt;N5,N5,$H5/$F5))</f>
        <v>102809.71</v>
      </c>
      <c r="P5" s="31">
        <f>IF((N5-O5)&lt;0,0,(N5-O5))</f>
        <v>426009.00000000006</v>
      </c>
      <c r="Q5" s="31">
        <f>IF(P5=0,0,IF($H5/$F5&gt;P5,P5,$H5/$F5))</f>
        <v>102809.71</v>
      </c>
      <c r="R5" s="31">
        <f>IF((P5-Q5)&lt;0,0,(P5-Q5))</f>
        <v>323199.29000000004</v>
      </c>
      <c r="S5" s="31">
        <f>IF(R5=0,0,IF($H5/$F5&gt;R5,R5,$H5/$F5))</f>
        <v>102809.71</v>
      </c>
      <c r="T5" s="31">
        <f>IF((R5-S5)&lt;0,0,(R5-S5))</f>
        <v>220389.58000000002</v>
      </c>
      <c r="U5" s="31">
        <f>IF(T5=0,0,IF($H5/$F5&gt;T5,T5,$H5/$F5))</f>
        <v>102809.71</v>
      </c>
      <c r="V5" s="31">
        <f>IF((T5-U5)&lt;0,0,(T5-U5))</f>
        <v>117579.87000000001</v>
      </c>
      <c r="W5" s="31">
        <f>IF(V5=0,0,IF($H5/$F5&gt;V5,V5,$H5/$F5))</f>
        <v>102809.71</v>
      </c>
      <c r="X5" s="31">
        <f>IF((V5-W5)&lt;0,0,(V5-W5))</f>
        <v>14770.160000000003</v>
      </c>
    </row>
    <row r="6" spans="1:24">
      <c r="A6" s="26" t="s">
        <v>324</v>
      </c>
      <c r="B6" s="26" t="s">
        <v>325</v>
      </c>
      <c r="C6" s="26" t="s">
        <v>332</v>
      </c>
      <c r="D6" s="27">
        <v>39957</v>
      </c>
      <c r="E6" s="26" t="s">
        <v>333</v>
      </c>
      <c r="F6" s="26">
        <v>19.579999999999998</v>
      </c>
      <c r="G6" s="27">
        <v>39957</v>
      </c>
      <c r="H6" s="30">
        <v>7410.7</v>
      </c>
      <c r="I6" s="30">
        <v>-2037.58</v>
      </c>
      <c r="J6" s="30">
        <v>5373.12</v>
      </c>
      <c r="K6" s="31">
        <f>IF(J6=0,0,IF($H6/$F6&gt;J6,J6,$H6/$F6))</f>
        <v>378.48314606741576</v>
      </c>
      <c r="L6" s="31">
        <f>IF((J6-K6)&lt;0,0,(J6-K6))</f>
        <v>4994.636853932584</v>
      </c>
      <c r="M6" s="31">
        <f>IF(L6=0,0,IF($H6/$F6&gt;L6,L6,$H6/$F6))</f>
        <v>378.48314606741576</v>
      </c>
      <c r="N6" s="31">
        <f>IF((L6-M6)&lt;0,0,(L6-M6))</f>
        <v>4616.1537078651681</v>
      </c>
      <c r="O6" s="31">
        <f>IF(N6=0,0,IF($H6/$F6&gt;N6,N6,$H6/$F6))</f>
        <v>378.48314606741576</v>
      </c>
      <c r="P6" s="31">
        <f>IF((N6-O6)&lt;0,0,(N6-O6))</f>
        <v>4237.6705617977523</v>
      </c>
      <c r="Q6" s="31">
        <f>IF(P6=0,0,IF($H6/$F6&gt;P6,P6,$H6/$F6))</f>
        <v>378.48314606741576</v>
      </c>
      <c r="R6" s="31">
        <f>IF((P6-Q6)&lt;0,0,(P6-Q6))</f>
        <v>3859.1874157303364</v>
      </c>
      <c r="S6" s="31">
        <f>IF(R6=0,0,IF($H6/$F6&gt;R6,R6,$H6/$F6))</f>
        <v>378.48314606741576</v>
      </c>
      <c r="T6" s="31">
        <f>IF((R6-S6)&lt;0,0,(R6-S6))</f>
        <v>3480.7042696629205</v>
      </c>
      <c r="U6" s="31">
        <f>IF(T6=0,0,IF($H6/$F6&gt;T6,T6,$H6/$F6))</f>
        <v>378.48314606741576</v>
      </c>
      <c r="V6" s="31">
        <f>IF((T6-U6)&lt;0,0,(T6-U6))</f>
        <v>3102.2211235955047</v>
      </c>
      <c r="W6" s="31">
        <f>IF(V6=0,0,IF($H6/$F6&gt;V6,V6,$H6/$F6))</f>
        <v>378.48314606741576</v>
      </c>
      <c r="X6" s="31">
        <f>IF((V6-W6)&lt;0,0,(V6-W6))</f>
        <v>2723.7379775280888</v>
      </c>
    </row>
    <row r="7" spans="1:24">
      <c r="A7" s="26" t="s">
        <v>324</v>
      </c>
      <c r="B7" s="26" t="s">
        <v>325</v>
      </c>
      <c r="C7" s="26" t="s">
        <v>334</v>
      </c>
      <c r="D7" s="27">
        <v>39957</v>
      </c>
      <c r="E7" s="26" t="s">
        <v>335</v>
      </c>
      <c r="F7" s="26">
        <v>19.579999999999998</v>
      </c>
      <c r="G7" s="27">
        <v>39957</v>
      </c>
      <c r="H7" s="30">
        <v>485.5</v>
      </c>
      <c r="I7" s="30">
        <v>-133.33000000000001</v>
      </c>
      <c r="J7" s="30">
        <v>352.17</v>
      </c>
      <c r="K7" s="31">
        <f t="shared" ref="K7:K70" si="0">IF(J7=0,0,IF($H7/$F7&gt;J7,J7,$H7/$F7))</f>
        <v>24.795709908069462</v>
      </c>
      <c r="L7" s="31">
        <f t="shared" ref="L7:L70" si="1">IF((J7-K7)&lt;0,0,(J7-K7))</f>
        <v>327.37429009193056</v>
      </c>
      <c r="M7" s="31">
        <f t="shared" ref="M7:M70" si="2">IF(L7=0,0,IF($H7/$F7&gt;L7,L7,$H7/$F7))</f>
        <v>24.795709908069462</v>
      </c>
      <c r="N7" s="31">
        <f t="shared" ref="N7:N70" si="3">IF((L7-M7)&lt;0,0,(L7-M7))</f>
        <v>302.57858018386111</v>
      </c>
      <c r="O7" s="31">
        <f t="shared" ref="O7:O70" si="4">IF(N7=0,0,IF($H7/$F7&gt;N7,N7,$H7/$F7))</f>
        <v>24.795709908069462</v>
      </c>
      <c r="P7" s="31">
        <f t="shared" ref="P7:P70" si="5">IF((N7-O7)&lt;0,0,(N7-O7))</f>
        <v>277.78287027579165</v>
      </c>
      <c r="Q7" s="31">
        <f t="shared" ref="Q7:Q70" si="6">IF(P7=0,0,IF($H7/$F7&gt;P7,P7,$H7/$F7))</f>
        <v>24.795709908069462</v>
      </c>
      <c r="R7" s="31">
        <f t="shared" ref="R7:R70" si="7">IF((P7-Q7)&lt;0,0,(P7-Q7))</f>
        <v>252.9871603677222</v>
      </c>
      <c r="S7" s="31">
        <f t="shared" ref="S7:S70" si="8">IF(R7=0,0,IF($H7/$F7&gt;R7,R7,$H7/$F7))</f>
        <v>24.795709908069462</v>
      </c>
      <c r="T7" s="31">
        <f t="shared" ref="T7:T70" si="9">IF((R7-S7)&lt;0,0,(R7-S7))</f>
        <v>228.19145045965274</v>
      </c>
      <c r="U7" s="31">
        <f t="shared" ref="U7:U70" si="10">IF(T7=0,0,IF($H7/$F7&gt;T7,T7,$H7/$F7))</f>
        <v>24.795709908069462</v>
      </c>
      <c r="V7" s="31">
        <f t="shared" ref="V7:V70" si="11">IF((T7-U7)&lt;0,0,(T7-U7))</f>
        <v>203.39574055158329</v>
      </c>
      <c r="W7" s="31">
        <f t="shared" ref="W7" si="12">IF(V7=0,0,IF($H7/$F7&gt;V7,V7,$H7/$F7))</f>
        <v>24.795709908069462</v>
      </c>
      <c r="X7" s="31">
        <f t="shared" ref="X7:X70" si="13">IF((V7-W7)&lt;0,0,(V7-W7))</f>
        <v>178.60003064351383</v>
      </c>
    </row>
    <row r="8" spans="1:24">
      <c r="A8" s="26" t="s">
        <v>324</v>
      </c>
      <c r="B8" s="26" t="s">
        <v>348</v>
      </c>
      <c r="C8" s="26" t="s">
        <v>349</v>
      </c>
      <c r="D8" s="27">
        <v>39957</v>
      </c>
      <c r="E8" s="26" t="s">
        <v>350</v>
      </c>
      <c r="F8" s="26">
        <v>3</v>
      </c>
      <c r="G8" s="27">
        <v>39901</v>
      </c>
      <c r="H8" s="30">
        <v>116850.64</v>
      </c>
      <c r="I8" s="30">
        <v>-116850.64</v>
      </c>
      <c r="J8" s="30">
        <v>0</v>
      </c>
      <c r="K8" s="31">
        <f t="shared" si="0"/>
        <v>0</v>
      </c>
      <c r="L8" s="31">
        <f t="shared" si="1"/>
        <v>0</v>
      </c>
      <c r="M8" s="31">
        <f t="shared" si="2"/>
        <v>0</v>
      </c>
      <c r="N8" s="31">
        <f t="shared" si="3"/>
        <v>0</v>
      </c>
      <c r="O8" s="31">
        <f t="shared" si="4"/>
        <v>0</v>
      </c>
      <c r="P8" s="31">
        <f t="shared" si="5"/>
        <v>0</v>
      </c>
      <c r="Q8" s="31">
        <f t="shared" si="6"/>
        <v>0</v>
      </c>
      <c r="R8" s="31">
        <f t="shared" si="7"/>
        <v>0</v>
      </c>
      <c r="S8" s="31">
        <f t="shared" si="8"/>
        <v>0</v>
      </c>
      <c r="T8" s="31">
        <f t="shared" si="9"/>
        <v>0</v>
      </c>
      <c r="U8" s="31">
        <f t="shared" si="10"/>
        <v>0</v>
      </c>
      <c r="V8" s="31">
        <f t="shared" si="11"/>
        <v>0</v>
      </c>
      <c r="W8" s="31">
        <f t="shared" ref="W8" si="14">IF(V8=0,0,IF($H8/$F8&gt;V8,V8,$H8/$F8))</f>
        <v>0</v>
      </c>
      <c r="X8" s="31">
        <f t="shared" si="13"/>
        <v>0</v>
      </c>
    </row>
    <row r="9" spans="1:24">
      <c r="A9" s="26" t="s">
        <v>324</v>
      </c>
      <c r="B9" s="26" t="s">
        <v>348</v>
      </c>
      <c r="C9" s="26" t="s">
        <v>351</v>
      </c>
      <c r="D9" s="27">
        <v>39957</v>
      </c>
      <c r="E9" s="26" t="s">
        <v>352</v>
      </c>
      <c r="F9" s="26">
        <v>4.92</v>
      </c>
      <c r="G9" s="27">
        <v>39957</v>
      </c>
      <c r="H9" s="30">
        <v>1756.12</v>
      </c>
      <c r="I9" s="30">
        <v>-1756.12</v>
      </c>
      <c r="J9" s="30">
        <v>0</v>
      </c>
      <c r="K9" s="31">
        <f t="shared" si="0"/>
        <v>0</v>
      </c>
      <c r="L9" s="31">
        <f t="shared" si="1"/>
        <v>0</v>
      </c>
      <c r="M9" s="31">
        <f t="shared" si="2"/>
        <v>0</v>
      </c>
      <c r="N9" s="31">
        <f t="shared" si="3"/>
        <v>0</v>
      </c>
      <c r="O9" s="31">
        <f t="shared" si="4"/>
        <v>0</v>
      </c>
      <c r="P9" s="31">
        <f t="shared" si="5"/>
        <v>0</v>
      </c>
      <c r="Q9" s="31">
        <f t="shared" si="6"/>
        <v>0</v>
      </c>
      <c r="R9" s="31">
        <f t="shared" si="7"/>
        <v>0</v>
      </c>
      <c r="S9" s="31">
        <f t="shared" si="8"/>
        <v>0</v>
      </c>
      <c r="T9" s="31">
        <f t="shared" si="9"/>
        <v>0</v>
      </c>
      <c r="U9" s="31">
        <f t="shared" si="10"/>
        <v>0</v>
      </c>
      <c r="V9" s="31">
        <f t="shared" si="11"/>
        <v>0</v>
      </c>
      <c r="W9" s="31">
        <f t="shared" ref="W9" si="15">IF(V9=0,0,IF($H9/$F9&gt;V9,V9,$H9/$F9))</f>
        <v>0</v>
      </c>
      <c r="X9" s="31">
        <f t="shared" si="13"/>
        <v>0</v>
      </c>
    </row>
    <row r="10" spans="1:24">
      <c r="A10" s="26" t="s">
        <v>324</v>
      </c>
      <c r="B10" s="26" t="s">
        <v>348</v>
      </c>
      <c r="C10" s="26" t="s">
        <v>353</v>
      </c>
      <c r="D10" s="27">
        <v>39957</v>
      </c>
      <c r="E10" s="26" t="s">
        <v>354</v>
      </c>
      <c r="F10" s="26">
        <v>3.83</v>
      </c>
      <c r="G10" s="27">
        <v>39957</v>
      </c>
      <c r="H10" s="30">
        <v>1575.83</v>
      </c>
      <c r="I10" s="30">
        <v>-1575.83</v>
      </c>
      <c r="J10" s="30">
        <v>0</v>
      </c>
      <c r="K10" s="31">
        <f t="shared" si="0"/>
        <v>0</v>
      </c>
      <c r="L10" s="31">
        <f t="shared" si="1"/>
        <v>0</v>
      </c>
      <c r="M10" s="31">
        <f t="shared" si="2"/>
        <v>0</v>
      </c>
      <c r="N10" s="31">
        <f t="shared" si="3"/>
        <v>0</v>
      </c>
      <c r="O10" s="31">
        <f t="shared" si="4"/>
        <v>0</v>
      </c>
      <c r="P10" s="31">
        <f t="shared" si="5"/>
        <v>0</v>
      </c>
      <c r="Q10" s="31">
        <f t="shared" si="6"/>
        <v>0</v>
      </c>
      <c r="R10" s="31">
        <f t="shared" si="7"/>
        <v>0</v>
      </c>
      <c r="S10" s="31">
        <f t="shared" si="8"/>
        <v>0</v>
      </c>
      <c r="T10" s="31">
        <f t="shared" si="9"/>
        <v>0</v>
      </c>
      <c r="U10" s="31">
        <f t="shared" si="10"/>
        <v>0</v>
      </c>
      <c r="V10" s="31">
        <f t="shared" si="11"/>
        <v>0</v>
      </c>
      <c r="W10" s="31">
        <f t="shared" ref="W10" si="16">IF(V10=0,0,IF($H10/$F10&gt;V10,V10,$H10/$F10))</f>
        <v>0</v>
      </c>
      <c r="X10" s="31">
        <f t="shared" si="13"/>
        <v>0</v>
      </c>
    </row>
    <row r="11" spans="1:24">
      <c r="A11" s="26" t="s">
        <v>324</v>
      </c>
      <c r="B11" s="26" t="s">
        <v>348</v>
      </c>
      <c r="C11" s="26" t="s">
        <v>355</v>
      </c>
      <c r="D11" s="27">
        <v>39957</v>
      </c>
      <c r="E11" s="26" t="s">
        <v>356</v>
      </c>
      <c r="F11" s="26">
        <v>3.92</v>
      </c>
      <c r="G11" s="27">
        <v>39957</v>
      </c>
      <c r="H11" s="30">
        <v>776.94</v>
      </c>
      <c r="I11" s="30">
        <v>-776.94</v>
      </c>
      <c r="J11" s="30">
        <v>0</v>
      </c>
      <c r="K11" s="31">
        <f t="shared" si="0"/>
        <v>0</v>
      </c>
      <c r="L11" s="31">
        <f t="shared" si="1"/>
        <v>0</v>
      </c>
      <c r="M11" s="31">
        <f t="shared" si="2"/>
        <v>0</v>
      </c>
      <c r="N11" s="31">
        <f t="shared" si="3"/>
        <v>0</v>
      </c>
      <c r="O11" s="31">
        <f t="shared" si="4"/>
        <v>0</v>
      </c>
      <c r="P11" s="31">
        <f t="shared" si="5"/>
        <v>0</v>
      </c>
      <c r="Q11" s="31">
        <f t="shared" si="6"/>
        <v>0</v>
      </c>
      <c r="R11" s="31">
        <f t="shared" si="7"/>
        <v>0</v>
      </c>
      <c r="S11" s="31">
        <f t="shared" si="8"/>
        <v>0</v>
      </c>
      <c r="T11" s="31">
        <f t="shared" si="9"/>
        <v>0</v>
      </c>
      <c r="U11" s="31">
        <f t="shared" si="10"/>
        <v>0</v>
      </c>
      <c r="V11" s="31">
        <f t="shared" si="11"/>
        <v>0</v>
      </c>
      <c r="W11" s="31">
        <f t="shared" ref="W11" si="17">IF(V11=0,0,IF($H11/$F11&gt;V11,V11,$H11/$F11))</f>
        <v>0</v>
      </c>
      <c r="X11" s="31">
        <f t="shared" si="13"/>
        <v>0</v>
      </c>
    </row>
    <row r="12" spans="1:24">
      <c r="A12" s="26" t="s">
        <v>324</v>
      </c>
      <c r="B12" s="26" t="s">
        <v>348</v>
      </c>
      <c r="C12" s="26" t="s">
        <v>357</v>
      </c>
      <c r="D12" s="27">
        <v>39957</v>
      </c>
      <c r="E12" s="26" t="s">
        <v>358</v>
      </c>
      <c r="F12" s="26">
        <v>4</v>
      </c>
      <c r="G12" s="27">
        <v>39957</v>
      </c>
      <c r="H12" s="30">
        <v>919.2</v>
      </c>
      <c r="I12" s="30">
        <v>-919.2</v>
      </c>
      <c r="J12" s="30">
        <v>0</v>
      </c>
      <c r="K12" s="31">
        <f t="shared" si="0"/>
        <v>0</v>
      </c>
      <c r="L12" s="31">
        <f t="shared" si="1"/>
        <v>0</v>
      </c>
      <c r="M12" s="31">
        <f t="shared" si="2"/>
        <v>0</v>
      </c>
      <c r="N12" s="31">
        <f t="shared" si="3"/>
        <v>0</v>
      </c>
      <c r="O12" s="31">
        <f t="shared" si="4"/>
        <v>0</v>
      </c>
      <c r="P12" s="31">
        <f t="shared" si="5"/>
        <v>0</v>
      </c>
      <c r="Q12" s="31">
        <f t="shared" si="6"/>
        <v>0</v>
      </c>
      <c r="R12" s="31">
        <f t="shared" si="7"/>
        <v>0</v>
      </c>
      <c r="S12" s="31">
        <f t="shared" si="8"/>
        <v>0</v>
      </c>
      <c r="T12" s="31">
        <f t="shared" si="9"/>
        <v>0</v>
      </c>
      <c r="U12" s="31">
        <f t="shared" si="10"/>
        <v>0</v>
      </c>
      <c r="V12" s="31">
        <f t="shared" si="11"/>
        <v>0</v>
      </c>
      <c r="W12" s="31">
        <f t="shared" ref="W12" si="18">IF(V12=0,0,IF($H12/$F12&gt;V12,V12,$H12/$F12))</f>
        <v>0</v>
      </c>
      <c r="X12" s="31">
        <f t="shared" si="13"/>
        <v>0</v>
      </c>
    </row>
    <row r="13" spans="1:24">
      <c r="A13" s="26" t="s">
        <v>324</v>
      </c>
      <c r="B13" s="26" t="s">
        <v>348</v>
      </c>
      <c r="C13" s="26" t="s">
        <v>359</v>
      </c>
      <c r="D13" s="27">
        <v>39957</v>
      </c>
      <c r="E13" s="26" t="s">
        <v>360</v>
      </c>
      <c r="F13" s="26">
        <v>3.92</v>
      </c>
      <c r="G13" s="27">
        <v>39957</v>
      </c>
      <c r="H13" s="30">
        <v>1030.31</v>
      </c>
      <c r="I13" s="30">
        <v>-1030.31</v>
      </c>
      <c r="J13" s="30">
        <v>0</v>
      </c>
      <c r="K13" s="31">
        <f t="shared" si="0"/>
        <v>0</v>
      </c>
      <c r="L13" s="31">
        <f t="shared" si="1"/>
        <v>0</v>
      </c>
      <c r="M13" s="31">
        <f t="shared" si="2"/>
        <v>0</v>
      </c>
      <c r="N13" s="31">
        <f t="shared" si="3"/>
        <v>0</v>
      </c>
      <c r="O13" s="31">
        <f t="shared" si="4"/>
        <v>0</v>
      </c>
      <c r="P13" s="31">
        <f t="shared" si="5"/>
        <v>0</v>
      </c>
      <c r="Q13" s="31">
        <f t="shared" si="6"/>
        <v>0</v>
      </c>
      <c r="R13" s="31">
        <f t="shared" si="7"/>
        <v>0</v>
      </c>
      <c r="S13" s="31">
        <f t="shared" si="8"/>
        <v>0</v>
      </c>
      <c r="T13" s="31">
        <f t="shared" si="9"/>
        <v>0</v>
      </c>
      <c r="U13" s="31">
        <f t="shared" si="10"/>
        <v>0</v>
      </c>
      <c r="V13" s="31">
        <f t="shared" si="11"/>
        <v>0</v>
      </c>
      <c r="W13" s="31">
        <f t="shared" ref="W13" si="19">IF(V13=0,0,IF($H13/$F13&gt;V13,V13,$H13/$F13))</f>
        <v>0</v>
      </c>
      <c r="X13" s="31">
        <f t="shared" si="13"/>
        <v>0</v>
      </c>
    </row>
    <row r="14" spans="1:24">
      <c r="A14" s="26" t="s">
        <v>324</v>
      </c>
      <c r="B14" s="26" t="s">
        <v>348</v>
      </c>
      <c r="C14" s="26" t="s">
        <v>361</v>
      </c>
      <c r="D14" s="27">
        <v>39957</v>
      </c>
      <c r="E14" s="26" t="s">
        <v>362</v>
      </c>
      <c r="F14" s="26">
        <v>3.5</v>
      </c>
      <c r="G14" s="27">
        <v>39957</v>
      </c>
      <c r="H14" s="30">
        <v>18623.71</v>
      </c>
      <c r="I14" s="30">
        <v>-18623.71</v>
      </c>
      <c r="J14" s="30">
        <v>0</v>
      </c>
      <c r="K14" s="31">
        <f t="shared" si="0"/>
        <v>0</v>
      </c>
      <c r="L14" s="31">
        <f t="shared" si="1"/>
        <v>0</v>
      </c>
      <c r="M14" s="31">
        <f t="shared" si="2"/>
        <v>0</v>
      </c>
      <c r="N14" s="31">
        <f t="shared" si="3"/>
        <v>0</v>
      </c>
      <c r="O14" s="31">
        <f t="shared" si="4"/>
        <v>0</v>
      </c>
      <c r="P14" s="31">
        <f t="shared" si="5"/>
        <v>0</v>
      </c>
      <c r="Q14" s="31">
        <f t="shared" si="6"/>
        <v>0</v>
      </c>
      <c r="R14" s="31">
        <f t="shared" si="7"/>
        <v>0</v>
      </c>
      <c r="S14" s="31">
        <f t="shared" si="8"/>
        <v>0</v>
      </c>
      <c r="T14" s="31">
        <f t="shared" si="9"/>
        <v>0</v>
      </c>
      <c r="U14" s="31">
        <f t="shared" si="10"/>
        <v>0</v>
      </c>
      <c r="V14" s="31">
        <f t="shared" si="11"/>
        <v>0</v>
      </c>
      <c r="W14" s="31">
        <f t="shared" ref="W14" si="20">IF(V14=0,0,IF($H14/$F14&gt;V14,V14,$H14/$F14))</f>
        <v>0</v>
      </c>
      <c r="X14" s="31">
        <f t="shared" si="13"/>
        <v>0</v>
      </c>
    </row>
    <row r="15" spans="1:24">
      <c r="A15" s="26" t="s">
        <v>324</v>
      </c>
      <c r="B15" s="26" t="s">
        <v>430</v>
      </c>
      <c r="C15" s="26" t="s">
        <v>431</v>
      </c>
      <c r="D15" s="27">
        <v>39957</v>
      </c>
      <c r="E15" s="26" t="s">
        <v>432</v>
      </c>
      <c r="F15" s="26">
        <v>3.83</v>
      </c>
      <c r="G15" s="27">
        <v>39957</v>
      </c>
      <c r="H15" s="30">
        <v>7041.42</v>
      </c>
      <c r="I15" s="30">
        <v>-7041.42</v>
      </c>
      <c r="J15" s="30">
        <v>0</v>
      </c>
      <c r="K15" s="31">
        <f t="shared" si="0"/>
        <v>0</v>
      </c>
      <c r="L15" s="31">
        <f t="shared" si="1"/>
        <v>0</v>
      </c>
      <c r="M15" s="31">
        <f t="shared" si="2"/>
        <v>0</v>
      </c>
      <c r="N15" s="31">
        <f t="shared" si="3"/>
        <v>0</v>
      </c>
      <c r="O15" s="31">
        <f t="shared" si="4"/>
        <v>0</v>
      </c>
      <c r="P15" s="31">
        <f t="shared" si="5"/>
        <v>0</v>
      </c>
      <c r="Q15" s="31">
        <f t="shared" si="6"/>
        <v>0</v>
      </c>
      <c r="R15" s="31">
        <f t="shared" si="7"/>
        <v>0</v>
      </c>
      <c r="S15" s="31">
        <f t="shared" si="8"/>
        <v>0</v>
      </c>
      <c r="T15" s="31">
        <f t="shared" si="9"/>
        <v>0</v>
      </c>
      <c r="U15" s="31">
        <f t="shared" si="10"/>
        <v>0</v>
      </c>
      <c r="V15" s="31">
        <f t="shared" si="11"/>
        <v>0</v>
      </c>
      <c r="W15" s="31">
        <f t="shared" ref="W15" si="21">IF(V15=0,0,IF($H15/$F15&gt;V15,V15,$H15/$F15))</f>
        <v>0</v>
      </c>
      <c r="X15" s="31">
        <f t="shared" si="13"/>
        <v>0</v>
      </c>
    </row>
    <row r="16" spans="1:24">
      <c r="A16" s="26" t="s">
        <v>324</v>
      </c>
      <c r="B16" s="26" t="s">
        <v>496</v>
      </c>
      <c r="C16" s="26" t="s">
        <v>497</v>
      </c>
      <c r="D16" s="27">
        <v>39957</v>
      </c>
      <c r="E16" s="26" t="s">
        <v>498</v>
      </c>
      <c r="F16" s="26">
        <v>2.25</v>
      </c>
      <c r="G16" s="27">
        <v>39957</v>
      </c>
      <c r="H16" s="30">
        <v>158866.75</v>
      </c>
      <c r="I16" s="30">
        <v>-158866.75</v>
      </c>
      <c r="J16" s="30">
        <v>0</v>
      </c>
      <c r="K16" s="31">
        <f t="shared" si="0"/>
        <v>0</v>
      </c>
      <c r="L16" s="31">
        <f t="shared" si="1"/>
        <v>0</v>
      </c>
      <c r="M16" s="31">
        <f t="shared" si="2"/>
        <v>0</v>
      </c>
      <c r="N16" s="31">
        <f t="shared" si="3"/>
        <v>0</v>
      </c>
      <c r="O16" s="31">
        <f t="shared" si="4"/>
        <v>0</v>
      </c>
      <c r="P16" s="31">
        <f t="shared" si="5"/>
        <v>0</v>
      </c>
      <c r="Q16" s="31">
        <f t="shared" si="6"/>
        <v>0</v>
      </c>
      <c r="R16" s="31">
        <f t="shared" si="7"/>
        <v>0</v>
      </c>
      <c r="S16" s="31">
        <f t="shared" si="8"/>
        <v>0</v>
      </c>
      <c r="T16" s="31">
        <f t="shared" si="9"/>
        <v>0</v>
      </c>
      <c r="U16" s="31">
        <f t="shared" si="10"/>
        <v>0</v>
      </c>
      <c r="V16" s="31">
        <f t="shared" si="11"/>
        <v>0</v>
      </c>
      <c r="W16" s="31">
        <f t="shared" ref="W16" si="22">IF(V16=0,0,IF($H16/$F16&gt;V16,V16,$H16/$F16))</f>
        <v>0</v>
      </c>
      <c r="X16" s="31">
        <f t="shared" si="13"/>
        <v>0</v>
      </c>
    </row>
    <row r="17" spans="1:24">
      <c r="A17" s="26" t="s">
        <v>324</v>
      </c>
      <c r="B17" s="26" t="s">
        <v>511</v>
      </c>
      <c r="C17" s="26" t="s">
        <v>514</v>
      </c>
      <c r="D17" s="27">
        <v>39957</v>
      </c>
      <c r="E17" s="26" t="s">
        <v>515</v>
      </c>
      <c r="F17" s="26">
        <v>3.58</v>
      </c>
      <c r="G17" s="27">
        <v>39957</v>
      </c>
      <c r="H17" s="30">
        <v>7908.98</v>
      </c>
      <c r="I17" s="30">
        <v>-7908.98</v>
      </c>
      <c r="J17" s="30">
        <v>0</v>
      </c>
      <c r="K17" s="31">
        <f t="shared" si="0"/>
        <v>0</v>
      </c>
      <c r="L17" s="31">
        <f t="shared" si="1"/>
        <v>0</v>
      </c>
      <c r="M17" s="31">
        <f t="shared" si="2"/>
        <v>0</v>
      </c>
      <c r="N17" s="31">
        <f t="shared" si="3"/>
        <v>0</v>
      </c>
      <c r="O17" s="31">
        <f t="shared" si="4"/>
        <v>0</v>
      </c>
      <c r="P17" s="31">
        <f t="shared" si="5"/>
        <v>0</v>
      </c>
      <c r="Q17" s="31">
        <f t="shared" si="6"/>
        <v>0</v>
      </c>
      <c r="R17" s="31">
        <f t="shared" si="7"/>
        <v>0</v>
      </c>
      <c r="S17" s="31">
        <f t="shared" si="8"/>
        <v>0</v>
      </c>
      <c r="T17" s="31">
        <f t="shared" si="9"/>
        <v>0</v>
      </c>
      <c r="U17" s="31">
        <f t="shared" si="10"/>
        <v>0</v>
      </c>
      <c r="V17" s="31">
        <f t="shared" si="11"/>
        <v>0</v>
      </c>
      <c r="W17" s="31">
        <f t="shared" ref="W17" si="23">IF(V17=0,0,IF($H17/$F17&gt;V17,V17,$H17/$F17))</f>
        <v>0</v>
      </c>
      <c r="X17" s="31">
        <f t="shared" si="13"/>
        <v>0</v>
      </c>
    </row>
    <row r="18" spans="1:24">
      <c r="A18" s="26" t="s">
        <v>324</v>
      </c>
      <c r="B18" s="26" t="s">
        <v>511</v>
      </c>
      <c r="C18" s="26" t="s">
        <v>516</v>
      </c>
      <c r="D18" s="27">
        <v>39957</v>
      </c>
      <c r="E18" s="26" t="s">
        <v>517</v>
      </c>
      <c r="F18" s="26">
        <v>3.83</v>
      </c>
      <c r="G18" s="27">
        <v>39957</v>
      </c>
      <c r="H18" s="30">
        <v>2985</v>
      </c>
      <c r="I18" s="30">
        <v>-2985</v>
      </c>
      <c r="J18" s="30">
        <v>0</v>
      </c>
      <c r="K18" s="31">
        <f t="shared" si="0"/>
        <v>0</v>
      </c>
      <c r="L18" s="31">
        <f t="shared" si="1"/>
        <v>0</v>
      </c>
      <c r="M18" s="31">
        <f t="shared" si="2"/>
        <v>0</v>
      </c>
      <c r="N18" s="31">
        <f t="shared" si="3"/>
        <v>0</v>
      </c>
      <c r="O18" s="31">
        <f t="shared" si="4"/>
        <v>0</v>
      </c>
      <c r="P18" s="31">
        <f t="shared" si="5"/>
        <v>0</v>
      </c>
      <c r="Q18" s="31">
        <f t="shared" si="6"/>
        <v>0</v>
      </c>
      <c r="R18" s="31">
        <f t="shared" si="7"/>
        <v>0</v>
      </c>
      <c r="S18" s="31">
        <f t="shared" si="8"/>
        <v>0</v>
      </c>
      <c r="T18" s="31">
        <f t="shared" si="9"/>
        <v>0</v>
      </c>
      <c r="U18" s="31">
        <f t="shared" si="10"/>
        <v>0</v>
      </c>
      <c r="V18" s="31">
        <f t="shared" si="11"/>
        <v>0</v>
      </c>
      <c r="W18" s="31">
        <f t="shared" ref="W18" si="24">IF(V18=0,0,IF($H18/$F18&gt;V18,V18,$H18/$F18))</f>
        <v>0</v>
      </c>
      <c r="X18" s="31">
        <f t="shared" si="13"/>
        <v>0</v>
      </c>
    </row>
    <row r="19" spans="1:24">
      <c r="A19" s="26" t="s">
        <v>324</v>
      </c>
      <c r="B19" s="26" t="s">
        <v>511</v>
      </c>
      <c r="C19" s="26" t="s">
        <v>518</v>
      </c>
      <c r="D19" s="27">
        <v>39957</v>
      </c>
      <c r="E19" s="26" t="s">
        <v>519</v>
      </c>
      <c r="F19" s="26">
        <v>4.17</v>
      </c>
      <c r="G19" s="27">
        <v>39957</v>
      </c>
      <c r="H19" s="30">
        <v>3643</v>
      </c>
      <c r="I19" s="30">
        <v>-3643</v>
      </c>
      <c r="J19" s="30">
        <v>0</v>
      </c>
      <c r="K19" s="31">
        <f t="shared" si="0"/>
        <v>0</v>
      </c>
      <c r="L19" s="31">
        <f t="shared" si="1"/>
        <v>0</v>
      </c>
      <c r="M19" s="31">
        <f t="shared" si="2"/>
        <v>0</v>
      </c>
      <c r="N19" s="31">
        <f t="shared" si="3"/>
        <v>0</v>
      </c>
      <c r="O19" s="31">
        <f t="shared" si="4"/>
        <v>0</v>
      </c>
      <c r="P19" s="31">
        <f t="shared" si="5"/>
        <v>0</v>
      </c>
      <c r="Q19" s="31">
        <f t="shared" si="6"/>
        <v>0</v>
      </c>
      <c r="R19" s="31">
        <f t="shared" si="7"/>
        <v>0</v>
      </c>
      <c r="S19" s="31">
        <f t="shared" si="8"/>
        <v>0</v>
      </c>
      <c r="T19" s="31">
        <f t="shared" si="9"/>
        <v>0</v>
      </c>
      <c r="U19" s="31">
        <f t="shared" si="10"/>
        <v>0</v>
      </c>
      <c r="V19" s="31">
        <f t="shared" si="11"/>
        <v>0</v>
      </c>
      <c r="W19" s="31">
        <f t="shared" ref="W19" si="25">IF(V19=0,0,IF($H19/$F19&gt;V19,V19,$H19/$F19))</f>
        <v>0</v>
      </c>
      <c r="X19" s="31">
        <f t="shared" si="13"/>
        <v>0</v>
      </c>
    </row>
    <row r="20" spans="1:24">
      <c r="A20" s="26" t="s">
        <v>324</v>
      </c>
      <c r="B20" s="26" t="s">
        <v>511</v>
      </c>
      <c r="C20" s="26" t="s">
        <v>520</v>
      </c>
      <c r="D20" s="27">
        <v>39957</v>
      </c>
      <c r="E20" s="26" t="s">
        <v>521</v>
      </c>
      <c r="F20" s="26">
        <v>4.42</v>
      </c>
      <c r="G20" s="27">
        <v>39957</v>
      </c>
      <c r="H20" s="30">
        <v>1345</v>
      </c>
      <c r="I20" s="30">
        <v>-1345</v>
      </c>
      <c r="J20" s="30">
        <v>0</v>
      </c>
      <c r="K20" s="31">
        <f t="shared" si="0"/>
        <v>0</v>
      </c>
      <c r="L20" s="31">
        <f t="shared" si="1"/>
        <v>0</v>
      </c>
      <c r="M20" s="31">
        <f t="shared" si="2"/>
        <v>0</v>
      </c>
      <c r="N20" s="31">
        <f t="shared" si="3"/>
        <v>0</v>
      </c>
      <c r="O20" s="31">
        <f t="shared" si="4"/>
        <v>0</v>
      </c>
      <c r="P20" s="31">
        <f t="shared" si="5"/>
        <v>0</v>
      </c>
      <c r="Q20" s="31">
        <f t="shared" si="6"/>
        <v>0</v>
      </c>
      <c r="R20" s="31">
        <f t="shared" si="7"/>
        <v>0</v>
      </c>
      <c r="S20" s="31">
        <f t="shared" si="8"/>
        <v>0</v>
      </c>
      <c r="T20" s="31">
        <f t="shared" si="9"/>
        <v>0</v>
      </c>
      <c r="U20" s="31">
        <f t="shared" si="10"/>
        <v>0</v>
      </c>
      <c r="V20" s="31">
        <f t="shared" si="11"/>
        <v>0</v>
      </c>
      <c r="W20" s="31">
        <f t="shared" ref="W20" si="26">IF(V20=0,0,IF($H20/$F20&gt;V20,V20,$H20/$F20))</f>
        <v>0</v>
      </c>
      <c r="X20" s="31">
        <f t="shared" si="13"/>
        <v>0</v>
      </c>
    </row>
    <row r="21" spans="1:24">
      <c r="A21" s="26" t="s">
        <v>324</v>
      </c>
      <c r="B21" s="26" t="s">
        <v>511</v>
      </c>
      <c r="C21" s="26" t="s">
        <v>522</v>
      </c>
      <c r="D21" s="27">
        <v>39957</v>
      </c>
      <c r="E21" s="26" t="s">
        <v>523</v>
      </c>
      <c r="F21" s="26">
        <v>4.75</v>
      </c>
      <c r="G21" s="27">
        <v>39957</v>
      </c>
      <c r="H21" s="30">
        <v>1000</v>
      </c>
      <c r="I21" s="30">
        <v>-1000</v>
      </c>
      <c r="J21" s="30">
        <v>0</v>
      </c>
      <c r="K21" s="31">
        <f t="shared" si="0"/>
        <v>0</v>
      </c>
      <c r="L21" s="31">
        <f t="shared" si="1"/>
        <v>0</v>
      </c>
      <c r="M21" s="31">
        <f t="shared" si="2"/>
        <v>0</v>
      </c>
      <c r="N21" s="31">
        <f t="shared" si="3"/>
        <v>0</v>
      </c>
      <c r="O21" s="31">
        <f t="shared" si="4"/>
        <v>0</v>
      </c>
      <c r="P21" s="31">
        <f t="shared" si="5"/>
        <v>0</v>
      </c>
      <c r="Q21" s="31">
        <f t="shared" si="6"/>
        <v>0</v>
      </c>
      <c r="R21" s="31">
        <f t="shared" si="7"/>
        <v>0</v>
      </c>
      <c r="S21" s="31">
        <f t="shared" si="8"/>
        <v>0</v>
      </c>
      <c r="T21" s="31">
        <f t="shared" si="9"/>
        <v>0</v>
      </c>
      <c r="U21" s="31">
        <f t="shared" si="10"/>
        <v>0</v>
      </c>
      <c r="V21" s="31">
        <f t="shared" si="11"/>
        <v>0</v>
      </c>
      <c r="W21" s="31">
        <f t="shared" ref="W21" si="27">IF(V21=0,0,IF($H21/$F21&gt;V21,V21,$H21/$F21))</f>
        <v>0</v>
      </c>
      <c r="X21" s="31">
        <f t="shared" si="13"/>
        <v>0</v>
      </c>
    </row>
    <row r="22" spans="1:24">
      <c r="A22" s="26" t="s">
        <v>324</v>
      </c>
      <c r="B22" s="26" t="s">
        <v>553</v>
      </c>
      <c r="C22" s="26" t="s">
        <v>554</v>
      </c>
      <c r="D22" s="27">
        <v>39957</v>
      </c>
      <c r="E22" s="26" t="s">
        <v>555</v>
      </c>
      <c r="F22" s="26">
        <v>8.42</v>
      </c>
      <c r="G22" s="27">
        <v>39957</v>
      </c>
      <c r="H22" s="30">
        <v>2301985.85</v>
      </c>
      <c r="I22" s="30">
        <v>-1534657.05</v>
      </c>
      <c r="J22" s="30">
        <v>767328.8</v>
      </c>
      <c r="K22" s="31">
        <f t="shared" si="0"/>
        <v>273394.99406175775</v>
      </c>
      <c r="L22" s="31">
        <f t="shared" si="1"/>
        <v>493933.80593824229</v>
      </c>
      <c r="M22" s="31">
        <f t="shared" si="2"/>
        <v>273394.99406175775</v>
      </c>
      <c r="N22" s="31">
        <f t="shared" si="3"/>
        <v>220538.81187648454</v>
      </c>
      <c r="O22" s="31">
        <f t="shared" si="4"/>
        <v>220538.81187648454</v>
      </c>
      <c r="P22" s="31">
        <f t="shared" si="5"/>
        <v>0</v>
      </c>
      <c r="Q22" s="31">
        <f t="shared" si="6"/>
        <v>0</v>
      </c>
      <c r="R22" s="31">
        <f t="shared" si="7"/>
        <v>0</v>
      </c>
      <c r="S22" s="31">
        <f t="shared" si="8"/>
        <v>0</v>
      </c>
      <c r="T22" s="31">
        <f t="shared" si="9"/>
        <v>0</v>
      </c>
      <c r="U22" s="31">
        <f t="shared" si="10"/>
        <v>0</v>
      </c>
      <c r="V22" s="31">
        <f t="shared" si="11"/>
        <v>0</v>
      </c>
      <c r="W22" s="31">
        <f t="shared" ref="W22" si="28">IF(V22=0,0,IF($H22/$F22&gt;V22,V22,$H22/$F22))</f>
        <v>0</v>
      </c>
      <c r="X22" s="31">
        <f t="shared" si="13"/>
        <v>0</v>
      </c>
    </row>
    <row r="23" spans="1:24">
      <c r="A23" s="26" t="s">
        <v>324</v>
      </c>
      <c r="B23" s="26" t="s">
        <v>556</v>
      </c>
      <c r="C23" s="26" t="s">
        <v>557</v>
      </c>
      <c r="D23" s="27">
        <v>39957</v>
      </c>
      <c r="E23" s="26" t="s">
        <v>558</v>
      </c>
      <c r="F23" s="26">
        <v>4.17</v>
      </c>
      <c r="G23" s="27">
        <v>39957</v>
      </c>
      <c r="H23" s="30">
        <v>65011.01</v>
      </c>
      <c r="I23" s="30">
        <v>-65011.01</v>
      </c>
      <c r="J23" s="30">
        <v>0</v>
      </c>
      <c r="K23" s="31">
        <f t="shared" si="0"/>
        <v>0</v>
      </c>
      <c r="L23" s="31">
        <f t="shared" si="1"/>
        <v>0</v>
      </c>
      <c r="M23" s="31">
        <f t="shared" si="2"/>
        <v>0</v>
      </c>
      <c r="N23" s="31">
        <f t="shared" si="3"/>
        <v>0</v>
      </c>
      <c r="O23" s="31">
        <f t="shared" si="4"/>
        <v>0</v>
      </c>
      <c r="P23" s="31">
        <f t="shared" si="5"/>
        <v>0</v>
      </c>
      <c r="Q23" s="31">
        <f t="shared" si="6"/>
        <v>0</v>
      </c>
      <c r="R23" s="31">
        <f t="shared" si="7"/>
        <v>0</v>
      </c>
      <c r="S23" s="31">
        <f t="shared" si="8"/>
        <v>0</v>
      </c>
      <c r="T23" s="31">
        <f t="shared" si="9"/>
        <v>0</v>
      </c>
      <c r="U23" s="31">
        <f t="shared" si="10"/>
        <v>0</v>
      </c>
      <c r="V23" s="31">
        <f t="shared" si="11"/>
        <v>0</v>
      </c>
      <c r="W23" s="31">
        <f t="shared" ref="W23" si="29">IF(V23=0,0,IF($H23/$F23&gt;V23,V23,$H23/$F23))</f>
        <v>0</v>
      </c>
      <c r="X23" s="31">
        <f t="shared" si="13"/>
        <v>0</v>
      </c>
    </row>
    <row r="24" spans="1:24">
      <c r="A24" s="26" t="s">
        <v>324</v>
      </c>
      <c r="B24" s="26" t="s">
        <v>511</v>
      </c>
      <c r="C24" s="26" t="s">
        <v>512</v>
      </c>
      <c r="D24" s="27">
        <v>39975</v>
      </c>
      <c r="E24" s="26" t="s">
        <v>513</v>
      </c>
      <c r="F24" s="26">
        <v>10</v>
      </c>
      <c r="G24" s="27">
        <v>39975</v>
      </c>
      <c r="H24" s="30">
        <v>2099</v>
      </c>
      <c r="I24" s="30">
        <v>-1049.4000000000001</v>
      </c>
      <c r="J24" s="30">
        <v>1049.5999999999999</v>
      </c>
      <c r="K24" s="31">
        <f t="shared" si="0"/>
        <v>209.9</v>
      </c>
      <c r="L24" s="31">
        <f t="shared" si="1"/>
        <v>839.69999999999993</v>
      </c>
      <c r="M24" s="31">
        <f t="shared" si="2"/>
        <v>209.9</v>
      </c>
      <c r="N24" s="31">
        <f t="shared" si="3"/>
        <v>629.79999999999995</v>
      </c>
      <c r="O24" s="31">
        <f t="shared" si="4"/>
        <v>209.9</v>
      </c>
      <c r="P24" s="31">
        <f t="shared" si="5"/>
        <v>419.9</v>
      </c>
      <c r="Q24" s="31">
        <f t="shared" si="6"/>
        <v>209.9</v>
      </c>
      <c r="R24" s="31">
        <f t="shared" si="7"/>
        <v>209.99999999999997</v>
      </c>
      <c r="S24" s="31">
        <f t="shared" si="8"/>
        <v>209.9</v>
      </c>
      <c r="T24" s="31">
        <f t="shared" si="9"/>
        <v>9.9999999999965894E-2</v>
      </c>
      <c r="U24" s="31">
        <f t="shared" si="10"/>
        <v>9.9999999999965894E-2</v>
      </c>
      <c r="V24" s="31">
        <f t="shared" si="11"/>
        <v>0</v>
      </c>
      <c r="W24" s="31">
        <f t="shared" ref="W24" si="30">IF(V24=0,0,IF($H24/$F24&gt;V24,V24,$H24/$F24))</f>
        <v>0</v>
      </c>
      <c r="X24" s="31">
        <f t="shared" si="13"/>
        <v>0</v>
      </c>
    </row>
    <row r="25" spans="1:24">
      <c r="A25" s="26" t="s">
        <v>324</v>
      </c>
      <c r="B25" s="26" t="s">
        <v>325</v>
      </c>
      <c r="C25" s="26" t="s">
        <v>326</v>
      </c>
      <c r="D25" s="27">
        <v>40044</v>
      </c>
      <c r="E25" s="26" t="s">
        <v>327</v>
      </c>
      <c r="F25" s="26">
        <v>10</v>
      </c>
      <c r="G25" s="27"/>
      <c r="H25" s="30">
        <v>6002.57</v>
      </c>
      <c r="I25" s="30">
        <v>-2901.16</v>
      </c>
      <c r="J25" s="30">
        <v>3101.41</v>
      </c>
      <c r="K25" s="31">
        <f t="shared" si="0"/>
        <v>600.25699999999995</v>
      </c>
      <c r="L25" s="31">
        <f t="shared" si="1"/>
        <v>2501.1529999999998</v>
      </c>
      <c r="M25" s="31">
        <f t="shared" si="2"/>
        <v>600.25699999999995</v>
      </c>
      <c r="N25" s="31">
        <f t="shared" si="3"/>
        <v>1900.8959999999997</v>
      </c>
      <c r="O25" s="31">
        <f t="shared" si="4"/>
        <v>600.25699999999995</v>
      </c>
      <c r="P25" s="31">
        <f t="shared" si="5"/>
        <v>1300.6389999999997</v>
      </c>
      <c r="Q25" s="31">
        <f t="shared" si="6"/>
        <v>600.25699999999995</v>
      </c>
      <c r="R25" s="31">
        <f t="shared" si="7"/>
        <v>700.38199999999972</v>
      </c>
      <c r="S25" s="31">
        <f t="shared" si="8"/>
        <v>600.25699999999995</v>
      </c>
      <c r="T25" s="31">
        <f t="shared" si="9"/>
        <v>100.12499999999977</v>
      </c>
      <c r="U25" s="31">
        <f t="shared" si="10"/>
        <v>100.12499999999977</v>
      </c>
      <c r="V25" s="31">
        <f t="shared" si="11"/>
        <v>0</v>
      </c>
      <c r="W25" s="31">
        <f t="shared" ref="W25" si="31">IF(V25=0,0,IF($H25/$F25&gt;V25,V25,$H25/$F25))</f>
        <v>0</v>
      </c>
      <c r="X25" s="31">
        <f t="shared" si="13"/>
        <v>0</v>
      </c>
    </row>
    <row r="26" spans="1:24">
      <c r="A26" s="26" t="s">
        <v>324</v>
      </c>
      <c r="B26" s="26" t="s">
        <v>348</v>
      </c>
      <c r="C26" s="26" t="s">
        <v>363</v>
      </c>
      <c r="D26" s="27">
        <v>40057</v>
      </c>
      <c r="E26" s="26" t="s">
        <v>364</v>
      </c>
      <c r="F26" s="26">
        <v>5</v>
      </c>
      <c r="G26" s="27">
        <v>40157</v>
      </c>
      <c r="H26" s="30">
        <v>45147.05</v>
      </c>
      <c r="I26" s="30">
        <v>-42889.67</v>
      </c>
      <c r="J26" s="30">
        <v>2257.38</v>
      </c>
      <c r="K26" s="31">
        <f t="shared" si="0"/>
        <v>2257.38</v>
      </c>
      <c r="L26" s="31">
        <f t="shared" si="1"/>
        <v>0</v>
      </c>
      <c r="M26" s="31">
        <f t="shared" si="2"/>
        <v>0</v>
      </c>
      <c r="N26" s="31">
        <f t="shared" si="3"/>
        <v>0</v>
      </c>
      <c r="O26" s="31">
        <f t="shared" si="4"/>
        <v>0</v>
      </c>
      <c r="P26" s="31">
        <f t="shared" si="5"/>
        <v>0</v>
      </c>
      <c r="Q26" s="31">
        <f t="shared" si="6"/>
        <v>0</v>
      </c>
      <c r="R26" s="31">
        <f t="shared" si="7"/>
        <v>0</v>
      </c>
      <c r="S26" s="31">
        <f t="shared" si="8"/>
        <v>0</v>
      </c>
      <c r="T26" s="31">
        <f t="shared" si="9"/>
        <v>0</v>
      </c>
      <c r="U26" s="31">
        <f t="shared" si="10"/>
        <v>0</v>
      </c>
      <c r="V26" s="31">
        <f t="shared" si="11"/>
        <v>0</v>
      </c>
      <c r="W26" s="31">
        <f t="shared" ref="W26" si="32">IF(V26=0,0,IF($H26/$F26&gt;V26,V26,$H26/$F26))</f>
        <v>0</v>
      </c>
      <c r="X26" s="31">
        <f t="shared" si="13"/>
        <v>0</v>
      </c>
    </row>
    <row r="27" spans="1:24">
      <c r="A27" s="26" t="s">
        <v>324</v>
      </c>
      <c r="B27" s="26" t="s">
        <v>496</v>
      </c>
      <c r="C27" s="26" t="s">
        <v>499</v>
      </c>
      <c r="D27" s="27">
        <v>40057</v>
      </c>
      <c r="E27" s="26" t="s">
        <v>500</v>
      </c>
      <c r="F27" s="26">
        <v>8</v>
      </c>
      <c r="G27" s="27">
        <v>40201</v>
      </c>
      <c r="H27" s="30">
        <v>3776193.19</v>
      </c>
      <c r="I27" s="30">
        <v>-2242114.54</v>
      </c>
      <c r="J27" s="30">
        <v>1534078.65</v>
      </c>
      <c r="K27" s="31">
        <f t="shared" si="0"/>
        <v>472024.14874999999</v>
      </c>
      <c r="L27" s="31">
        <f t="shared" si="1"/>
        <v>1062054.50125</v>
      </c>
      <c r="M27" s="31">
        <f t="shared" si="2"/>
        <v>472024.14874999999</v>
      </c>
      <c r="N27" s="31">
        <f t="shared" si="3"/>
        <v>590030.35250000004</v>
      </c>
      <c r="O27" s="31">
        <f t="shared" si="4"/>
        <v>472024.14874999999</v>
      </c>
      <c r="P27" s="31">
        <f t="shared" si="5"/>
        <v>118006.20375000004</v>
      </c>
      <c r="Q27" s="31">
        <f t="shared" si="6"/>
        <v>118006.20375000004</v>
      </c>
      <c r="R27" s="31">
        <f t="shared" si="7"/>
        <v>0</v>
      </c>
      <c r="S27" s="31">
        <f t="shared" si="8"/>
        <v>0</v>
      </c>
      <c r="T27" s="31">
        <f t="shared" si="9"/>
        <v>0</v>
      </c>
      <c r="U27" s="31">
        <f t="shared" si="10"/>
        <v>0</v>
      </c>
      <c r="V27" s="31">
        <f t="shared" si="11"/>
        <v>0</v>
      </c>
      <c r="W27" s="31">
        <f t="shared" ref="W27" si="33">IF(V27=0,0,IF($H27/$F27&gt;V27,V27,$H27/$F27))</f>
        <v>0</v>
      </c>
      <c r="X27" s="31">
        <f t="shared" si="13"/>
        <v>0</v>
      </c>
    </row>
    <row r="28" spans="1:24">
      <c r="A28" s="26" t="s">
        <v>324</v>
      </c>
      <c r="B28" s="26" t="s">
        <v>430</v>
      </c>
      <c r="C28" s="26" t="s">
        <v>433</v>
      </c>
      <c r="D28" s="27">
        <v>40082</v>
      </c>
      <c r="E28" s="26" t="s">
        <v>434</v>
      </c>
      <c r="F28" s="26">
        <v>3</v>
      </c>
      <c r="G28" s="27">
        <v>40082</v>
      </c>
      <c r="H28" s="30">
        <v>38700</v>
      </c>
      <c r="I28" s="30">
        <v>-38700</v>
      </c>
      <c r="J28" s="30">
        <v>0</v>
      </c>
      <c r="K28" s="31">
        <f t="shared" si="0"/>
        <v>0</v>
      </c>
      <c r="L28" s="31">
        <f t="shared" si="1"/>
        <v>0</v>
      </c>
      <c r="M28" s="31">
        <f t="shared" si="2"/>
        <v>0</v>
      </c>
      <c r="N28" s="31">
        <f t="shared" si="3"/>
        <v>0</v>
      </c>
      <c r="O28" s="31">
        <f t="shared" si="4"/>
        <v>0</v>
      </c>
      <c r="P28" s="31">
        <f t="shared" si="5"/>
        <v>0</v>
      </c>
      <c r="Q28" s="31">
        <f t="shared" si="6"/>
        <v>0</v>
      </c>
      <c r="R28" s="31">
        <f t="shared" si="7"/>
        <v>0</v>
      </c>
      <c r="S28" s="31">
        <f t="shared" si="8"/>
        <v>0</v>
      </c>
      <c r="T28" s="31">
        <f t="shared" si="9"/>
        <v>0</v>
      </c>
      <c r="U28" s="31">
        <f t="shared" si="10"/>
        <v>0</v>
      </c>
      <c r="V28" s="31">
        <f t="shared" si="11"/>
        <v>0</v>
      </c>
      <c r="W28" s="31">
        <f t="shared" ref="W28" si="34">IF(V28=0,0,IF($H28/$F28&gt;V28,V28,$H28/$F28))</f>
        <v>0</v>
      </c>
      <c r="X28" s="31">
        <f t="shared" si="13"/>
        <v>0</v>
      </c>
    </row>
    <row r="29" spans="1:24">
      <c r="A29" s="26" t="s">
        <v>324</v>
      </c>
      <c r="B29" s="26" t="s">
        <v>430</v>
      </c>
      <c r="C29" s="26" t="s">
        <v>435</v>
      </c>
      <c r="D29" s="27">
        <v>40082</v>
      </c>
      <c r="E29" s="26" t="s">
        <v>436</v>
      </c>
      <c r="F29" s="26">
        <v>5</v>
      </c>
      <c r="G29" s="27">
        <v>40082</v>
      </c>
      <c r="H29" s="30">
        <v>35000</v>
      </c>
      <c r="I29" s="30">
        <v>-35000</v>
      </c>
      <c r="J29" s="30">
        <v>0</v>
      </c>
      <c r="K29" s="31">
        <f t="shared" si="0"/>
        <v>0</v>
      </c>
      <c r="L29" s="31">
        <f t="shared" si="1"/>
        <v>0</v>
      </c>
      <c r="M29" s="31">
        <f t="shared" si="2"/>
        <v>0</v>
      </c>
      <c r="N29" s="31">
        <f t="shared" si="3"/>
        <v>0</v>
      </c>
      <c r="O29" s="31">
        <f t="shared" si="4"/>
        <v>0</v>
      </c>
      <c r="P29" s="31">
        <f t="shared" si="5"/>
        <v>0</v>
      </c>
      <c r="Q29" s="31">
        <f t="shared" si="6"/>
        <v>0</v>
      </c>
      <c r="R29" s="31">
        <f t="shared" si="7"/>
        <v>0</v>
      </c>
      <c r="S29" s="31">
        <f t="shared" si="8"/>
        <v>0</v>
      </c>
      <c r="T29" s="31">
        <f t="shared" si="9"/>
        <v>0</v>
      </c>
      <c r="U29" s="31">
        <f t="shared" si="10"/>
        <v>0</v>
      </c>
      <c r="V29" s="31">
        <f t="shared" si="11"/>
        <v>0</v>
      </c>
      <c r="W29" s="31">
        <f t="shared" ref="W29" si="35">IF(V29=0,0,IF($H29/$F29&gt;V29,V29,$H29/$F29))</f>
        <v>0</v>
      </c>
      <c r="X29" s="31">
        <f t="shared" si="13"/>
        <v>0</v>
      </c>
    </row>
    <row r="30" spans="1:24">
      <c r="A30" s="26" t="s">
        <v>324</v>
      </c>
      <c r="B30" s="26" t="s">
        <v>430</v>
      </c>
      <c r="C30" s="26" t="s">
        <v>437</v>
      </c>
      <c r="D30" s="27">
        <v>40082</v>
      </c>
      <c r="E30" s="26" t="s">
        <v>438</v>
      </c>
      <c r="F30" s="26">
        <v>5</v>
      </c>
      <c r="G30" s="27">
        <v>40082</v>
      </c>
      <c r="H30" s="30">
        <v>43400</v>
      </c>
      <c r="I30" s="30">
        <v>-43400</v>
      </c>
      <c r="J30" s="30">
        <v>0</v>
      </c>
      <c r="K30" s="31">
        <f t="shared" si="0"/>
        <v>0</v>
      </c>
      <c r="L30" s="31">
        <f t="shared" si="1"/>
        <v>0</v>
      </c>
      <c r="M30" s="31">
        <f t="shared" si="2"/>
        <v>0</v>
      </c>
      <c r="N30" s="31">
        <f t="shared" si="3"/>
        <v>0</v>
      </c>
      <c r="O30" s="31">
        <f t="shared" si="4"/>
        <v>0</v>
      </c>
      <c r="P30" s="31">
        <f t="shared" si="5"/>
        <v>0</v>
      </c>
      <c r="Q30" s="31">
        <f t="shared" si="6"/>
        <v>0</v>
      </c>
      <c r="R30" s="31">
        <f t="shared" si="7"/>
        <v>0</v>
      </c>
      <c r="S30" s="31">
        <f t="shared" si="8"/>
        <v>0</v>
      </c>
      <c r="T30" s="31">
        <f t="shared" si="9"/>
        <v>0</v>
      </c>
      <c r="U30" s="31">
        <f t="shared" si="10"/>
        <v>0</v>
      </c>
      <c r="V30" s="31">
        <f t="shared" si="11"/>
        <v>0</v>
      </c>
      <c r="W30" s="31">
        <f t="shared" ref="W30" si="36">IF(V30=0,0,IF($H30/$F30&gt;V30,V30,$H30/$F30))</f>
        <v>0</v>
      </c>
      <c r="X30" s="31">
        <f t="shared" si="13"/>
        <v>0</v>
      </c>
    </row>
    <row r="31" spans="1:24">
      <c r="A31" s="26" t="s">
        <v>324</v>
      </c>
      <c r="B31" s="26" t="s">
        <v>491</v>
      </c>
      <c r="C31" s="26" t="s">
        <v>492</v>
      </c>
      <c r="D31" s="27">
        <v>40082</v>
      </c>
      <c r="E31" s="26" t="s">
        <v>493</v>
      </c>
      <c r="F31" s="26">
        <v>5</v>
      </c>
      <c r="G31" s="27">
        <v>40082</v>
      </c>
      <c r="H31" s="30">
        <v>890411.57</v>
      </c>
      <c r="I31" s="30">
        <v>-890411.57</v>
      </c>
      <c r="J31" s="30">
        <v>0</v>
      </c>
      <c r="K31" s="31">
        <f t="shared" si="0"/>
        <v>0</v>
      </c>
      <c r="L31" s="31">
        <f t="shared" si="1"/>
        <v>0</v>
      </c>
      <c r="M31" s="31">
        <f t="shared" si="2"/>
        <v>0</v>
      </c>
      <c r="N31" s="31">
        <f t="shared" si="3"/>
        <v>0</v>
      </c>
      <c r="O31" s="31">
        <f t="shared" si="4"/>
        <v>0</v>
      </c>
      <c r="P31" s="31">
        <f t="shared" si="5"/>
        <v>0</v>
      </c>
      <c r="Q31" s="31">
        <f t="shared" si="6"/>
        <v>0</v>
      </c>
      <c r="R31" s="31">
        <f t="shared" si="7"/>
        <v>0</v>
      </c>
      <c r="S31" s="31">
        <f t="shared" si="8"/>
        <v>0</v>
      </c>
      <c r="T31" s="31">
        <f t="shared" si="9"/>
        <v>0</v>
      </c>
      <c r="U31" s="31">
        <f t="shared" si="10"/>
        <v>0</v>
      </c>
      <c r="V31" s="31">
        <f t="shared" si="11"/>
        <v>0</v>
      </c>
      <c r="W31" s="31">
        <f t="shared" ref="W31" si="37">IF(V31=0,0,IF($H31/$F31&gt;V31,V31,$H31/$F31))</f>
        <v>0</v>
      </c>
      <c r="X31" s="31">
        <f t="shared" si="13"/>
        <v>0</v>
      </c>
    </row>
    <row r="32" spans="1:24">
      <c r="A32" s="26" t="s">
        <v>324</v>
      </c>
      <c r="B32" s="26" t="s">
        <v>491</v>
      </c>
      <c r="C32" s="26" t="s">
        <v>494</v>
      </c>
      <c r="D32" s="27">
        <v>40082</v>
      </c>
      <c r="E32" s="26" t="s">
        <v>495</v>
      </c>
      <c r="F32" s="26">
        <v>5</v>
      </c>
      <c r="G32" s="27">
        <v>40082</v>
      </c>
      <c r="H32" s="30">
        <v>38868.67</v>
      </c>
      <c r="I32" s="30">
        <v>-38868.67</v>
      </c>
      <c r="J32" s="30">
        <v>0</v>
      </c>
      <c r="K32" s="31">
        <f t="shared" si="0"/>
        <v>0</v>
      </c>
      <c r="L32" s="31">
        <f t="shared" si="1"/>
        <v>0</v>
      </c>
      <c r="M32" s="31">
        <f t="shared" si="2"/>
        <v>0</v>
      </c>
      <c r="N32" s="31">
        <f t="shared" si="3"/>
        <v>0</v>
      </c>
      <c r="O32" s="31">
        <f t="shared" si="4"/>
        <v>0</v>
      </c>
      <c r="P32" s="31">
        <f t="shared" si="5"/>
        <v>0</v>
      </c>
      <c r="Q32" s="31">
        <f t="shared" si="6"/>
        <v>0</v>
      </c>
      <c r="R32" s="31">
        <f t="shared" si="7"/>
        <v>0</v>
      </c>
      <c r="S32" s="31">
        <f t="shared" si="8"/>
        <v>0</v>
      </c>
      <c r="T32" s="31">
        <f t="shared" si="9"/>
        <v>0</v>
      </c>
      <c r="U32" s="31">
        <f t="shared" si="10"/>
        <v>0</v>
      </c>
      <c r="V32" s="31">
        <f t="shared" si="11"/>
        <v>0</v>
      </c>
      <c r="W32" s="31">
        <f t="shared" ref="W32" si="38">IF(V32=0,0,IF($H32/$F32&gt;V32,V32,$H32/$F32))</f>
        <v>0</v>
      </c>
      <c r="X32" s="31">
        <f t="shared" si="13"/>
        <v>0</v>
      </c>
    </row>
    <row r="33" spans="1:24">
      <c r="A33" s="26" t="s">
        <v>324</v>
      </c>
      <c r="B33" s="26" t="s">
        <v>511</v>
      </c>
      <c r="C33" s="26" t="s">
        <v>524</v>
      </c>
      <c r="D33" s="27">
        <v>40082</v>
      </c>
      <c r="E33" s="26" t="s">
        <v>525</v>
      </c>
      <c r="F33" s="26">
        <v>5</v>
      </c>
      <c r="G33" s="27"/>
      <c r="H33" s="30">
        <v>3001</v>
      </c>
      <c r="I33" s="30">
        <v>-3001</v>
      </c>
      <c r="J33" s="30">
        <v>0</v>
      </c>
      <c r="K33" s="31">
        <f t="shared" si="0"/>
        <v>0</v>
      </c>
      <c r="L33" s="31">
        <f t="shared" si="1"/>
        <v>0</v>
      </c>
      <c r="M33" s="31">
        <f t="shared" si="2"/>
        <v>0</v>
      </c>
      <c r="N33" s="31">
        <f t="shared" si="3"/>
        <v>0</v>
      </c>
      <c r="O33" s="31">
        <f t="shared" si="4"/>
        <v>0</v>
      </c>
      <c r="P33" s="31">
        <f t="shared" si="5"/>
        <v>0</v>
      </c>
      <c r="Q33" s="31">
        <f t="shared" si="6"/>
        <v>0</v>
      </c>
      <c r="R33" s="31">
        <f t="shared" si="7"/>
        <v>0</v>
      </c>
      <c r="S33" s="31">
        <f t="shared" si="8"/>
        <v>0</v>
      </c>
      <c r="T33" s="31">
        <f t="shared" si="9"/>
        <v>0</v>
      </c>
      <c r="U33" s="31">
        <f t="shared" si="10"/>
        <v>0</v>
      </c>
      <c r="V33" s="31">
        <f t="shared" si="11"/>
        <v>0</v>
      </c>
      <c r="W33" s="31">
        <f t="shared" ref="W33" si="39">IF(V33=0,0,IF($H33/$F33&gt;V33,V33,$H33/$F33))</f>
        <v>0</v>
      </c>
      <c r="X33" s="31">
        <f t="shared" si="13"/>
        <v>0</v>
      </c>
    </row>
    <row r="34" spans="1:24">
      <c r="A34" s="26" t="s">
        <v>336</v>
      </c>
      <c r="B34" s="26" t="s">
        <v>348</v>
      </c>
      <c r="C34" s="26" t="s">
        <v>367</v>
      </c>
      <c r="D34" s="27">
        <v>40117</v>
      </c>
      <c r="E34" s="26" t="s">
        <v>368</v>
      </c>
      <c r="F34" s="26">
        <v>3</v>
      </c>
      <c r="G34" s="27">
        <v>40355</v>
      </c>
      <c r="H34" s="30">
        <v>171337.69</v>
      </c>
      <c r="I34" s="30">
        <v>-171337.69</v>
      </c>
      <c r="J34" s="30">
        <v>0</v>
      </c>
      <c r="K34" s="31">
        <f t="shared" si="0"/>
        <v>0</v>
      </c>
      <c r="L34" s="31">
        <f t="shared" si="1"/>
        <v>0</v>
      </c>
      <c r="M34" s="31">
        <f t="shared" si="2"/>
        <v>0</v>
      </c>
      <c r="N34" s="31">
        <f t="shared" si="3"/>
        <v>0</v>
      </c>
      <c r="O34" s="31">
        <f t="shared" si="4"/>
        <v>0</v>
      </c>
      <c r="P34" s="31">
        <f t="shared" si="5"/>
        <v>0</v>
      </c>
      <c r="Q34" s="31">
        <f t="shared" si="6"/>
        <v>0</v>
      </c>
      <c r="R34" s="31">
        <f t="shared" si="7"/>
        <v>0</v>
      </c>
      <c r="S34" s="31">
        <f t="shared" si="8"/>
        <v>0</v>
      </c>
      <c r="T34" s="31">
        <f t="shared" si="9"/>
        <v>0</v>
      </c>
      <c r="U34" s="31">
        <f t="shared" si="10"/>
        <v>0</v>
      </c>
      <c r="V34" s="31">
        <f t="shared" si="11"/>
        <v>0</v>
      </c>
      <c r="W34" s="31">
        <f t="shared" ref="W34" si="40">IF(V34=0,0,IF($H34/$F34&gt;V34,V34,$H34/$F34))</f>
        <v>0</v>
      </c>
      <c r="X34" s="31">
        <f t="shared" si="13"/>
        <v>0</v>
      </c>
    </row>
    <row r="35" spans="1:24">
      <c r="A35" s="26" t="s">
        <v>336</v>
      </c>
      <c r="B35" s="26" t="s">
        <v>430</v>
      </c>
      <c r="C35" s="26" t="s">
        <v>441</v>
      </c>
      <c r="D35" s="27">
        <v>40219</v>
      </c>
      <c r="E35" s="26" t="s">
        <v>442</v>
      </c>
      <c r="F35" s="26">
        <v>5</v>
      </c>
      <c r="G35" s="27">
        <v>40355</v>
      </c>
      <c r="H35" s="30">
        <v>25100</v>
      </c>
      <c r="I35" s="30">
        <v>-21753.279999999999</v>
      </c>
      <c r="J35" s="30">
        <v>3346.72</v>
      </c>
      <c r="K35" s="31">
        <f t="shared" si="0"/>
        <v>3346.72</v>
      </c>
      <c r="L35" s="31">
        <f t="shared" si="1"/>
        <v>0</v>
      </c>
      <c r="M35" s="31">
        <f t="shared" si="2"/>
        <v>0</v>
      </c>
      <c r="N35" s="31">
        <f t="shared" si="3"/>
        <v>0</v>
      </c>
      <c r="O35" s="31">
        <f t="shared" si="4"/>
        <v>0</v>
      </c>
      <c r="P35" s="31">
        <f t="shared" si="5"/>
        <v>0</v>
      </c>
      <c r="Q35" s="31">
        <f t="shared" si="6"/>
        <v>0</v>
      </c>
      <c r="R35" s="31">
        <f t="shared" si="7"/>
        <v>0</v>
      </c>
      <c r="S35" s="31">
        <f t="shared" si="8"/>
        <v>0</v>
      </c>
      <c r="T35" s="31">
        <f t="shared" si="9"/>
        <v>0</v>
      </c>
      <c r="U35" s="31">
        <f t="shared" si="10"/>
        <v>0</v>
      </c>
      <c r="V35" s="31">
        <f t="shared" si="11"/>
        <v>0</v>
      </c>
      <c r="W35" s="31">
        <f t="shared" ref="W35" si="41">IF(V35=0,0,IF($H35/$F35&gt;V35,V35,$H35/$F35))</f>
        <v>0</v>
      </c>
      <c r="X35" s="31">
        <f t="shared" si="13"/>
        <v>0</v>
      </c>
    </row>
    <row r="36" spans="1:24">
      <c r="A36" s="26" t="s">
        <v>336</v>
      </c>
      <c r="B36" s="26" t="s">
        <v>430</v>
      </c>
      <c r="C36" s="26" t="s">
        <v>439</v>
      </c>
      <c r="D36" s="27">
        <v>40234</v>
      </c>
      <c r="E36" s="26" t="s">
        <v>440</v>
      </c>
      <c r="F36" s="26">
        <v>5</v>
      </c>
      <c r="G36" s="27">
        <v>40240</v>
      </c>
      <c r="H36" s="30">
        <v>9614</v>
      </c>
      <c r="I36" s="30">
        <v>-8171.84</v>
      </c>
      <c r="J36" s="30">
        <v>1442.16</v>
      </c>
      <c r="K36" s="31">
        <f t="shared" si="0"/>
        <v>1442.16</v>
      </c>
      <c r="L36" s="31">
        <f t="shared" si="1"/>
        <v>0</v>
      </c>
      <c r="M36" s="31">
        <f t="shared" si="2"/>
        <v>0</v>
      </c>
      <c r="N36" s="31">
        <f t="shared" si="3"/>
        <v>0</v>
      </c>
      <c r="O36" s="31">
        <f t="shared" si="4"/>
        <v>0</v>
      </c>
      <c r="P36" s="31">
        <f t="shared" si="5"/>
        <v>0</v>
      </c>
      <c r="Q36" s="31">
        <f t="shared" si="6"/>
        <v>0</v>
      </c>
      <c r="R36" s="31">
        <f t="shared" si="7"/>
        <v>0</v>
      </c>
      <c r="S36" s="31">
        <f t="shared" si="8"/>
        <v>0</v>
      </c>
      <c r="T36" s="31">
        <f t="shared" si="9"/>
        <v>0</v>
      </c>
      <c r="U36" s="31">
        <f t="shared" si="10"/>
        <v>0</v>
      </c>
      <c r="V36" s="31">
        <f t="shared" si="11"/>
        <v>0</v>
      </c>
      <c r="W36" s="31">
        <f t="shared" ref="W36" si="42">IF(V36=0,0,IF($H36/$F36&gt;V36,V36,$H36/$F36))</f>
        <v>0</v>
      </c>
      <c r="X36" s="31">
        <f t="shared" si="13"/>
        <v>0</v>
      </c>
    </row>
    <row r="37" spans="1:24">
      <c r="A37" s="26" t="s">
        <v>336</v>
      </c>
      <c r="B37" s="26" t="s">
        <v>430</v>
      </c>
      <c r="C37" s="26" t="s">
        <v>443</v>
      </c>
      <c r="D37" s="27">
        <v>40234</v>
      </c>
      <c r="E37" s="26" t="s">
        <v>444</v>
      </c>
      <c r="F37" s="26">
        <v>5</v>
      </c>
      <c r="G37" s="27">
        <v>40292</v>
      </c>
      <c r="H37" s="30">
        <v>37823</v>
      </c>
      <c r="I37" s="30">
        <v>-32149.49</v>
      </c>
      <c r="J37" s="30">
        <v>5673.51</v>
      </c>
      <c r="K37" s="31">
        <f t="shared" si="0"/>
        <v>5673.51</v>
      </c>
      <c r="L37" s="31">
        <f t="shared" si="1"/>
        <v>0</v>
      </c>
      <c r="M37" s="31">
        <f t="shared" si="2"/>
        <v>0</v>
      </c>
      <c r="N37" s="31">
        <f t="shared" si="3"/>
        <v>0</v>
      </c>
      <c r="O37" s="31">
        <f t="shared" si="4"/>
        <v>0</v>
      </c>
      <c r="P37" s="31">
        <f t="shared" si="5"/>
        <v>0</v>
      </c>
      <c r="Q37" s="31">
        <f t="shared" si="6"/>
        <v>0</v>
      </c>
      <c r="R37" s="31">
        <f t="shared" si="7"/>
        <v>0</v>
      </c>
      <c r="S37" s="31">
        <f t="shared" si="8"/>
        <v>0</v>
      </c>
      <c r="T37" s="31">
        <f t="shared" si="9"/>
        <v>0</v>
      </c>
      <c r="U37" s="31">
        <f t="shared" si="10"/>
        <v>0</v>
      </c>
      <c r="V37" s="31">
        <f t="shared" si="11"/>
        <v>0</v>
      </c>
      <c r="W37" s="31">
        <f t="shared" ref="W37" si="43">IF(V37=0,0,IF($H37/$F37&gt;V37,V37,$H37/$F37))</f>
        <v>0</v>
      </c>
      <c r="X37" s="31">
        <f t="shared" si="13"/>
        <v>0</v>
      </c>
    </row>
    <row r="38" spans="1:24">
      <c r="A38" s="26" t="s">
        <v>336</v>
      </c>
      <c r="B38" s="26" t="s">
        <v>528</v>
      </c>
      <c r="C38" s="26" t="s">
        <v>529</v>
      </c>
      <c r="D38" s="27">
        <v>40265</v>
      </c>
      <c r="E38" s="26" t="s">
        <v>530</v>
      </c>
      <c r="F38" s="26">
        <v>5</v>
      </c>
      <c r="G38" s="27">
        <v>40383</v>
      </c>
      <c r="H38" s="30">
        <v>99718.83</v>
      </c>
      <c r="I38" s="30">
        <v>-84760.98</v>
      </c>
      <c r="J38" s="30">
        <v>14957.85</v>
      </c>
      <c r="K38" s="31">
        <f t="shared" si="0"/>
        <v>14957.85</v>
      </c>
      <c r="L38" s="31">
        <f t="shared" si="1"/>
        <v>0</v>
      </c>
      <c r="M38" s="31">
        <f t="shared" si="2"/>
        <v>0</v>
      </c>
      <c r="N38" s="31">
        <f t="shared" si="3"/>
        <v>0</v>
      </c>
      <c r="O38" s="31">
        <f t="shared" si="4"/>
        <v>0</v>
      </c>
      <c r="P38" s="31">
        <f t="shared" si="5"/>
        <v>0</v>
      </c>
      <c r="Q38" s="31">
        <f t="shared" si="6"/>
        <v>0</v>
      </c>
      <c r="R38" s="31">
        <f t="shared" si="7"/>
        <v>0</v>
      </c>
      <c r="S38" s="31">
        <f t="shared" si="8"/>
        <v>0</v>
      </c>
      <c r="T38" s="31">
        <f t="shared" si="9"/>
        <v>0</v>
      </c>
      <c r="U38" s="31">
        <f t="shared" si="10"/>
        <v>0</v>
      </c>
      <c r="V38" s="31">
        <f t="shared" si="11"/>
        <v>0</v>
      </c>
      <c r="W38" s="31">
        <f t="shared" ref="W38" si="44">IF(V38=0,0,IF($H38/$F38&gt;V38,V38,$H38/$F38))</f>
        <v>0</v>
      </c>
      <c r="X38" s="31">
        <f t="shared" si="13"/>
        <v>0</v>
      </c>
    </row>
    <row r="39" spans="1:24">
      <c r="A39" s="26" t="s">
        <v>336</v>
      </c>
      <c r="B39" s="26" t="s">
        <v>528</v>
      </c>
      <c r="C39" s="26" t="s">
        <v>531</v>
      </c>
      <c r="D39" s="27">
        <v>40265</v>
      </c>
      <c r="E39" s="26" t="s">
        <v>532</v>
      </c>
      <c r="F39" s="26">
        <v>5</v>
      </c>
      <c r="G39" s="27">
        <v>40383</v>
      </c>
      <c r="H39" s="30">
        <v>975535.2</v>
      </c>
      <c r="I39" s="30">
        <v>-829204.92</v>
      </c>
      <c r="J39" s="30">
        <v>146330.28</v>
      </c>
      <c r="K39" s="31">
        <f t="shared" si="0"/>
        <v>146330.28</v>
      </c>
      <c r="L39" s="31">
        <f t="shared" si="1"/>
        <v>0</v>
      </c>
      <c r="M39" s="31">
        <f t="shared" si="2"/>
        <v>0</v>
      </c>
      <c r="N39" s="31">
        <f t="shared" si="3"/>
        <v>0</v>
      </c>
      <c r="O39" s="31">
        <f t="shared" si="4"/>
        <v>0</v>
      </c>
      <c r="P39" s="31">
        <f t="shared" si="5"/>
        <v>0</v>
      </c>
      <c r="Q39" s="31">
        <f t="shared" si="6"/>
        <v>0</v>
      </c>
      <c r="R39" s="31">
        <f t="shared" si="7"/>
        <v>0</v>
      </c>
      <c r="S39" s="31">
        <f t="shared" si="8"/>
        <v>0</v>
      </c>
      <c r="T39" s="31">
        <f t="shared" si="9"/>
        <v>0</v>
      </c>
      <c r="U39" s="31">
        <f t="shared" si="10"/>
        <v>0</v>
      </c>
      <c r="V39" s="31">
        <f t="shared" si="11"/>
        <v>0</v>
      </c>
      <c r="W39" s="31">
        <f t="shared" ref="W39" si="45">IF(V39=0,0,IF($H39/$F39&gt;V39,V39,$H39/$F39))</f>
        <v>0</v>
      </c>
      <c r="X39" s="31">
        <f t="shared" si="13"/>
        <v>0</v>
      </c>
    </row>
    <row r="40" spans="1:24">
      <c r="A40" s="26" t="s">
        <v>336</v>
      </c>
      <c r="B40" s="26" t="s">
        <v>325</v>
      </c>
      <c r="C40" s="26" t="s">
        <v>337</v>
      </c>
      <c r="D40" s="27">
        <v>40292</v>
      </c>
      <c r="E40" s="26" t="s">
        <v>338</v>
      </c>
      <c r="F40" s="26">
        <v>7</v>
      </c>
      <c r="G40" s="27">
        <v>40411</v>
      </c>
      <c r="H40" s="30">
        <v>31102.5</v>
      </c>
      <c r="I40" s="30">
        <v>-18513.32</v>
      </c>
      <c r="J40" s="30">
        <v>12589.18</v>
      </c>
      <c r="K40" s="31">
        <f t="shared" si="0"/>
        <v>4443.2142857142853</v>
      </c>
      <c r="L40" s="31">
        <f t="shared" si="1"/>
        <v>8145.965714285715</v>
      </c>
      <c r="M40" s="31">
        <f t="shared" si="2"/>
        <v>4443.2142857142853</v>
      </c>
      <c r="N40" s="31">
        <f t="shared" si="3"/>
        <v>3702.7514285714296</v>
      </c>
      <c r="O40" s="31">
        <f t="shared" si="4"/>
        <v>3702.7514285714296</v>
      </c>
      <c r="P40" s="31">
        <f t="shared" si="5"/>
        <v>0</v>
      </c>
      <c r="Q40" s="31">
        <f t="shared" si="6"/>
        <v>0</v>
      </c>
      <c r="R40" s="31">
        <f t="shared" si="7"/>
        <v>0</v>
      </c>
      <c r="S40" s="31">
        <f t="shared" si="8"/>
        <v>0</v>
      </c>
      <c r="T40" s="31">
        <f t="shared" si="9"/>
        <v>0</v>
      </c>
      <c r="U40" s="31">
        <f t="shared" si="10"/>
        <v>0</v>
      </c>
      <c r="V40" s="31">
        <f t="shared" si="11"/>
        <v>0</v>
      </c>
      <c r="W40" s="31">
        <f t="shared" ref="W40" si="46">IF(V40=0,0,IF($H40/$F40&gt;V40,V40,$H40/$F40))</f>
        <v>0</v>
      </c>
      <c r="X40" s="31">
        <f t="shared" si="13"/>
        <v>0</v>
      </c>
    </row>
    <row r="41" spans="1:24">
      <c r="A41" s="26" t="s">
        <v>336</v>
      </c>
      <c r="B41" s="26" t="s">
        <v>348</v>
      </c>
      <c r="C41" s="26" t="s">
        <v>365</v>
      </c>
      <c r="D41" s="27">
        <v>40318</v>
      </c>
      <c r="E41" s="26" t="s">
        <v>366</v>
      </c>
      <c r="F41" s="26">
        <v>3</v>
      </c>
      <c r="G41" s="27">
        <v>40355</v>
      </c>
      <c r="H41" s="30">
        <v>36023.53</v>
      </c>
      <c r="I41" s="30">
        <v>-36023.53</v>
      </c>
      <c r="J41" s="30">
        <v>0</v>
      </c>
      <c r="K41" s="31">
        <f t="shared" si="0"/>
        <v>0</v>
      </c>
      <c r="L41" s="31">
        <f t="shared" si="1"/>
        <v>0</v>
      </c>
      <c r="M41" s="31">
        <f t="shared" si="2"/>
        <v>0</v>
      </c>
      <c r="N41" s="31">
        <f t="shared" si="3"/>
        <v>0</v>
      </c>
      <c r="O41" s="31">
        <f t="shared" si="4"/>
        <v>0</v>
      </c>
      <c r="P41" s="31">
        <f t="shared" si="5"/>
        <v>0</v>
      </c>
      <c r="Q41" s="31">
        <f t="shared" si="6"/>
        <v>0</v>
      </c>
      <c r="R41" s="31">
        <f t="shared" si="7"/>
        <v>0</v>
      </c>
      <c r="S41" s="31">
        <f t="shared" si="8"/>
        <v>0</v>
      </c>
      <c r="T41" s="31">
        <f t="shared" si="9"/>
        <v>0</v>
      </c>
      <c r="U41" s="31">
        <f t="shared" si="10"/>
        <v>0</v>
      </c>
      <c r="V41" s="31">
        <f t="shared" si="11"/>
        <v>0</v>
      </c>
      <c r="W41" s="31">
        <f t="shared" ref="W41" si="47">IF(V41=0,0,IF($H41/$F41&gt;V41,V41,$H41/$F41))</f>
        <v>0</v>
      </c>
      <c r="X41" s="31">
        <f t="shared" si="13"/>
        <v>0</v>
      </c>
    </row>
    <row r="42" spans="1:24">
      <c r="A42" s="26" t="s">
        <v>336</v>
      </c>
      <c r="B42" s="26" t="s">
        <v>496</v>
      </c>
      <c r="C42" s="26" t="s">
        <v>501</v>
      </c>
      <c r="D42" s="27">
        <v>40357</v>
      </c>
      <c r="E42" s="26" t="s">
        <v>502</v>
      </c>
      <c r="F42" s="26">
        <v>3</v>
      </c>
      <c r="G42" s="27"/>
      <c r="H42" s="30">
        <v>12837.9</v>
      </c>
      <c r="I42" s="30">
        <v>-12837.9</v>
      </c>
      <c r="J42" s="30">
        <v>0</v>
      </c>
      <c r="K42" s="31">
        <f t="shared" si="0"/>
        <v>0</v>
      </c>
      <c r="L42" s="31">
        <f t="shared" si="1"/>
        <v>0</v>
      </c>
      <c r="M42" s="31">
        <f t="shared" si="2"/>
        <v>0</v>
      </c>
      <c r="N42" s="31">
        <f t="shared" si="3"/>
        <v>0</v>
      </c>
      <c r="O42" s="31">
        <f t="shared" si="4"/>
        <v>0</v>
      </c>
      <c r="P42" s="31">
        <f t="shared" si="5"/>
        <v>0</v>
      </c>
      <c r="Q42" s="31">
        <f t="shared" si="6"/>
        <v>0</v>
      </c>
      <c r="R42" s="31">
        <f t="shared" si="7"/>
        <v>0</v>
      </c>
      <c r="S42" s="31">
        <f t="shared" si="8"/>
        <v>0</v>
      </c>
      <c r="T42" s="31">
        <f t="shared" si="9"/>
        <v>0</v>
      </c>
      <c r="U42" s="31">
        <f t="shared" si="10"/>
        <v>0</v>
      </c>
      <c r="V42" s="31">
        <f t="shared" si="11"/>
        <v>0</v>
      </c>
      <c r="W42" s="31">
        <f t="shared" ref="W42" si="48">IF(V42=0,0,IF($H42/$F42&gt;V42,V42,$H42/$F42))</f>
        <v>0</v>
      </c>
      <c r="X42" s="31">
        <f t="shared" si="13"/>
        <v>0</v>
      </c>
    </row>
    <row r="43" spans="1:24">
      <c r="A43" s="26" t="s">
        <v>336</v>
      </c>
      <c r="B43" s="26" t="s">
        <v>348</v>
      </c>
      <c r="C43" s="26" t="s">
        <v>377</v>
      </c>
      <c r="D43" s="27">
        <v>40359</v>
      </c>
      <c r="E43" s="26" t="s">
        <v>378</v>
      </c>
      <c r="F43" s="26">
        <v>3</v>
      </c>
      <c r="G43" s="27">
        <v>40359</v>
      </c>
      <c r="H43" s="30">
        <v>256089.28</v>
      </c>
      <c r="I43" s="30">
        <v>-256089.28</v>
      </c>
      <c r="J43" s="30">
        <v>0</v>
      </c>
      <c r="K43" s="31">
        <f t="shared" si="0"/>
        <v>0</v>
      </c>
      <c r="L43" s="31">
        <f t="shared" si="1"/>
        <v>0</v>
      </c>
      <c r="M43" s="31">
        <f t="shared" si="2"/>
        <v>0</v>
      </c>
      <c r="N43" s="31">
        <f t="shared" si="3"/>
        <v>0</v>
      </c>
      <c r="O43" s="31">
        <f t="shared" si="4"/>
        <v>0</v>
      </c>
      <c r="P43" s="31">
        <f t="shared" si="5"/>
        <v>0</v>
      </c>
      <c r="Q43" s="31">
        <f t="shared" si="6"/>
        <v>0</v>
      </c>
      <c r="R43" s="31">
        <f t="shared" si="7"/>
        <v>0</v>
      </c>
      <c r="S43" s="31">
        <f t="shared" si="8"/>
        <v>0</v>
      </c>
      <c r="T43" s="31">
        <f t="shared" si="9"/>
        <v>0</v>
      </c>
      <c r="U43" s="31">
        <f t="shared" si="10"/>
        <v>0</v>
      </c>
      <c r="V43" s="31">
        <f t="shared" si="11"/>
        <v>0</v>
      </c>
      <c r="W43" s="31">
        <f t="shared" ref="W43" si="49">IF(V43=0,0,IF($H43/$F43&gt;V43,V43,$H43/$F43))</f>
        <v>0</v>
      </c>
      <c r="X43" s="31">
        <f t="shared" si="13"/>
        <v>0</v>
      </c>
    </row>
    <row r="44" spans="1:24">
      <c r="A44" s="26" t="s">
        <v>336</v>
      </c>
      <c r="B44" s="26" t="s">
        <v>348</v>
      </c>
      <c r="C44" s="26" t="s">
        <v>369</v>
      </c>
      <c r="D44" s="27">
        <v>40367</v>
      </c>
      <c r="E44" s="26" t="s">
        <v>370</v>
      </c>
      <c r="F44" s="26">
        <v>5</v>
      </c>
      <c r="G44" s="27"/>
      <c r="H44" s="30">
        <v>1634.85</v>
      </c>
      <c r="I44" s="30">
        <v>-1280.5999999999999</v>
      </c>
      <c r="J44" s="30">
        <v>354.25</v>
      </c>
      <c r="K44" s="31">
        <f t="shared" si="0"/>
        <v>326.96999999999997</v>
      </c>
      <c r="L44" s="31">
        <f t="shared" si="1"/>
        <v>27.28000000000003</v>
      </c>
      <c r="M44" s="31">
        <f t="shared" si="2"/>
        <v>27.28000000000003</v>
      </c>
      <c r="N44" s="31">
        <f t="shared" si="3"/>
        <v>0</v>
      </c>
      <c r="O44" s="31">
        <f t="shared" si="4"/>
        <v>0</v>
      </c>
      <c r="P44" s="31">
        <f t="shared" si="5"/>
        <v>0</v>
      </c>
      <c r="Q44" s="31">
        <f t="shared" si="6"/>
        <v>0</v>
      </c>
      <c r="R44" s="31">
        <f t="shared" si="7"/>
        <v>0</v>
      </c>
      <c r="S44" s="31">
        <f t="shared" si="8"/>
        <v>0</v>
      </c>
      <c r="T44" s="31">
        <f t="shared" si="9"/>
        <v>0</v>
      </c>
      <c r="U44" s="31">
        <f t="shared" si="10"/>
        <v>0</v>
      </c>
      <c r="V44" s="31">
        <f t="shared" si="11"/>
        <v>0</v>
      </c>
      <c r="W44" s="31">
        <f t="shared" ref="W44" si="50">IF(V44=0,0,IF($H44/$F44&gt;V44,V44,$H44/$F44))</f>
        <v>0</v>
      </c>
      <c r="X44" s="31">
        <f t="shared" si="13"/>
        <v>0</v>
      </c>
    </row>
    <row r="45" spans="1:24">
      <c r="A45" s="26" t="s">
        <v>336</v>
      </c>
      <c r="B45" s="26" t="s">
        <v>556</v>
      </c>
      <c r="C45" s="26" t="s">
        <v>561</v>
      </c>
      <c r="D45" s="27">
        <v>40395</v>
      </c>
      <c r="E45" s="26" t="s">
        <v>562</v>
      </c>
      <c r="F45" s="26">
        <v>3</v>
      </c>
      <c r="G45" s="27">
        <v>40408</v>
      </c>
      <c r="H45" s="30">
        <v>8652.58</v>
      </c>
      <c r="I45" s="30">
        <v>-8652.58</v>
      </c>
      <c r="J45" s="30">
        <v>0</v>
      </c>
      <c r="K45" s="31">
        <f t="shared" si="0"/>
        <v>0</v>
      </c>
      <c r="L45" s="31">
        <f t="shared" si="1"/>
        <v>0</v>
      </c>
      <c r="M45" s="31">
        <f t="shared" si="2"/>
        <v>0</v>
      </c>
      <c r="N45" s="31">
        <f t="shared" si="3"/>
        <v>0</v>
      </c>
      <c r="O45" s="31">
        <f t="shared" si="4"/>
        <v>0</v>
      </c>
      <c r="P45" s="31">
        <f t="shared" si="5"/>
        <v>0</v>
      </c>
      <c r="Q45" s="31">
        <f t="shared" si="6"/>
        <v>0</v>
      </c>
      <c r="R45" s="31">
        <f t="shared" si="7"/>
        <v>0</v>
      </c>
      <c r="S45" s="31">
        <f t="shared" si="8"/>
        <v>0</v>
      </c>
      <c r="T45" s="31">
        <f t="shared" si="9"/>
        <v>0</v>
      </c>
      <c r="U45" s="31">
        <f t="shared" si="10"/>
        <v>0</v>
      </c>
      <c r="V45" s="31">
        <f t="shared" si="11"/>
        <v>0</v>
      </c>
      <c r="W45" s="31">
        <f t="shared" ref="W45" si="51">IF(V45=0,0,IF($H45/$F45&gt;V45,V45,$H45/$F45))</f>
        <v>0</v>
      </c>
      <c r="X45" s="31">
        <f t="shared" si="13"/>
        <v>0</v>
      </c>
    </row>
    <row r="46" spans="1:24">
      <c r="A46" s="26" t="s">
        <v>336</v>
      </c>
      <c r="B46" s="26" t="s">
        <v>430</v>
      </c>
      <c r="C46" s="26" t="s">
        <v>445</v>
      </c>
      <c r="D46" s="27">
        <v>40403</v>
      </c>
      <c r="E46" s="26" t="s">
        <v>446</v>
      </c>
      <c r="F46" s="26">
        <v>0</v>
      </c>
      <c r="G46" s="27">
        <v>40417</v>
      </c>
      <c r="H46" s="30">
        <v>0</v>
      </c>
      <c r="I46" s="30">
        <v>0</v>
      </c>
      <c r="J46" s="30">
        <v>0</v>
      </c>
      <c r="K46" s="31">
        <f t="shared" si="0"/>
        <v>0</v>
      </c>
      <c r="L46" s="31">
        <f t="shared" si="1"/>
        <v>0</v>
      </c>
      <c r="M46" s="31">
        <f t="shared" si="2"/>
        <v>0</v>
      </c>
      <c r="N46" s="31">
        <f t="shared" si="3"/>
        <v>0</v>
      </c>
      <c r="O46" s="31">
        <f t="shared" si="4"/>
        <v>0</v>
      </c>
      <c r="P46" s="31">
        <f t="shared" si="5"/>
        <v>0</v>
      </c>
      <c r="Q46" s="31">
        <f t="shared" si="6"/>
        <v>0</v>
      </c>
      <c r="R46" s="31">
        <f t="shared" si="7"/>
        <v>0</v>
      </c>
      <c r="S46" s="31">
        <f t="shared" si="8"/>
        <v>0</v>
      </c>
      <c r="T46" s="31">
        <f t="shared" si="9"/>
        <v>0</v>
      </c>
      <c r="U46" s="31">
        <f t="shared" si="10"/>
        <v>0</v>
      </c>
      <c r="V46" s="31">
        <f t="shared" si="11"/>
        <v>0</v>
      </c>
      <c r="W46" s="31">
        <f t="shared" ref="W46" si="52">IF(V46=0,0,IF($H46/$F46&gt;V46,V46,$H46/$F46))</f>
        <v>0</v>
      </c>
      <c r="X46" s="31">
        <f t="shared" si="13"/>
        <v>0</v>
      </c>
    </row>
    <row r="47" spans="1:24">
      <c r="A47" s="26" t="s">
        <v>336</v>
      </c>
      <c r="B47" s="26" t="s">
        <v>556</v>
      </c>
      <c r="C47" s="26" t="s">
        <v>565</v>
      </c>
      <c r="D47" s="27">
        <v>40436</v>
      </c>
      <c r="E47" s="26" t="s">
        <v>566</v>
      </c>
      <c r="F47" s="26">
        <v>0</v>
      </c>
      <c r="G47" s="27">
        <v>40446</v>
      </c>
      <c r="H47" s="30">
        <v>0</v>
      </c>
      <c r="I47" s="30">
        <v>0</v>
      </c>
      <c r="J47" s="30">
        <v>0</v>
      </c>
      <c r="K47" s="31">
        <f t="shared" si="0"/>
        <v>0</v>
      </c>
      <c r="L47" s="31">
        <f t="shared" si="1"/>
        <v>0</v>
      </c>
      <c r="M47" s="31">
        <f t="shared" si="2"/>
        <v>0</v>
      </c>
      <c r="N47" s="31">
        <f t="shared" si="3"/>
        <v>0</v>
      </c>
      <c r="O47" s="31">
        <f t="shared" si="4"/>
        <v>0</v>
      </c>
      <c r="P47" s="31">
        <f t="shared" si="5"/>
        <v>0</v>
      </c>
      <c r="Q47" s="31">
        <f t="shared" si="6"/>
        <v>0</v>
      </c>
      <c r="R47" s="31">
        <f t="shared" si="7"/>
        <v>0</v>
      </c>
      <c r="S47" s="31">
        <f t="shared" si="8"/>
        <v>0</v>
      </c>
      <c r="T47" s="31">
        <f t="shared" si="9"/>
        <v>0</v>
      </c>
      <c r="U47" s="31">
        <f t="shared" si="10"/>
        <v>0</v>
      </c>
      <c r="V47" s="31">
        <f t="shared" si="11"/>
        <v>0</v>
      </c>
      <c r="W47" s="31">
        <f t="shared" ref="W47" si="53">IF(V47=0,0,IF($H47/$F47&gt;V47,V47,$H47/$F47))</f>
        <v>0</v>
      </c>
      <c r="X47" s="31">
        <f t="shared" si="13"/>
        <v>0</v>
      </c>
    </row>
    <row r="48" spans="1:24">
      <c r="A48" s="26" t="s">
        <v>336</v>
      </c>
      <c r="B48" s="26" t="s">
        <v>348</v>
      </c>
      <c r="C48" s="26" t="s">
        <v>375</v>
      </c>
      <c r="D48" s="27">
        <v>40441</v>
      </c>
      <c r="E48" s="26" t="s">
        <v>376</v>
      </c>
      <c r="F48" s="26">
        <v>0</v>
      </c>
      <c r="G48" s="27">
        <v>40442</v>
      </c>
      <c r="H48" s="30">
        <v>0</v>
      </c>
      <c r="I48" s="30">
        <v>0</v>
      </c>
      <c r="J48" s="30">
        <v>0</v>
      </c>
      <c r="K48" s="31">
        <f t="shared" si="0"/>
        <v>0</v>
      </c>
      <c r="L48" s="31">
        <f t="shared" si="1"/>
        <v>0</v>
      </c>
      <c r="M48" s="31">
        <f t="shared" si="2"/>
        <v>0</v>
      </c>
      <c r="N48" s="31">
        <f t="shared" si="3"/>
        <v>0</v>
      </c>
      <c r="O48" s="31">
        <f t="shared" si="4"/>
        <v>0</v>
      </c>
      <c r="P48" s="31">
        <f t="shared" si="5"/>
        <v>0</v>
      </c>
      <c r="Q48" s="31">
        <f t="shared" si="6"/>
        <v>0</v>
      </c>
      <c r="R48" s="31">
        <f t="shared" si="7"/>
        <v>0</v>
      </c>
      <c r="S48" s="31">
        <f t="shared" si="8"/>
        <v>0</v>
      </c>
      <c r="T48" s="31">
        <f t="shared" si="9"/>
        <v>0</v>
      </c>
      <c r="U48" s="31">
        <f t="shared" si="10"/>
        <v>0</v>
      </c>
      <c r="V48" s="31">
        <f t="shared" si="11"/>
        <v>0</v>
      </c>
      <c r="W48" s="31">
        <f t="shared" ref="W48" si="54">IF(V48=0,0,IF($H48/$F48&gt;V48,V48,$H48/$F48))</f>
        <v>0</v>
      </c>
      <c r="X48" s="31">
        <f t="shared" si="13"/>
        <v>0</v>
      </c>
    </row>
    <row r="49" spans="1:24">
      <c r="A49" s="26" t="s">
        <v>336</v>
      </c>
      <c r="B49" s="26" t="s">
        <v>348</v>
      </c>
      <c r="C49" s="26" t="s">
        <v>371</v>
      </c>
      <c r="D49" s="27">
        <v>40445</v>
      </c>
      <c r="E49" s="26" t="s">
        <v>372</v>
      </c>
      <c r="F49" s="26">
        <v>0</v>
      </c>
      <c r="G49" s="27">
        <v>40445</v>
      </c>
      <c r="H49" s="30">
        <v>0</v>
      </c>
      <c r="I49" s="30">
        <v>0</v>
      </c>
      <c r="J49" s="30">
        <v>0</v>
      </c>
      <c r="K49" s="31">
        <f t="shared" si="0"/>
        <v>0</v>
      </c>
      <c r="L49" s="31">
        <f t="shared" si="1"/>
        <v>0</v>
      </c>
      <c r="M49" s="31">
        <f t="shared" si="2"/>
        <v>0</v>
      </c>
      <c r="N49" s="31">
        <f t="shared" si="3"/>
        <v>0</v>
      </c>
      <c r="O49" s="31">
        <f t="shared" si="4"/>
        <v>0</v>
      </c>
      <c r="P49" s="31">
        <f t="shared" si="5"/>
        <v>0</v>
      </c>
      <c r="Q49" s="31">
        <f t="shared" si="6"/>
        <v>0</v>
      </c>
      <c r="R49" s="31">
        <f t="shared" si="7"/>
        <v>0</v>
      </c>
      <c r="S49" s="31">
        <f t="shared" si="8"/>
        <v>0</v>
      </c>
      <c r="T49" s="31">
        <f t="shared" si="9"/>
        <v>0</v>
      </c>
      <c r="U49" s="31">
        <f t="shared" si="10"/>
        <v>0</v>
      </c>
      <c r="V49" s="31">
        <f t="shared" si="11"/>
        <v>0</v>
      </c>
      <c r="W49" s="31">
        <f t="shared" ref="W49" si="55">IF(V49=0,0,IF($H49/$F49&gt;V49,V49,$H49/$F49))</f>
        <v>0</v>
      </c>
      <c r="X49" s="31">
        <f t="shared" si="13"/>
        <v>0</v>
      </c>
    </row>
    <row r="50" spans="1:24">
      <c r="A50" s="26" t="s">
        <v>336</v>
      </c>
      <c r="B50" s="26" t="s">
        <v>348</v>
      </c>
      <c r="C50" s="26" t="s">
        <v>373</v>
      </c>
      <c r="D50" s="27">
        <v>40445</v>
      </c>
      <c r="E50" s="26" t="s">
        <v>374</v>
      </c>
      <c r="F50" s="26">
        <v>0</v>
      </c>
      <c r="G50" s="27">
        <v>40442</v>
      </c>
      <c r="H50" s="30">
        <v>0</v>
      </c>
      <c r="I50" s="30">
        <v>0</v>
      </c>
      <c r="J50" s="30">
        <v>0</v>
      </c>
      <c r="K50" s="31">
        <f t="shared" si="0"/>
        <v>0</v>
      </c>
      <c r="L50" s="31">
        <f t="shared" si="1"/>
        <v>0</v>
      </c>
      <c r="M50" s="31">
        <f t="shared" si="2"/>
        <v>0</v>
      </c>
      <c r="N50" s="31">
        <f t="shared" si="3"/>
        <v>0</v>
      </c>
      <c r="O50" s="31">
        <f t="shared" si="4"/>
        <v>0</v>
      </c>
      <c r="P50" s="31">
        <f t="shared" si="5"/>
        <v>0</v>
      </c>
      <c r="Q50" s="31">
        <f t="shared" si="6"/>
        <v>0</v>
      </c>
      <c r="R50" s="31">
        <f t="shared" si="7"/>
        <v>0</v>
      </c>
      <c r="S50" s="31">
        <f t="shared" si="8"/>
        <v>0</v>
      </c>
      <c r="T50" s="31">
        <f t="shared" si="9"/>
        <v>0</v>
      </c>
      <c r="U50" s="31">
        <f t="shared" si="10"/>
        <v>0</v>
      </c>
      <c r="V50" s="31">
        <f t="shared" si="11"/>
        <v>0</v>
      </c>
      <c r="W50" s="31">
        <f t="shared" ref="W50" si="56">IF(V50=0,0,IF($H50/$F50&gt;V50,V50,$H50/$F50))</f>
        <v>0</v>
      </c>
      <c r="X50" s="31">
        <f t="shared" si="13"/>
        <v>0</v>
      </c>
    </row>
    <row r="51" spans="1:24">
      <c r="A51" s="26" t="s">
        <v>336</v>
      </c>
      <c r="B51" s="26" t="s">
        <v>348</v>
      </c>
      <c r="C51" s="26" t="s">
        <v>381</v>
      </c>
      <c r="D51" s="27">
        <v>40445</v>
      </c>
      <c r="E51" s="26" t="s">
        <v>382</v>
      </c>
      <c r="F51" s="26">
        <v>0</v>
      </c>
      <c r="G51" s="27">
        <v>40445</v>
      </c>
      <c r="H51" s="30">
        <v>0</v>
      </c>
      <c r="I51" s="30">
        <v>0</v>
      </c>
      <c r="J51" s="30">
        <v>0</v>
      </c>
      <c r="K51" s="31">
        <f t="shared" si="0"/>
        <v>0</v>
      </c>
      <c r="L51" s="31">
        <f t="shared" si="1"/>
        <v>0</v>
      </c>
      <c r="M51" s="31">
        <f t="shared" si="2"/>
        <v>0</v>
      </c>
      <c r="N51" s="31">
        <f t="shared" si="3"/>
        <v>0</v>
      </c>
      <c r="O51" s="31">
        <f t="shared" si="4"/>
        <v>0</v>
      </c>
      <c r="P51" s="31">
        <f t="shared" si="5"/>
        <v>0</v>
      </c>
      <c r="Q51" s="31">
        <f t="shared" si="6"/>
        <v>0</v>
      </c>
      <c r="R51" s="31">
        <f t="shared" si="7"/>
        <v>0</v>
      </c>
      <c r="S51" s="31">
        <f t="shared" si="8"/>
        <v>0</v>
      </c>
      <c r="T51" s="31">
        <f t="shared" si="9"/>
        <v>0</v>
      </c>
      <c r="U51" s="31">
        <f t="shared" si="10"/>
        <v>0</v>
      </c>
      <c r="V51" s="31">
        <f t="shared" si="11"/>
        <v>0</v>
      </c>
      <c r="W51" s="31">
        <f t="shared" ref="W51" si="57">IF(V51=0,0,IF($H51/$F51&gt;V51,V51,$H51/$F51))</f>
        <v>0</v>
      </c>
      <c r="X51" s="31">
        <f t="shared" si="13"/>
        <v>0</v>
      </c>
    </row>
    <row r="52" spans="1:24">
      <c r="A52" s="26" t="s">
        <v>336</v>
      </c>
      <c r="B52" s="26" t="s">
        <v>430</v>
      </c>
      <c r="C52" s="26" t="s">
        <v>447</v>
      </c>
      <c r="D52" s="27">
        <v>40445</v>
      </c>
      <c r="E52" s="26" t="s">
        <v>448</v>
      </c>
      <c r="F52" s="26">
        <v>0</v>
      </c>
      <c r="G52" s="27">
        <v>40444</v>
      </c>
      <c r="H52" s="30">
        <v>0</v>
      </c>
      <c r="I52" s="30">
        <v>0</v>
      </c>
      <c r="J52" s="30">
        <v>0</v>
      </c>
      <c r="K52" s="31">
        <f t="shared" si="0"/>
        <v>0</v>
      </c>
      <c r="L52" s="31">
        <f t="shared" si="1"/>
        <v>0</v>
      </c>
      <c r="M52" s="31">
        <f t="shared" si="2"/>
        <v>0</v>
      </c>
      <c r="N52" s="31">
        <f t="shared" si="3"/>
        <v>0</v>
      </c>
      <c r="O52" s="31">
        <f t="shared" si="4"/>
        <v>0</v>
      </c>
      <c r="P52" s="31">
        <f t="shared" si="5"/>
        <v>0</v>
      </c>
      <c r="Q52" s="31">
        <f t="shared" si="6"/>
        <v>0</v>
      </c>
      <c r="R52" s="31">
        <f t="shared" si="7"/>
        <v>0</v>
      </c>
      <c r="S52" s="31">
        <f t="shared" si="8"/>
        <v>0</v>
      </c>
      <c r="T52" s="31">
        <f t="shared" si="9"/>
        <v>0</v>
      </c>
      <c r="U52" s="31">
        <f t="shared" si="10"/>
        <v>0</v>
      </c>
      <c r="V52" s="31">
        <f t="shared" si="11"/>
        <v>0</v>
      </c>
      <c r="W52" s="31">
        <f t="shared" ref="W52" si="58">IF(V52=0,0,IF($H52/$F52&gt;V52,V52,$H52/$F52))</f>
        <v>0</v>
      </c>
      <c r="X52" s="31">
        <f t="shared" si="13"/>
        <v>0</v>
      </c>
    </row>
    <row r="53" spans="1:24">
      <c r="A53" s="26" t="s">
        <v>336</v>
      </c>
      <c r="B53" s="26" t="s">
        <v>496</v>
      </c>
      <c r="C53" s="26" t="s">
        <v>503</v>
      </c>
      <c r="D53" s="27">
        <v>40445</v>
      </c>
      <c r="E53" s="26" t="s">
        <v>504</v>
      </c>
      <c r="F53" s="26">
        <v>0</v>
      </c>
      <c r="G53" s="27">
        <v>40445</v>
      </c>
      <c r="H53" s="30">
        <v>0</v>
      </c>
      <c r="I53" s="30">
        <v>0</v>
      </c>
      <c r="J53" s="30">
        <v>0</v>
      </c>
      <c r="K53" s="31">
        <f t="shared" si="0"/>
        <v>0</v>
      </c>
      <c r="L53" s="31">
        <f t="shared" si="1"/>
        <v>0</v>
      </c>
      <c r="M53" s="31">
        <f t="shared" si="2"/>
        <v>0</v>
      </c>
      <c r="N53" s="31">
        <f t="shared" si="3"/>
        <v>0</v>
      </c>
      <c r="O53" s="31">
        <f t="shared" si="4"/>
        <v>0</v>
      </c>
      <c r="P53" s="31">
        <f t="shared" si="5"/>
        <v>0</v>
      </c>
      <c r="Q53" s="31">
        <f t="shared" si="6"/>
        <v>0</v>
      </c>
      <c r="R53" s="31">
        <f t="shared" si="7"/>
        <v>0</v>
      </c>
      <c r="S53" s="31">
        <f t="shared" si="8"/>
        <v>0</v>
      </c>
      <c r="T53" s="31">
        <f t="shared" si="9"/>
        <v>0</v>
      </c>
      <c r="U53" s="31">
        <f t="shared" si="10"/>
        <v>0</v>
      </c>
      <c r="V53" s="31">
        <f t="shared" si="11"/>
        <v>0</v>
      </c>
      <c r="W53" s="31">
        <f t="shared" ref="W53" si="59">IF(V53=0,0,IF($H53/$F53&gt;V53,V53,$H53/$F53))</f>
        <v>0</v>
      </c>
      <c r="X53" s="31">
        <f t="shared" si="13"/>
        <v>0</v>
      </c>
    </row>
    <row r="54" spans="1:24">
      <c r="A54" s="26" t="s">
        <v>336</v>
      </c>
      <c r="B54" s="26" t="s">
        <v>556</v>
      </c>
      <c r="C54" s="26" t="s">
        <v>559</v>
      </c>
      <c r="D54" s="27">
        <v>40445</v>
      </c>
      <c r="E54" s="26" t="s">
        <v>560</v>
      </c>
      <c r="F54" s="26">
        <v>0</v>
      </c>
      <c r="G54" s="27">
        <v>40446</v>
      </c>
      <c r="H54" s="30">
        <v>0</v>
      </c>
      <c r="I54" s="30">
        <v>0</v>
      </c>
      <c r="J54" s="30">
        <v>0</v>
      </c>
      <c r="K54" s="31">
        <f t="shared" si="0"/>
        <v>0</v>
      </c>
      <c r="L54" s="31">
        <f t="shared" si="1"/>
        <v>0</v>
      </c>
      <c r="M54" s="31">
        <f t="shared" si="2"/>
        <v>0</v>
      </c>
      <c r="N54" s="31">
        <f t="shared" si="3"/>
        <v>0</v>
      </c>
      <c r="O54" s="31">
        <f t="shared" si="4"/>
        <v>0</v>
      </c>
      <c r="P54" s="31">
        <f t="shared" si="5"/>
        <v>0</v>
      </c>
      <c r="Q54" s="31">
        <f t="shared" si="6"/>
        <v>0</v>
      </c>
      <c r="R54" s="31">
        <f t="shared" si="7"/>
        <v>0</v>
      </c>
      <c r="S54" s="31">
        <f t="shared" si="8"/>
        <v>0</v>
      </c>
      <c r="T54" s="31">
        <f t="shared" si="9"/>
        <v>0</v>
      </c>
      <c r="U54" s="31">
        <f t="shared" si="10"/>
        <v>0</v>
      </c>
      <c r="V54" s="31">
        <f t="shared" si="11"/>
        <v>0</v>
      </c>
      <c r="W54" s="31">
        <f t="shared" ref="W54" si="60">IF(V54=0,0,IF($H54/$F54&gt;V54,V54,$H54/$F54))</f>
        <v>0</v>
      </c>
      <c r="X54" s="31">
        <f t="shared" si="13"/>
        <v>0</v>
      </c>
    </row>
    <row r="55" spans="1:24">
      <c r="A55" s="26" t="s">
        <v>336</v>
      </c>
      <c r="B55" s="26" t="s">
        <v>348</v>
      </c>
      <c r="C55" s="26" t="s">
        <v>379</v>
      </c>
      <c r="D55" s="27">
        <v>40449</v>
      </c>
      <c r="E55" s="26" t="s">
        <v>380</v>
      </c>
      <c r="F55" s="26">
        <v>0</v>
      </c>
      <c r="G55" s="27">
        <v>40451</v>
      </c>
      <c r="H55" s="30">
        <v>0</v>
      </c>
      <c r="I55" s="30">
        <v>0</v>
      </c>
      <c r="J55" s="30">
        <v>0</v>
      </c>
      <c r="K55" s="31">
        <f t="shared" si="0"/>
        <v>0</v>
      </c>
      <c r="L55" s="31">
        <f t="shared" si="1"/>
        <v>0</v>
      </c>
      <c r="M55" s="31">
        <f t="shared" si="2"/>
        <v>0</v>
      </c>
      <c r="N55" s="31">
        <f t="shared" si="3"/>
        <v>0</v>
      </c>
      <c r="O55" s="31">
        <f t="shared" si="4"/>
        <v>0</v>
      </c>
      <c r="P55" s="31">
        <f t="shared" si="5"/>
        <v>0</v>
      </c>
      <c r="Q55" s="31">
        <f t="shared" si="6"/>
        <v>0</v>
      </c>
      <c r="R55" s="31">
        <f t="shared" si="7"/>
        <v>0</v>
      </c>
      <c r="S55" s="31">
        <f t="shared" si="8"/>
        <v>0</v>
      </c>
      <c r="T55" s="31">
        <f t="shared" si="9"/>
        <v>0</v>
      </c>
      <c r="U55" s="31">
        <f t="shared" si="10"/>
        <v>0</v>
      </c>
      <c r="V55" s="31">
        <f t="shared" si="11"/>
        <v>0</v>
      </c>
      <c r="W55" s="31">
        <f t="shared" ref="W55" si="61">IF(V55=0,0,IF($H55/$F55&gt;V55,V55,$H55/$F55))</f>
        <v>0</v>
      </c>
      <c r="X55" s="31">
        <f t="shared" si="13"/>
        <v>0</v>
      </c>
    </row>
    <row r="56" spans="1:24">
      <c r="A56" s="26" t="s">
        <v>339</v>
      </c>
      <c r="B56" s="26" t="s">
        <v>348</v>
      </c>
      <c r="C56" s="26" t="s">
        <v>383</v>
      </c>
      <c r="D56" s="27">
        <v>40449</v>
      </c>
      <c r="E56" s="26" t="s">
        <v>384</v>
      </c>
      <c r="F56" s="26">
        <v>0</v>
      </c>
      <c r="G56" s="27">
        <v>40471</v>
      </c>
      <c r="H56" s="30">
        <v>0</v>
      </c>
      <c r="I56" s="30">
        <v>0</v>
      </c>
      <c r="J56" s="30">
        <v>0</v>
      </c>
      <c r="K56" s="31">
        <f t="shared" si="0"/>
        <v>0</v>
      </c>
      <c r="L56" s="31">
        <f t="shared" si="1"/>
        <v>0</v>
      </c>
      <c r="M56" s="31">
        <f t="shared" si="2"/>
        <v>0</v>
      </c>
      <c r="N56" s="31">
        <f t="shared" si="3"/>
        <v>0</v>
      </c>
      <c r="O56" s="31">
        <f t="shared" si="4"/>
        <v>0</v>
      </c>
      <c r="P56" s="31">
        <f t="shared" si="5"/>
        <v>0</v>
      </c>
      <c r="Q56" s="31">
        <f t="shared" si="6"/>
        <v>0</v>
      </c>
      <c r="R56" s="31">
        <f t="shared" si="7"/>
        <v>0</v>
      </c>
      <c r="S56" s="31">
        <f t="shared" si="8"/>
        <v>0</v>
      </c>
      <c r="T56" s="31">
        <f t="shared" si="9"/>
        <v>0</v>
      </c>
      <c r="U56" s="31">
        <f t="shared" si="10"/>
        <v>0</v>
      </c>
      <c r="V56" s="31">
        <f t="shared" si="11"/>
        <v>0</v>
      </c>
      <c r="W56" s="31">
        <f t="shared" ref="W56" si="62">IF(V56=0,0,IF($H56/$F56&gt;V56,V56,$H56/$F56))</f>
        <v>0</v>
      </c>
      <c r="X56" s="31">
        <f t="shared" si="13"/>
        <v>0</v>
      </c>
    </row>
    <row r="57" spans="1:24">
      <c r="A57" s="26" t="s">
        <v>339</v>
      </c>
      <c r="B57" s="26" t="s">
        <v>556</v>
      </c>
      <c r="C57" s="26" t="s">
        <v>567</v>
      </c>
      <c r="D57" s="27">
        <v>40474</v>
      </c>
      <c r="E57" s="26" t="s">
        <v>568</v>
      </c>
      <c r="F57" s="26">
        <v>4</v>
      </c>
      <c r="G57" s="27"/>
      <c r="H57" s="30">
        <v>183074.25</v>
      </c>
      <c r="I57" s="30">
        <v>-171632.1</v>
      </c>
      <c r="J57" s="30">
        <v>11442.15</v>
      </c>
      <c r="K57" s="31">
        <f t="shared" si="0"/>
        <v>11442.15</v>
      </c>
      <c r="L57" s="31">
        <f t="shared" si="1"/>
        <v>0</v>
      </c>
      <c r="M57" s="31">
        <f t="shared" si="2"/>
        <v>0</v>
      </c>
      <c r="N57" s="31">
        <f t="shared" si="3"/>
        <v>0</v>
      </c>
      <c r="O57" s="31">
        <f t="shared" si="4"/>
        <v>0</v>
      </c>
      <c r="P57" s="31">
        <f t="shared" si="5"/>
        <v>0</v>
      </c>
      <c r="Q57" s="31">
        <f t="shared" si="6"/>
        <v>0</v>
      </c>
      <c r="R57" s="31">
        <f t="shared" si="7"/>
        <v>0</v>
      </c>
      <c r="S57" s="31">
        <f t="shared" si="8"/>
        <v>0</v>
      </c>
      <c r="T57" s="31">
        <f t="shared" si="9"/>
        <v>0</v>
      </c>
      <c r="U57" s="31">
        <f t="shared" si="10"/>
        <v>0</v>
      </c>
      <c r="V57" s="31">
        <f t="shared" si="11"/>
        <v>0</v>
      </c>
      <c r="W57" s="31">
        <f t="shared" ref="W57" si="63">IF(V57=0,0,IF($H57/$F57&gt;V57,V57,$H57/$F57))</f>
        <v>0</v>
      </c>
      <c r="X57" s="31">
        <f t="shared" si="13"/>
        <v>0</v>
      </c>
    </row>
    <row r="58" spans="1:24">
      <c r="A58" s="26" t="s">
        <v>339</v>
      </c>
      <c r="B58" s="26" t="s">
        <v>556</v>
      </c>
      <c r="C58" s="26" t="s">
        <v>563</v>
      </c>
      <c r="D58" s="27">
        <v>40500</v>
      </c>
      <c r="E58" s="26" t="s">
        <v>564</v>
      </c>
      <c r="F58" s="26">
        <v>8</v>
      </c>
      <c r="G58" s="27">
        <v>40503</v>
      </c>
      <c r="H58" s="30">
        <v>13429</v>
      </c>
      <c r="I58" s="30">
        <v>-6014.88</v>
      </c>
      <c r="J58" s="30">
        <v>7414.12</v>
      </c>
      <c r="K58" s="31">
        <f t="shared" si="0"/>
        <v>1678.625</v>
      </c>
      <c r="L58" s="31">
        <f t="shared" si="1"/>
        <v>5735.4949999999999</v>
      </c>
      <c r="M58" s="31">
        <f t="shared" si="2"/>
        <v>1678.625</v>
      </c>
      <c r="N58" s="31">
        <f t="shared" si="3"/>
        <v>4056.87</v>
      </c>
      <c r="O58" s="31">
        <f t="shared" si="4"/>
        <v>1678.625</v>
      </c>
      <c r="P58" s="31">
        <f t="shared" si="5"/>
        <v>2378.2449999999999</v>
      </c>
      <c r="Q58" s="31">
        <f t="shared" si="6"/>
        <v>1678.625</v>
      </c>
      <c r="R58" s="31">
        <f t="shared" si="7"/>
        <v>699.61999999999989</v>
      </c>
      <c r="S58" s="31">
        <f t="shared" si="8"/>
        <v>699.61999999999989</v>
      </c>
      <c r="T58" s="31">
        <f t="shared" si="9"/>
        <v>0</v>
      </c>
      <c r="U58" s="31">
        <f t="shared" si="10"/>
        <v>0</v>
      </c>
      <c r="V58" s="31">
        <f t="shared" si="11"/>
        <v>0</v>
      </c>
      <c r="W58" s="31">
        <f t="shared" ref="W58" si="64">IF(V58=0,0,IF($H58/$F58&gt;V58,V58,$H58/$F58))</f>
        <v>0</v>
      </c>
      <c r="X58" s="31">
        <f t="shared" si="13"/>
        <v>0</v>
      </c>
    </row>
    <row r="59" spans="1:24">
      <c r="A59" s="26" t="s">
        <v>339</v>
      </c>
      <c r="B59" s="26" t="s">
        <v>556</v>
      </c>
      <c r="C59" s="26" t="s">
        <v>569</v>
      </c>
      <c r="D59" s="27">
        <v>40535</v>
      </c>
      <c r="E59" s="26" t="s">
        <v>570</v>
      </c>
      <c r="F59" s="26">
        <v>5</v>
      </c>
      <c r="G59" s="27">
        <v>40538</v>
      </c>
      <c r="H59" s="30">
        <v>41925</v>
      </c>
      <c r="I59" s="30">
        <v>-29347.5</v>
      </c>
      <c r="J59" s="30">
        <v>12577.5</v>
      </c>
      <c r="K59" s="31">
        <f t="shared" si="0"/>
        <v>8385</v>
      </c>
      <c r="L59" s="31">
        <f t="shared" si="1"/>
        <v>4192.5</v>
      </c>
      <c r="M59" s="31">
        <f t="shared" si="2"/>
        <v>4192.5</v>
      </c>
      <c r="N59" s="31">
        <f t="shared" si="3"/>
        <v>0</v>
      </c>
      <c r="O59" s="31">
        <f t="shared" si="4"/>
        <v>0</v>
      </c>
      <c r="P59" s="31">
        <f t="shared" si="5"/>
        <v>0</v>
      </c>
      <c r="Q59" s="31">
        <f t="shared" si="6"/>
        <v>0</v>
      </c>
      <c r="R59" s="31">
        <f t="shared" si="7"/>
        <v>0</v>
      </c>
      <c r="S59" s="31">
        <f t="shared" si="8"/>
        <v>0</v>
      </c>
      <c r="T59" s="31">
        <f t="shared" si="9"/>
        <v>0</v>
      </c>
      <c r="U59" s="31">
        <f t="shared" si="10"/>
        <v>0</v>
      </c>
      <c r="V59" s="31">
        <f t="shared" si="11"/>
        <v>0</v>
      </c>
      <c r="W59" s="31">
        <f t="shared" ref="W59" si="65">IF(V59=0,0,IF($H59/$F59&gt;V59,V59,$H59/$F59))</f>
        <v>0</v>
      </c>
      <c r="X59" s="31">
        <f t="shared" si="13"/>
        <v>0</v>
      </c>
    </row>
    <row r="60" spans="1:24">
      <c r="A60" s="26" t="s">
        <v>339</v>
      </c>
      <c r="B60" s="26" t="s">
        <v>541</v>
      </c>
      <c r="C60" s="26" t="s">
        <v>542</v>
      </c>
      <c r="D60" s="27">
        <v>40633</v>
      </c>
      <c r="E60" s="26" t="s">
        <v>543</v>
      </c>
      <c r="F60" s="26">
        <v>5</v>
      </c>
      <c r="G60" s="27">
        <v>40629</v>
      </c>
      <c r="H60" s="30">
        <v>1650</v>
      </c>
      <c r="I60" s="30">
        <v>-1072.5</v>
      </c>
      <c r="J60" s="30">
        <v>577.5</v>
      </c>
      <c r="K60" s="31">
        <f t="shared" si="0"/>
        <v>330</v>
      </c>
      <c r="L60" s="31">
        <f t="shared" si="1"/>
        <v>247.5</v>
      </c>
      <c r="M60" s="31">
        <f t="shared" si="2"/>
        <v>247.5</v>
      </c>
      <c r="N60" s="31">
        <f t="shared" si="3"/>
        <v>0</v>
      </c>
      <c r="O60" s="31">
        <f t="shared" si="4"/>
        <v>0</v>
      </c>
      <c r="P60" s="31">
        <f t="shared" si="5"/>
        <v>0</v>
      </c>
      <c r="Q60" s="31">
        <f t="shared" si="6"/>
        <v>0</v>
      </c>
      <c r="R60" s="31">
        <f t="shared" si="7"/>
        <v>0</v>
      </c>
      <c r="S60" s="31">
        <f t="shared" si="8"/>
        <v>0</v>
      </c>
      <c r="T60" s="31">
        <f t="shared" si="9"/>
        <v>0</v>
      </c>
      <c r="U60" s="31">
        <f t="shared" si="10"/>
        <v>0</v>
      </c>
      <c r="V60" s="31">
        <f t="shared" si="11"/>
        <v>0</v>
      </c>
      <c r="W60" s="31">
        <f t="shared" ref="W60" si="66">IF(V60=0,0,IF($H60/$F60&gt;V60,V60,$H60/$F60))</f>
        <v>0</v>
      </c>
      <c r="X60" s="31">
        <f t="shared" si="13"/>
        <v>0</v>
      </c>
    </row>
    <row r="61" spans="1:24">
      <c r="A61" s="26" t="s">
        <v>342</v>
      </c>
      <c r="B61" s="26" t="s">
        <v>430</v>
      </c>
      <c r="C61" s="26" t="s">
        <v>449</v>
      </c>
      <c r="D61" s="27">
        <v>40684</v>
      </c>
      <c r="E61" s="26" t="s">
        <v>450</v>
      </c>
      <c r="F61" s="26">
        <v>5</v>
      </c>
      <c r="G61" s="27">
        <v>40503</v>
      </c>
      <c r="H61" s="30">
        <v>70639.47</v>
      </c>
      <c r="I61" s="30">
        <v>-50624.86</v>
      </c>
      <c r="J61" s="30">
        <v>20014.61</v>
      </c>
      <c r="K61" s="31">
        <f t="shared" si="0"/>
        <v>14127.894</v>
      </c>
      <c r="L61" s="31">
        <f t="shared" si="1"/>
        <v>5886.7160000000003</v>
      </c>
      <c r="M61" s="31">
        <f t="shared" si="2"/>
        <v>5886.7160000000003</v>
      </c>
      <c r="N61" s="31">
        <f t="shared" si="3"/>
        <v>0</v>
      </c>
      <c r="O61" s="31">
        <f t="shared" si="4"/>
        <v>0</v>
      </c>
      <c r="P61" s="31">
        <f t="shared" si="5"/>
        <v>0</v>
      </c>
      <c r="Q61" s="31">
        <f t="shared" si="6"/>
        <v>0</v>
      </c>
      <c r="R61" s="31">
        <f t="shared" si="7"/>
        <v>0</v>
      </c>
      <c r="S61" s="31">
        <f t="shared" si="8"/>
        <v>0</v>
      </c>
      <c r="T61" s="31">
        <f t="shared" si="9"/>
        <v>0</v>
      </c>
      <c r="U61" s="31">
        <f t="shared" si="10"/>
        <v>0</v>
      </c>
      <c r="V61" s="31">
        <f t="shared" si="11"/>
        <v>0</v>
      </c>
      <c r="W61" s="31">
        <f t="shared" ref="W61" si="67">IF(V61=0,0,IF($H61/$F61&gt;V61,V61,$H61/$F61))</f>
        <v>0</v>
      </c>
      <c r="X61" s="31">
        <f t="shared" si="13"/>
        <v>0</v>
      </c>
    </row>
    <row r="62" spans="1:24">
      <c r="A62" s="26" t="s">
        <v>339</v>
      </c>
      <c r="B62" s="26" t="s">
        <v>496</v>
      </c>
      <c r="C62" s="26" t="s">
        <v>505</v>
      </c>
      <c r="D62" s="27">
        <v>40684</v>
      </c>
      <c r="E62" s="26" t="s">
        <v>506</v>
      </c>
      <c r="F62" s="26">
        <v>8</v>
      </c>
      <c r="G62" s="27">
        <v>40566</v>
      </c>
      <c r="H62" s="30">
        <v>604553.39</v>
      </c>
      <c r="I62" s="30">
        <v>-258194.63</v>
      </c>
      <c r="J62" s="30">
        <v>346358.76</v>
      </c>
      <c r="K62" s="31">
        <f t="shared" si="0"/>
        <v>75569.173750000002</v>
      </c>
      <c r="L62" s="31">
        <f t="shared" si="1"/>
        <v>270789.58624999999</v>
      </c>
      <c r="M62" s="31">
        <f t="shared" si="2"/>
        <v>75569.173750000002</v>
      </c>
      <c r="N62" s="31">
        <f t="shared" si="3"/>
        <v>195220.41249999998</v>
      </c>
      <c r="O62" s="31">
        <f t="shared" si="4"/>
        <v>75569.173750000002</v>
      </c>
      <c r="P62" s="31">
        <f t="shared" si="5"/>
        <v>119651.23874999997</v>
      </c>
      <c r="Q62" s="31">
        <f t="shared" si="6"/>
        <v>75569.173750000002</v>
      </c>
      <c r="R62" s="31">
        <f t="shared" si="7"/>
        <v>44082.064999999973</v>
      </c>
      <c r="S62" s="31">
        <f t="shared" si="8"/>
        <v>44082.064999999973</v>
      </c>
      <c r="T62" s="31">
        <f t="shared" si="9"/>
        <v>0</v>
      </c>
      <c r="U62" s="31">
        <f t="shared" si="10"/>
        <v>0</v>
      </c>
      <c r="V62" s="31">
        <f t="shared" si="11"/>
        <v>0</v>
      </c>
      <c r="W62" s="31">
        <f t="shared" ref="W62" si="68">IF(V62=0,0,IF($H62/$F62&gt;V62,V62,$H62/$F62))</f>
        <v>0</v>
      </c>
      <c r="X62" s="31">
        <f t="shared" si="13"/>
        <v>0</v>
      </c>
    </row>
    <row r="63" spans="1:24">
      <c r="A63" s="26" t="s">
        <v>339</v>
      </c>
      <c r="B63" s="26" t="s">
        <v>556</v>
      </c>
      <c r="C63" s="26" t="s">
        <v>571</v>
      </c>
      <c r="D63" s="27">
        <v>40684</v>
      </c>
      <c r="E63" s="26" t="s">
        <v>572</v>
      </c>
      <c r="F63" s="26">
        <v>3</v>
      </c>
      <c r="G63" s="27">
        <v>40629</v>
      </c>
      <c r="H63" s="30">
        <v>1606.8</v>
      </c>
      <c r="I63" s="30">
        <v>-1606.8</v>
      </c>
      <c r="J63" s="30">
        <v>0</v>
      </c>
      <c r="K63" s="31">
        <f t="shared" si="0"/>
        <v>0</v>
      </c>
      <c r="L63" s="31">
        <f t="shared" si="1"/>
        <v>0</v>
      </c>
      <c r="M63" s="31">
        <f t="shared" si="2"/>
        <v>0</v>
      </c>
      <c r="N63" s="31">
        <f t="shared" si="3"/>
        <v>0</v>
      </c>
      <c r="O63" s="31">
        <f t="shared" si="4"/>
        <v>0</v>
      </c>
      <c r="P63" s="31">
        <f t="shared" si="5"/>
        <v>0</v>
      </c>
      <c r="Q63" s="31">
        <f t="shared" si="6"/>
        <v>0</v>
      </c>
      <c r="R63" s="31">
        <f t="shared" si="7"/>
        <v>0</v>
      </c>
      <c r="S63" s="31">
        <f t="shared" si="8"/>
        <v>0</v>
      </c>
      <c r="T63" s="31">
        <f t="shared" si="9"/>
        <v>0</v>
      </c>
      <c r="U63" s="31">
        <f t="shared" si="10"/>
        <v>0</v>
      </c>
      <c r="V63" s="31">
        <f t="shared" si="11"/>
        <v>0</v>
      </c>
      <c r="W63" s="31">
        <f t="shared" ref="W63" si="69">IF(V63=0,0,IF($H63/$F63&gt;V63,V63,$H63/$F63))</f>
        <v>0</v>
      </c>
      <c r="X63" s="31">
        <f t="shared" si="13"/>
        <v>0</v>
      </c>
    </row>
    <row r="64" spans="1:24">
      <c r="A64" s="26" t="s">
        <v>339</v>
      </c>
      <c r="B64" s="26" t="s">
        <v>528</v>
      </c>
      <c r="C64" s="26" t="s">
        <v>533</v>
      </c>
      <c r="D64" s="27">
        <v>40717</v>
      </c>
      <c r="E64" s="26" t="s">
        <v>534</v>
      </c>
      <c r="F64" s="26">
        <v>5</v>
      </c>
      <c r="G64" s="27">
        <v>40720</v>
      </c>
      <c r="H64" s="30">
        <v>12000</v>
      </c>
      <c r="I64" s="30">
        <v>-7200</v>
      </c>
      <c r="J64" s="30">
        <v>4800</v>
      </c>
      <c r="K64" s="31">
        <f t="shared" si="0"/>
        <v>2400</v>
      </c>
      <c r="L64" s="31">
        <f t="shared" si="1"/>
        <v>2400</v>
      </c>
      <c r="M64" s="31">
        <f t="shared" si="2"/>
        <v>2400</v>
      </c>
      <c r="N64" s="31">
        <f t="shared" si="3"/>
        <v>0</v>
      </c>
      <c r="O64" s="31">
        <f t="shared" si="4"/>
        <v>0</v>
      </c>
      <c r="P64" s="31">
        <f t="shared" si="5"/>
        <v>0</v>
      </c>
      <c r="Q64" s="31">
        <f t="shared" si="6"/>
        <v>0</v>
      </c>
      <c r="R64" s="31">
        <f t="shared" si="7"/>
        <v>0</v>
      </c>
      <c r="S64" s="31">
        <f t="shared" si="8"/>
        <v>0</v>
      </c>
      <c r="T64" s="31">
        <f t="shared" si="9"/>
        <v>0</v>
      </c>
      <c r="U64" s="31">
        <f t="shared" si="10"/>
        <v>0</v>
      </c>
      <c r="V64" s="31">
        <f t="shared" si="11"/>
        <v>0</v>
      </c>
      <c r="W64" s="31">
        <f t="shared" ref="W64" si="70">IF(V64=0,0,IF($H64/$F64&gt;V64,V64,$H64/$F64))</f>
        <v>0</v>
      </c>
      <c r="X64" s="31">
        <f t="shared" si="13"/>
        <v>0</v>
      </c>
    </row>
    <row r="65" spans="1:24">
      <c r="A65" s="26" t="s">
        <v>339</v>
      </c>
      <c r="B65" s="26" t="s">
        <v>348</v>
      </c>
      <c r="C65" s="26" t="s">
        <v>385</v>
      </c>
      <c r="D65" s="27">
        <v>40754</v>
      </c>
      <c r="E65" s="26" t="s">
        <v>386</v>
      </c>
      <c r="F65" s="26">
        <v>3</v>
      </c>
      <c r="G65" s="27">
        <v>40782</v>
      </c>
      <c r="H65" s="30">
        <v>748.41</v>
      </c>
      <c r="I65" s="30">
        <v>-727.62</v>
      </c>
      <c r="J65" s="30">
        <v>20.79</v>
      </c>
      <c r="K65" s="31">
        <f t="shared" si="0"/>
        <v>20.79</v>
      </c>
      <c r="L65" s="31">
        <f t="shared" si="1"/>
        <v>0</v>
      </c>
      <c r="M65" s="31">
        <f t="shared" si="2"/>
        <v>0</v>
      </c>
      <c r="N65" s="31">
        <f t="shared" si="3"/>
        <v>0</v>
      </c>
      <c r="O65" s="31">
        <f t="shared" si="4"/>
        <v>0</v>
      </c>
      <c r="P65" s="31">
        <f t="shared" si="5"/>
        <v>0</v>
      </c>
      <c r="Q65" s="31">
        <f t="shared" si="6"/>
        <v>0</v>
      </c>
      <c r="R65" s="31">
        <f t="shared" si="7"/>
        <v>0</v>
      </c>
      <c r="S65" s="31">
        <f t="shared" si="8"/>
        <v>0</v>
      </c>
      <c r="T65" s="31">
        <f t="shared" si="9"/>
        <v>0</v>
      </c>
      <c r="U65" s="31">
        <f t="shared" si="10"/>
        <v>0</v>
      </c>
      <c r="V65" s="31">
        <f t="shared" si="11"/>
        <v>0</v>
      </c>
      <c r="W65" s="31">
        <f t="shared" ref="W65" si="71">IF(V65=0,0,IF($H65/$F65&gt;V65,V65,$H65/$F65))</f>
        <v>0</v>
      </c>
      <c r="X65" s="31">
        <f t="shared" si="13"/>
        <v>0</v>
      </c>
    </row>
    <row r="66" spans="1:24">
      <c r="A66" s="26" t="s">
        <v>339</v>
      </c>
      <c r="B66" s="26" t="s">
        <v>348</v>
      </c>
      <c r="C66" s="26" t="s">
        <v>387</v>
      </c>
      <c r="D66" s="27">
        <v>40754</v>
      </c>
      <c r="E66" s="26" t="s">
        <v>388</v>
      </c>
      <c r="F66" s="26">
        <v>3</v>
      </c>
      <c r="G66" s="27">
        <v>40754</v>
      </c>
      <c r="H66" s="30">
        <v>748.41</v>
      </c>
      <c r="I66" s="30">
        <v>-727.62</v>
      </c>
      <c r="J66" s="30">
        <v>20.79</v>
      </c>
      <c r="K66" s="31">
        <f t="shared" si="0"/>
        <v>20.79</v>
      </c>
      <c r="L66" s="31">
        <f t="shared" si="1"/>
        <v>0</v>
      </c>
      <c r="M66" s="31">
        <f t="shared" si="2"/>
        <v>0</v>
      </c>
      <c r="N66" s="31">
        <f t="shared" si="3"/>
        <v>0</v>
      </c>
      <c r="O66" s="31">
        <f t="shared" si="4"/>
        <v>0</v>
      </c>
      <c r="P66" s="31">
        <f t="shared" si="5"/>
        <v>0</v>
      </c>
      <c r="Q66" s="31">
        <f t="shared" si="6"/>
        <v>0</v>
      </c>
      <c r="R66" s="31">
        <f t="shared" si="7"/>
        <v>0</v>
      </c>
      <c r="S66" s="31">
        <f t="shared" si="8"/>
        <v>0</v>
      </c>
      <c r="T66" s="31">
        <f t="shared" si="9"/>
        <v>0</v>
      </c>
      <c r="U66" s="31">
        <f t="shared" si="10"/>
        <v>0</v>
      </c>
      <c r="V66" s="31">
        <f t="shared" si="11"/>
        <v>0</v>
      </c>
      <c r="W66" s="31">
        <f t="shared" ref="W66" si="72">IF(V66=0,0,IF($H66/$F66&gt;V66,V66,$H66/$F66))</f>
        <v>0</v>
      </c>
      <c r="X66" s="31">
        <f t="shared" si="13"/>
        <v>0</v>
      </c>
    </row>
    <row r="67" spans="1:24">
      <c r="A67" s="26" t="s">
        <v>339</v>
      </c>
      <c r="B67" s="26" t="s">
        <v>546</v>
      </c>
      <c r="C67" s="26" t="s">
        <v>547</v>
      </c>
      <c r="D67" s="27">
        <v>40808</v>
      </c>
      <c r="E67" s="26" t="s">
        <v>548</v>
      </c>
      <c r="F67" s="26">
        <v>3</v>
      </c>
      <c r="G67" s="27"/>
      <c r="H67" s="30">
        <v>4693.3599999999997</v>
      </c>
      <c r="I67" s="30">
        <v>-4432.6000000000004</v>
      </c>
      <c r="J67" s="30">
        <v>260.76</v>
      </c>
      <c r="K67" s="31">
        <f t="shared" si="0"/>
        <v>260.76</v>
      </c>
      <c r="L67" s="31">
        <f t="shared" si="1"/>
        <v>0</v>
      </c>
      <c r="M67" s="31">
        <f t="shared" si="2"/>
        <v>0</v>
      </c>
      <c r="N67" s="31">
        <f t="shared" si="3"/>
        <v>0</v>
      </c>
      <c r="O67" s="31">
        <f t="shared" si="4"/>
        <v>0</v>
      </c>
      <c r="P67" s="31">
        <f t="shared" si="5"/>
        <v>0</v>
      </c>
      <c r="Q67" s="31">
        <f t="shared" si="6"/>
        <v>0</v>
      </c>
      <c r="R67" s="31">
        <f t="shared" si="7"/>
        <v>0</v>
      </c>
      <c r="S67" s="31">
        <f t="shared" si="8"/>
        <v>0</v>
      </c>
      <c r="T67" s="31">
        <f t="shared" si="9"/>
        <v>0</v>
      </c>
      <c r="U67" s="31">
        <f t="shared" si="10"/>
        <v>0</v>
      </c>
      <c r="V67" s="31">
        <f t="shared" si="11"/>
        <v>0</v>
      </c>
      <c r="W67" s="31">
        <f t="shared" ref="W67" si="73">IF(V67=0,0,IF($H67/$F67&gt;V67,V67,$H67/$F67))</f>
        <v>0</v>
      </c>
      <c r="X67" s="31">
        <f t="shared" si="13"/>
        <v>0</v>
      </c>
    </row>
    <row r="68" spans="1:24">
      <c r="A68" s="26" t="s">
        <v>339</v>
      </c>
      <c r="B68" s="26" t="s">
        <v>556</v>
      </c>
      <c r="C68" s="26" t="s">
        <v>575</v>
      </c>
      <c r="D68" s="27">
        <v>40808</v>
      </c>
      <c r="E68" s="26" t="s">
        <v>548</v>
      </c>
      <c r="F68" s="26">
        <v>3</v>
      </c>
      <c r="G68" s="27">
        <v>40808</v>
      </c>
      <c r="H68" s="30">
        <v>1173.3399999999999</v>
      </c>
      <c r="I68" s="30">
        <v>-1108.1400000000001</v>
      </c>
      <c r="J68" s="30">
        <v>65.2</v>
      </c>
      <c r="K68" s="31">
        <f t="shared" si="0"/>
        <v>65.2</v>
      </c>
      <c r="L68" s="31">
        <f t="shared" si="1"/>
        <v>0</v>
      </c>
      <c r="M68" s="31">
        <f t="shared" si="2"/>
        <v>0</v>
      </c>
      <c r="N68" s="31">
        <f t="shared" si="3"/>
        <v>0</v>
      </c>
      <c r="O68" s="31">
        <f t="shared" si="4"/>
        <v>0</v>
      </c>
      <c r="P68" s="31">
        <f t="shared" si="5"/>
        <v>0</v>
      </c>
      <c r="Q68" s="31">
        <f t="shared" si="6"/>
        <v>0</v>
      </c>
      <c r="R68" s="31">
        <f t="shared" si="7"/>
        <v>0</v>
      </c>
      <c r="S68" s="31">
        <f t="shared" si="8"/>
        <v>0</v>
      </c>
      <c r="T68" s="31">
        <f t="shared" si="9"/>
        <v>0</v>
      </c>
      <c r="U68" s="31">
        <f t="shared" si="10"/>
        <v>0</v>
      </c>
      <c r="V68" s="31">
        <f t="shared" si="11"/>
        <v>0</v>
      </c>
      <c r="W68" s="31">
        <f t="shared" ref="W68" si="74">IF(V68=0,0,IF($H68/$F68&gt;V68,V68,$H68/$F68))</f>
        <v>0</v>
      </c>
      <c r="X68" s="31">
        <f t="shared" si="13"/>
        <v>0</v>
      </c>
    </row>
    <row r="69" spans="1:24">
      <c r="A69" s="26" t="s">
        <v>339</v>
      </c>
      <c r="B69" s="26" t="s">
        <v>325</v>
      </c>
      <c r="C69" s="26" t="s">
        <v>340</v>
      </c>
      <c r="D69" s="27">
        <v>40817</v>
      </c>
      <c r="E69" s="26" t="s">
        <v>341</v>
      </c>
      <c r="F69" s="26">
        <v>23.17</v>
      </c>
      <c r="G69" s="27">
        <v>40817</v>
      </c>
      <c r="H69" s="30">
        <v>23500</v>
      </c>
      <c r="I69" s="30">
        <v>-3296.67</v>
      </c>
      <c r="J69" s="30">
        <v>20203.330000000002</v>
      </c>
      <c r="K69" s="31">
        <f t="shared" si="0"/>
        <v>1014.2425550280534</v>
      </c>
      <c r="L69" s="31">
        <f t="shared" si="1"/>
        <v>19189.087444971949</v>
      </c>
      <c r="M69" s="31">
        <f t="shared" si="2"/>
        <v>1014.2425550280534</v>
      </c>
      <c r="N69" s="31">
        <f t="shared" si="3"/>
        <v>18174.844889943895</v>
      </c>
      <c r="O69" s="31">
        <f t="shared" si="4"/>
        <v>1014.2425550280534</v>
      </c>
      <c r="P69" s="31">
        <f t="shared" si="5"/>
        <v>17160.602334915842</v>
      </c>
      <c r="Q69" s="31">
        <f t="shared" si="6"/>
        <v>1014.2425550280534</v>
      </c>
      <c r="R69" s="31">
        <f t="shared" si="7"/>
        <v>16146.359779887789</v>
      </c>
      <c r="S69" s="31">
        <f t="shared" si="8"/>
        <v>1014.2425550280534</v>
      </c>
      <c r="T69" s="31">
        <f t="shared" si="9"/>
        <v>15132.117224859736</v>
      </c>
      <c r="U69" s="31">
        <f t="shared" si="10"/>
        <v>1014.2425550280534</v>
      </c>
      <c r="V69" s="31">
        <f t="shared" si="11"/>
        <v>14117.874669831683</v>
      </c>
      <c r="W69" s="31">
        <f t="shared" ref="W69" si="75">IF(V69=0,0,IF($H69/$F69&gt;V69,V69,$H69/$F69))</f>
        <v>1014.2425550280534</v>
      </c>
      <c r="X69" s="31">
        <f t="shared" si="13"/>
        <v>13103.63211480363</v>
      </c>
    </row>
    <row r="70" spans="1:24">
      <c r="A70" s="26" t="s">
        <v>339</v>
      </c>
      <c r="B70" s="26" t="s">
        <v>348</v>
      </c>
      <c r="C70" s="26" t="s">
        <v>389</v>
      </c>
      <c r="D70" s="27">
        <v>40817</v>
      </c>
      <c r="E70" s="26" t="s">
        <v>390</v>
      </c>
      <c r="F70" s="26">
        <v>3</v>
      </c>
      <c r="G70" s="27">
        <v>40817</v>
      </c>
      <c r="H70" s="30">
        <v>25960.23</v>
      </c>
      <c r="I70" s="30">
        <v>-24517.99</v>
      </c>
      <c r="J70" s="30">
        <v>1442.24</v>
      </c>
      <c r="K70" s="31">
        <f t="shared" si="0"/>
        <v>1442.24</v>
      </c>
      <c r="L70" s="31">
        <f t="shared" si="1"/>
        <v>0</v>
      </c>
      <c r="M70" s="31">
        <f t="shared" si="2"/>
        <v>0</v>
      </c>
      <c r="N70" s="31">
        <f t="shared" si="3"/>
        <v>0</v>
      </c>
      <c r="O70" s="31">
        <f t="shared" si="4"/>
        <v>0</v>
      </c>
      <c r="P70" s="31">
        <f t="shared" si="5"/>
        <v>0</v>
      </c>
      <c r="Q70" s="31">
        <f t="shared" si="6"/>
        <v>0</v>
      </c>
      <c r="R70" s="31">
        <f t="shared" si="7"/>
        <v>0</v>
      </c>
      <c r="S70" s="31">
        <f t="shared" si="8"/>
        <v>0</v>
      </c>
      <c r="T70" s="31">
        <f t="shared" si="9"/>
        <v>0</v>
      </c>
      <c r="U70" s="31">
        <f t="shared" si="10"/>
        <v>0</v>
      </c>
      <c r="V70" s="31">
        <f t="shared" si="11"/>
        <v>0</v>
      </c>
      <c r="W70" s="31">
        <f t="shared" ref="W70" si="76">IF(V70=0,0,IF($H70/$F70&gt;V70,V70,$H70/$F70))</f>
        <v>0</v>
      </c>
      <c r="X70" s="31">
        <f t="shared" si="13"/>
        <v>0</v>
      </c>
    </row>
    <row r="71" spans="1:24">
      <c r="A71" s="26" t="s">
        <v>339</v>
      </c>
      <c r="B71" s="26" t="s">
        <v>430</v>
      </c>
      <c r="C71" s="26" t="s">
        <v>455</v>
      </c>
      <c r="D71" s="27">
        <v>40817</v>
      </c>
      <c r="E71" s="26" t="s">
        <v>456</v>
      </c>
      <c r="F71" s="26">
        <v>5</v>
      </c>
      <c r="G71" s="27">
        <v>40817</v>
      </c>
      <c r="H71" s="30">
        <v>104532.01</v>
      </c>
      <c r="I71" s="30">
        <v>-57492.6</v>
      </c>
      <c r="J71" s="30">
        <v>47039.41</v>
      </c>
      <c r="K71" s="31">
        <f t="shared" ref="K71:K133" si="77">IF(J71=0,0,IF($H71/$F71&gt;J71,J71,$H71/$F71))</f>
        <v>20906.401999999998</v>
      </c>
      <c r="L71" s="31">
        <f t="shared" ref="L71:L129" si="78">IF((J71-K71)&lt;0,0,(J71-K71))</f>
        <v>26133.008000000005</v>
      </c>
      <c r="M71" s="31">
        <f t="shared" ref="M71:M133" si="79">IF(L71=0,0,IF($H71/$F71&gt;L71,L71,$H71/$F71))</f>
        <v>20906.401999999998</v>
      </c>
      <c r="N71" s="31">
        <f t="shared" ref="N71:N129" si="80">IF((L71-M71)&lt;0,0,(L71-M71))</f>
        <v>5226.606000000007</v>
      </c>
      <c r="O71" s="31">
        <f t="shared" ref="O71:O133" si="81">IF(N71=0,0,IF($H71/$F71&gt;N71,N71,$H71/$F71))</f>
        <v>5226.606000000007</v>
      </c>
      <c r="P71" s="31">
        <f t="shared" ref="P71:P129" si="82">IF((N71-O71)&lt;0,0,(N71-O71))</f>
        <v>0</v>
      </c>
      <c r="Q71" s="31">
        <f t="shared" ref="Q71:Q133" si="83">IF(P71=0,0,IF($H71/$F71&gt;P71,P71,$H71/$F71))</f>
        <v>0</v>
      </c>
      <c r="R71" s="31">
        <f t="shared" ref="R71:R129" si="84">IF((P71-Q71)&lt;0,0,(P71-Q71))</f>
        <v>0</v>
      </c>
      <c r="S71" s="31">
        <f t="shared" ref="S71:S133" si="85">IF(R71=0,0,IF($H71/$F71&gt;R71,R71,$H71/$F71))</f>
        <v>0</v>
      </c>
      <c r="T71" s="31">
        <f t="shared" ref="T71:T129" si="86">IF((R71-S71)&lt;0,0,(R71-S71))</f>
        <v>0</v>
      </c>
      <c r="U71" s="31">
        <f t="shared" ref="U71:U133" si="87">IF(T71=0,0,IF($H71/$F71&gt;T71,T71,$H71/$F71))</f>
        <v>0</v>
      </c>
      <c r="V71" s="31">
        <f t="shared" ref="V71:V129" si="88">IF((T71-U71)&lt;0,0,(T71-U71))</f>
        <v>0</v>
      </c>
      <c r="W71" s="31">
        <f t="shared" ref="W71" si="89">IF(V71=0,0,IF($H71/$F71&gt;V71,V71,$H71/$F71))</f>
        <v>0</v>
      </c>
      <c r="X71" s="31">
        <f t="shared" ref="X71:X129" si="90">IF((V71-W71)&lt;0,0,(V71-W71))</f>
        <v>0</v>
      </c>
    </row>
    <row r="72" spans="1:24">
      <c r="A72" s="26" t="s">
        <v>339</v>
      </c>
      <c r="B72" s="26" t="s">
        <v>511</v>
      </c>
      <c r="C72" s="26" t="s">
        <v>526</v>
      </c>
      <c r="D72" s="27">
        <v>40817</v>
      </c>
      <c r="E72" s="26" t="s">
        <v>527</v>
      </c>
      <c r="F72" s="26">
        <v>5</v>
      </c>
      <c r="G72" s="27">
        <v>40817</v>
      </c>
      <c r="H72" s="30">
        <v>10130</v>
      </c>
      <c r="I72" s="30">
        <v>-5740.22</v>
      </c>
      <c r="J72" s="30">
        <v>4389.78</v>
      </c>
      <c r="K72" s="31">
        <f t="shared" si="77"/>
        <v>2026</v>
      </c>
      <c r="L72" s="31">
        <f t="shared" si="78"/>
        <v>2363.7799999999997</v>
      </c>
      <c r="M72" s="31">
        <f t="shared" si="79"/>
        <v>2026</v>
      </c>
      <c r="N72" s="31">
        <f t="shared" si="80"/>
        <v>337.77999999999975</v>
      </c>
      <c r="O72" s="31">
        <f t="shared" si="81"/>
        <v>337.77999999999975</v>
      </c>
      <c r="P72" s="31">
        <f t="shared" si="82"/>
        <v>0</v>
      </c>
      <c r="Q72" s="31">
        <f t="shared" si="83"/>
        <v>0</v>
      </c>
      <c r="R72" s="31">
        <f t="shared" si="84"/>
        <v>0</v>
      </c>
      <c r="S72" s="31">
        <f t="shared" si="85"/>
        <v>0</v>
      </c>
      <c r="T72" s="31">
        <f t="shared" si="86"/>
        <v>0</v>
      </c>
      <c r="U72" s="31">
        <f t="shared" si="87"/>
        <v>0</v>
      </c>
      <c r="V72" s="31">
        <f t="shared" si="88"/>
        <v>0</v>
      </c>
      <c r="W72" s="31">
        <f t="shared" ref="W72" si="91">IF(V72=0,0,IF($H72/$F72&gt;V72,V72,$H72/$F72))</f>
        <v>0</v>
      </c>
      <c r="X72" s="31">
        <f t="shared" si="90"/>
        <v>0</v>
      </c>
    </row>
    <row r="73" spans="1:24">
      <c r="A73" s="26" t="s">
        <v>339</v>
      </c>
      <c r="B73" s="26" t="s">
        <v>556</v>
      </c>
      <c r="C73" s="26" t="s">
        <v>573</v>
      </c>
      <c r="D73" s="27">
        <v>40817</v>
      </c>
      <c r="E73" s="26" t="s">
        <v>574</v>
      </c>
      <c r="F73" s="26">
        <v>8</v>
      </c>
      <c r="G73" s="27">
        <v>40817</v>
      </c>
      <c r="H73" s="30">
        <v>5478.66</v>
      </c>
      <c r="I73" s="30">
        <v>-1940.32</v>
      </c>
      <c r="J73" s="30">
        <v>3538.34</v>
      </c>
      <c r="K73" s="31">
        <f t="shared" si="77"/>
        <v>684.83249999999998</v>
      </c>
      <c r="L73" s="31">
        <f t="shared" si="78"/>
        <v>2853.5075000000002</v>
      </c>
      <c r="M73" s="31">
        <f t="shared" si="79"/>
        <v>684.83249999999998</v>
      </c>
      <c r="N73" s="31">
        <f t="shared" si="80"/>
        <v>2168.6750000000002</v>
      </c>
      <c r="O73" s="31">
        <f t="shared" si="81"/>
        <v>684.83249999999998</v>
      </c>
      <c r="P73" s="31">
        <f t="shared" si="82"/>
        <v>1483.8425000000002</v>
      </c>
      <c r="Q73" s="31">
        <f t="shared" si="83"/>
        <v>684.83249999999998</v>
      </c>
      <c r="R73" s="31">
        <f t="shared" si="84"/>
        <v>799.01000000000022</v>
      </c>
      <c r="S73" s="31">
        <f t="shared" si="85"/>
        <v>684.83249999999998</v>
      </c>
      <c r="T73" s="31">
        <f t="shared" si="86"/>
        <v>114.17750000000024</v>
      </c>
      <c r="U73" s="31">
        <f t="shared" si="87"/>
        <v>114.17750000000024</v>
      </c>
      <c r="V73" s="31">
        <f t="shared" si="88"/>
        <v>0</v>
      </c>
      <c r="W73" s="31">
        <f t="shared" ref="W73" si="92">IF(V73=0,0,IF($H73/$F73&gt;V73,V73,$H73/$F73))</f>
        <v>0</v>
      </c>
      <c r="X73" s="31">
        <f t="shared" si="90"/>
        <v>0</v>
      </c>
    </row>
    <row r="74" spans="1:24">
      <c r="A74" s="26" t="s">
        <v>342</v>
      </c>
      <c r="B74" s="26" t="s">
        <v>546</v>
      </c>
      <c r="C74" s="26" t="s">
        <v>549</v>
      </c>
      <c r="D74" s="27">
        <v>40837</v>
      </c>
      <c r="E74" s="26" t="s">
        <v>550</v>
      </c>
      <c r="F74" s="26">
        <v>4</v>
      </c>
      <c r="G74" s="27"/>
      <c r="H74" s="30">
        <v>7044.57</v>
      </c>
      <c r="I74" s="30">
        <v>-4696.32</v>
      </c>
      <c r="J74" s="30">
        <v>2348.25</v>
      </c>
      <c r="K74" s="31">
        <f t="shared" si="77"/>
        <v>1761.1424999999999</v>
      </c>
      <c r="L74" s="31">
        <f t="shared" si="78"/>
        <v>587.10750000000007</v>
      </c>
      <c r="M74" s="31">
        <f t="shared" si="79"/>
        <v>587.10750000000007</v>
      </c>
      <c r="N74" s="31">
        <f t="shared" si="80"/>
        <v>0</v>
      </c>
      <c r="O74" s="31">
        <f t="shared" si="81"/>
        <v>0</v>
      </c>
      <c r="P74" s="31">
        <f t="shared" si="82"/>
        <v>0</v>
      </c>
      <c r="Q74" s="31">
        <f t="shared" si="83"/>
        <v>0</v>
      </c>
      <c r="R74" s="31">
        <f t="shared" si="84"/>
        <v>0</v>
      </c>
      <c r="S74" s="31">
        <f t="shared" si="85"/>
        <v>0</v>
      </c>
      <c r="T74" s="31">
        <f t="shared" si="86"/>
        <v>0</v>
      </c>
      <c r="U74" s="31">
        <f t="shared" si="87"/>
        <v>0</v>
      </c>
      <c r="V74" s="31">
        <f t="shared" si="88"/>
        <v>0</v>
      </c>
      <c r="W74" s="31">
        <f t="shared" ref="W74" si="93">IF(V74=0,0,IF($H74/$F74&gt;V74,V74,$H74/$F74))</f>
        <v>0</v>
      </c>
      <c r="X74" s="31">
        <f t="shared" si="90"/>
        <v>0</v>
      </c>
    </row>
    <row r="75" spans="1:24">
      <c r="A75" s="26" t="s">
        <v>342</v>
      </c>
      <c r="B75" s="26" t="s">
        <v>430</v>
      </c>
      <c r="C75" s="26" t="s">
        <v>457</v>
      </c>
      <c r="D75" s="27">
        <v>40847</v>
      </c>
      <c r="E75" s="26" t="s">
        <v>458</v>
      </c>
      <c r="F75" s="26">
        <v>3</v>
      </c>
      <c r="G75" s="27"/>
      <c r="H75" s="30">
        <v>1949.98</v>
      </c>
      <c r="I75" s="30">
        <v>-1679.13</v>
      </c>
      <c r="J75" s="30">
        <v>270.85000000000002</v>
      </c>
      <c r="K75" s="31">
        <f t="shared" si="77"/>
        <v>270.85000000000002</v>
      </c>
      <c r="L75" s="31">
        <f t="shared" si="78"/>
        <v>0</v>
      </c>
      <c r="M75" s="31">
        <f t="shared" si="79"/>
        <v>0</v>
      </c>
      <c r="N75" s="31">
        <f t="shared" si="80"/>
        <v>0</v>
      </c>
      <c r="O75" s="31">
        <f t="shared" si="81"/>
        <v>0</v>
      </c>
      <c r="P75" s="31">
        <f t="shared" si="82"/>
        <v>0</v>
      </c>
      <c r="Q75" s="31">
        <f t="shared" si="83"/>
        <v>0</v>
      </c>
      <c r="R75" s="31">
        <f t="shared" si="84"/>
        <v>0</v>
      </c>
      <c r="S75" s="31">
        <f t="shared" si="85"/>
        <v>0</v>
      </c>
      <c r="T75" s="31">
        <f t="shared" si="86"/>
        <v>0</v>
      </c>
      <c r="U75" s="31">
        <f t="shared" si="87"/>
        <v>0</v>
      </c>
      <c r="V75" s="31">
        <f t="shared" si="88"/>
        <v>0</v>
      </c>
      <c r="W75" s="31">
        <f t="shared" ref="W75" si="94">IF(V75=0,0,IF($H75/$F75&gt;V75,V75,$H75/$F75))</f>
        <v>0</v>
      </c>
      <c r="X75" s="31">
        <f t="shared" si="90"/>
        <v>0</v>
      </c>
    </row>
    <row r="76" spans="1:24">
      <c r="A76" s="26" t="s">
        <v>342</v>
      </c>
      <c r="B76" s="26" t="s">
        <v>348</v>
      </c>
      <c r="C76" s="26" t="s">
        <v>391</v>
      </c>
      <c r="D76" s="27">
        <v>40866</v>
      </c>
      <c r="E76" s="26" t="s">
        <v>392</v>
      </c>
      <c r="F76" s="26">
        <v>4</v>
      </c>
      <c r="G76" s="27">
        <v>39957</v>
      </c>
      <c r="H76" s="30">
        <v>54401.57</v>
      </c>
      <c r="I76" s="30">
        <v>-36267.65</v>
      </c>
      <c r="J76" s="30">
        <v>18133.919999999998</v>
      </c>
      <c r="K76" s="31">
        <f t="shared" si="77"/>
        <v>13600.3925</v>
      </c>
      <c r="L76" s="31">
        <f t="shared" si="78"/>
        <v>4533.5274999999983</v>
      </c>
      <c r="M76" s="31">
        <f t="shared" si="79"/>
        <v>4533.5274999999983</v>
      </c>
      <c r="N76" s="31">
        <f t="shared" si="80"/>
        <v>0</v>
      </c>
      <c r="O76" s="31">
        <f t="shared" si="81"/>
        <v>0</v>
      </c>
      <c r="P76" s="31">
        <f t="shared" si="82"/>
        <v>0</v>
      </c>
      <c r="Q76" s="31">
        <f t="shared" si="83"/>
        <v>0</v>
      </c>
      <c r="R76" s="31">
        <f t="shared" si="84"/>
        <v>0</v>
      </c>
      <c r="S76" s="31">
        <f t="shared" si="85"/>
        <v>0</v>
      </c>
      <c r="T76" s="31">
        <f t="shared" si="86"/>
        <v>0</v>
      </c>
      <c r="U76" s="31">
        <f t="shared" si="87"/>
        <v>0</v>
      </c>
      <c r="V76" s="31">
        <f t="shared" si="88"/>
        <v>0</v>
      </c>
      <c r="W76" s="31">
        <f t="shared" ref="W76" si="95">IF(V76=0,0,IF($H76/$F76&gt;V76,V76,$H76/$F76))</f>
        <v>0</v>
      </c>
      <c r="X76" s="31">
        <f t="shared" si="90"/>
        <v>0</v>
      </c>
    </row>
    <row r="77" spans="1:24">
      <c r="A77" s="26" t="s">
        <v>342</v>
      </c>
      <c r="B77" s="26" t="s">
        <v>430</v>
      </c>
      <c r="C77" s="26" t="s">
        <v>461</v>
      </c>
      <c r="D77" s="27">
        <v>40917</v>
      </c>
      <c r="E77" s="26" t="s">
        <v>462</v>
      </c>
      <c r="F77" s="26">
        <v>3</v>
      </c>
      <c r="G77" s="27"/>
      <c r="H77" s="30">
        <v>2079.2199999999998</v>
      </c>
      <c r="I77" s="30">
        <v>-1732.66</v>
      </c>
      <c r="J77" s="30">
        <v>346.56</v>
      </c>
      <c r="K77" s="31">
        <f t="shared" si="77"/>
        <v>346.56</v>
      </c>
      <c r="L77" s="31">
        <f t="shared" si="78"/>
        <v>0</v>
      </c>
      <c r="M77" s="31">
        <f t="shared" si="79"/>
        <v>0</v>
      </c>
      <c r="N77" s="31">
        <f t="shared" si="80"/>
        <v>0</v>
      </c>
      <c r="O77" s="31">
        <f t="shared" si="81"/>
        <v>0</v>
      </c>
      <c r="P77" s="31">
        <f t="shared" si="82"/>
        <v>0</v>
      </c>
      <c r="Q77" s="31">
        <f t="shared" si="83"/>
        <v>0</v>
      </c>
      <c r="R77" s="31">
        <f t="shared" si="84"/>
        <v>0</v>
      </c>
      <c r="S77" s="31">
        <f t="shared" si="85"/>
        <v>0</v>
      </c>
      <c r="T77" s="31">
        <f t="shared" si="86"/>
        <v>0</v>
      </c>
      <c r="U77" s="31">
        <f t="shared" si="87"/>
        <v>0</v>
      </c>
      <c r="V77" s="31">
        <f t="shared" si="88"/>
        <v>0</v>
      </c>
      <c r="W77" s="31">
        <f t="shared" ref="W77" si="96">IF(V77=0,0,IF($H77/$F77&gt;V77,V77,$H77/$F77))</f>
        <v>0</v>
      </c>
      <c r="X77" s="31">
        <f t="shared" si="90"/>
        <v>0</v>
      </c>
    </row>
    <row r="78" spans="1:24">
      <c r="A78" s="26" t="s">
        <v>342</v>
      </c>
      <c r="B78" s="26" t="s">
        <v>430</v>
      </c>
      <c r="C78" s="26" t="s">
        <v>453</v>
      </c>
      <c r="D78" s="27">
        <v>40927</v>
      </c>
      <c r="E78" s="26" t="s">
        <v>454</v>
      </c>
      <c r="F78" s="26">
        <v>5</v>
      </c>
      <c r="G78" s="27"/>
      <c r="H78" s="30">
        <v>1687.76</v>
      </c>
      <c r="I78" s="30">
        <v>-928.25</v>
      </c>
      <c r="J78" s="30">
        <v>759.51</v>
      </c>
      <c r="K78" s="31">
        <f t="shared" si="77"/>
        <v>337.55200000000002</v>
      </c>
      <c r="L78" s="31">
        <f t="shared" si="78"/>
        <v>421.95799999999997</v>
      </c>
      <c r="M78" s="31">
        <f t="shared" si="79"/>
        <v>337.55200000000002</v>
      </c>
      <c r="N78" s="31">
        <f t="shared" si="80"/>
        <v>84.405999999999949</v>
      </c>
      <c r="O78" s="31">
        <f t="shared" si="81"/>
        <v>84.405999999999949</v>
      </c>
      <c r="P78" s="31">
        <f t="shared" si="82"/>
        <v>0</v>
      </c>
      <c r="Q78" s="31">
        <f t="shared" si="83"/>
        <v>0</v>
      </c>
      <c r="R78" s="31">
        <f t="shared" si="84"/>
        <v>0</v>
      </c>
      <c r="S78" s="31">
        <f t="shared" si="85"/>
        <v>0</v>
      </c>
      <c r="T78" s="31">
        <f t="shared" si="86"/>
        <v>0</v>
      </c>
      <c r="U78" s="31">
        <f t="shared" si="87"/>
        <v>0</v>
      </c>
      <c r="V78" s="31">
        <f t="shared" si="88"/>
        <v>0</v>
      </c>
      <c r="W78" s="31">
        <f t="shared" ref="W78" si="97">IF(V78=0,0,IF($H78/$F78&gt;V78,V78,$H78/$F78))</f>
        <v>0</v>
      </c>
      <c r="X78" s="31">
        <f t="shared" si="90"/>
        <v>0</v>
      </c>
    </row>
    <row r="79" spans="1:24">
      <c r="A79" s="26" t="s">
        <v>342</v>
      </c>
      <c r="B79" s="26" t="s">
        <v>348</v>
      </c>
      <c r="C79" s="26" t="s">
        <v>395</v>
      </c>
      <c r="D79" s="27">
        <v>40953</v>
      </c>
      <c r="E79" s="26" t="s">
        <v>396</v>
      </c>
      <c r="F79" s="26">
        <v>4</v>
      </c>
      <c r="G79" s="27"/>
      <c r="H79" s="30">
        <v>4669.8599999999997</v>
      </c>
      <c r="I79" s="30">
        <v>-2626.77</v>
      </c>
      <c r="J79" s="30">
        <v>2043.09</v>
      </c>
      <c r="K79" s="31">
        <f t="shared" si="77"/>
        <v>1167.4649999999999</v>
      </c>
      <c r="L79" s="31">
        <f t="shared" si="78"/>
        <v>875.625</v>
      </c>
      <c r="M79" s="31">
        <f t="shared" si="79"/>
        <v>875.625</v>
      </c>
      <c r="N79" s="31">
        <f t="shared" si="80"/>
        <v>0</v>
      </c>
      <c r="O79" s="31">
        <f t="shared" si="81"/>
        <v>0</v>
      </c>
      <c r="P79" s="31">
        <f t="shared" si="82"/>
        <v>0</v>
      </c>
      <c r="Q79" s="31">
        <f t="shared" si="83"/>
        <v>0</v>
      </c>
      <c r="R79" s="31">
        <f t="shared" si="84"/>
        <v>0</v>
      </c>
      <c r="S79" s="31">
        <f t="shared" si="85"/>
        <v>0</v>
      </c>
      <c r="T79" s="31">
        <f t="shared" si="86"/>
        <v>0</v>
      </c>
      <c r="U79" s="31">
        <f t="shared" si="87"/>
        <v>0</v>
      </c>
      <c r="V79" s="31">
        <f t="shared" si="88"/>
        <v>0</v>
      </c>
      <c r="W79" s="31">
        <f t="shared" ref="W79" si="98">IF(V79=0,0,IF($H79/$F79&gt;V79,V79,$H79/$F79))</f>
        <v>0</v>
      </c>
      <c r="X79" s="31">
        <f t="shared" si="90"/>
        <v>0</v>
      </c>
    </row>
    <row r="80" spans="1:24">
      <c r="A80" s="26" t="s">
        <v>342</v>
      </c>
      <c r="B80" s="26" t="s">
        <v>348</v>
      </c>
      <c r="C80" s="26" t="s">
        <v>397</v>
      </c>
      <c r="D80" s="27">
        <v>40957</v>
      </c>
      <c r="E80" s="26" t="s">
        <v>398</v>
      </c>
      <c r="F80" s="26">
        <v>4</v>
      </c>
      <c r="G80" s="27"/>
      <c r="H80" s="30">
        <v>14807.32</v>
      </c>
      <c r="I80" s="30">
        <v>-8946.01</v>
      </c>
      <c r="J80" s="30">
        <v>5861.31</v>
      </c>
      <c r="K80" s="31">
        <f t="shared" si="77"/>
        <v>3701.83</v>
      </c>
      <c r="L80" s="31">
        <f t="shared" si="78"/>
        <v>2159.4800000000005</v>
      </c>
      <c r="M80" s="31">
        <f t="shared" si="79"/>
        <v>2159.4800000000005</v>
      </c>
      <c r="N80" s="31">
        <f t="shared" si="80"/>
        <v>0</v>
      </c>
      <c r="O80" s="31">
        <f t="shared" si="81"/>
        <v>0</v>
      </c>
      <c r="P80" s="31">
        <f t="shared" si="82"/>
        <v>0</v>
      </c>
      <c r="Q80" s="31">
        <f t="shared" si="83"/>
        <v>0</v>
      </c>
      <c r="R80" s="31">
        <f t="shared" si="84"/>
        <v>0</v>
      </c>
      <c r="S80" s="31">
        <f t="shared" si="85"/>
        <v>0</v>
      </c>
      <c r="T80" s="31">
        <f t="shared" si="86"/>
        <v>0</v>
      </c>
      <c r="U80" s="31">
        <f t="shared" si="87"/>
        <v>0</v>
      </c>
      <c r="V80" s="31">
        <f t="shared" si="88"/>
        <v>0</v>
      </c>
      <c r="W80" s="31">
        <f t="shared" ref="W80" si="99">IF(V80=0,0,IF($H80/$F80&gt;V80,V80,$H80/$F80))</f>
        <v>0</v>
      </c>
      <c r="X80" s="31">
        <f t="shared" si="90"/>
        <v>0</v>
      </c>
    </row>
    <row r="81" spans="1:24">
      <c r="A81" s="26" t="s">
        <v>342</v>
      </c>
      <c r="B81" s="26" t="s">
        <v>348</v>
      </c>
      <c r="C81" s="26" t="s">
        <v>401</v>
      </c>
      <c r="D81" s="27">
        <v>40959</v>
      </c>
      <c r="E81" s="26" t="s">
        <v>402</v>
      </c>
      <c r="F81" s="26">
        <v>4</v>
      </c>
      <c r="G81" s="27"/>
      <c r="H81" s="30">
        <v>3093.42</v>
      </c>
      <c r="I81" s="30">
        <v>-1739.97</v>
      </c>
      <c r="J81" s="30">
        <v>1353.45</v>
      </c>
      <c r="K81" s="31">
        <f t="shared" si="77"/>
        <v>773.35500000000002</v>
      </c>
      <c r="L81" s="31">
        <f t="shared" si="78"/>
        <v>580.09500000000003</v>
      </c>
      <c r="M81" s="31">
        <f t="shared" si="79"/>
        <v>580.09500000000003</v>
      </c>
      <c r="N81" s="31">
        <f t="shared" si="80"/>
        <v>0</v>
      </c>
      <c r="O81" s="31">
        <f t="shared" si="81"/>
        <v>0</v>
      </c>
      <c r="P81" s="31">
        <f t="shared" si="82"/>
        <v>0</v>
      </c>
      <c r="Q81" s="31">
        <f t="shared" si="83"/>
        <v>0</v>
      </c>
      <c r="R81" s="31">
        <f t="shared" si="84"/>
        <v>0</v>
      </c>
      <c r="S81" s="31">
        <f t="shared" si="85"/>
        <v>0</v>
      </c>
      <c r="T81" s="31">
        <f t="shared" si="86"/>
        <v>0</v>
      </c>
      <c r="U81" s="31">
        <f t="shared" si="87"/>
        <v>0</v>
      </c>
      <c r="V81" s="31">
        <f t="shared" si="88"/>
        <v>0</v>
      </c>
      <c r="W81" s="31">
        <f t="shared" ref="W81" si="100">IF(V81=0,0,IF($H81/$F81&gt;V81,V81,$H81/$F81))</f>
        <v>0</v>
      </c>
      <c r="X81" s="31">
        <f t="shared" si="90"/>
        <v>0</v>
      </c>
    </row>
    <row r="82" spans="1:24">
      <c r="A82" s="26" t="s">
        <v>342</v>
      </c>
      <c r="B82" s="26" t="s">
        <v>430</v>
      </c>
      <c r="C82" s="26" t="s">
        <v>459</v>
      </c>
      <c r="D82" s="27">
        <v>40991</v>
      </c>
      <c r="E82" s="26" t="s">
        <v>460</v>
      </c>
      <c r="F82" s="26">
        <v>5</v>
      </c>
      <c r="G82" s="27"/>
      <c r="H82" s="30">
        <v>9194.4500000000007</v>
      </c>
      <c r="I82" s="30">
        <v>-4597.2</v>
      </c>
      <c r="J82" s="30">
        <v>4597.25</v>
      </c>
      <c r="K82" s="31">
        <f t="shared" si="77"/>
        <v>1838.89</v>
      </c>
      <c r="L82" s="31">
        <f t="shared" si="78"/>
        <v>2758.3599999999997</v>
      </c>
      <c r="M82" s="31">
        <f t="shared" si="79"/>
        <v>1838.89</v>
      </c>
      <c r="N82" s="31">
        <f t="shared" si="80"/>
        <v>919.46999999999957</v>
      </c>
      <c r="O82" s="31">
        <f t="shared" si="81"/>
        <v>919.46999999999957</v>
      </c>
      <c r="P82" s="31">
        <f t="shared" si="82"/>
        <v>0</v>
      </c>
      <c r="Q82" s="31">
        <f t="shared" si="83"/>
        <v>0</v>
      </c>
      <c r="R82" s="31">
        <f t="shared" si="84"/>
        <v>0</v>
      </c>
      <c r="S82" s="31">
        <f t="shared" si="85"/>
        <v>0</v>
      </c>
      <c r="T82" s="31">
        <f t="shared" si="86"/>
        <v>0</v>
      </c>
      <c r="U82" s="31">
        <f t="shared" si="87"/>
        <v>0</v>
      </c>
      <c r="V82" s="31">
        <f t="shared" si="88"/>
        <v>0</v>
      </c>
      <c r="W82" s="31">
        <f t="shared" ref="W82" si="101">IF(V82=0,0,IF($H82/$F82&gt;V82,V82,$H82/$F82))</f>
        <v>0</v>
      </c>
      <c r="X82" s="31">
        <f t="shared" si="90"/>
        <v>0</v>
      </c>
    </row>
    <row r="83" spans="1:24">
      <c r="A83" s="26" t="s">
        <v>342</v>
      </c>
      <c r="B83" s="26" t="s">
        <v>430</v>
      </c>
      <c r="C83" s="26" t="s">
        <v>463</v>
      </c>
      <c r="D83" s="27">
        <v>41018</v>
      </c>
      <c r="E83" s="26" t="s">
        <v>464</v>
      </c>
      <c r="F83" s="26">
        <v>5</v>
      </c>
      <c r="G83" s="27">
        <v>41018</v>
      </c>
      <c r="H83" s="30">
        <v>3372.07</v>
      </c>
      <c r="I83" s="30">
        <v>-1517.4</v>
      </c>
      <c r="J83" s="30">
        <v>1854.67</v>
      </c>
      <c r="K83" s="31">
        <f t="shared" si="77"/>
        <v>674.41399999999999</v>
      </c>
      <c r="L83" s="31">
        <f t="shared" si="78"/>
        <v>1180.2560000000001</v>
      </c>
      <c r="M83" s="31">
        <f t="shared" si="79"/>
        <v>674.41399999999999</v>
      </c>
      <c r="N83" s="31">
        <f t="shared" si="80"/>
        <v>505.8420000000001</v>
      </c>
      <c r="O83" s="31">
        <f t="shared" si="81"/>
        <v>505.8420000000001</v>
      </c>
      <c r="P83" s="31">
        <f t="shared" si="82"/>
        <v>0</v>
      </c>
      <c r="Q83" s="31">
        <f t="shared" si="83"/>
        <v>0</v>
      </c>
      <c r="R83" s="31">
        <f t="shared" si="84"/>
        <v>0</v>
      </c>
      <c r="S83" s="31">
        <f t="shared" si="85"/>
        <v>0</v>
      </c>
      <c r="T83" s="31">
        <f t="shared" si="86"/>
        <v>0</v>
      </c>
      <c r="U83" s="31">
        <f t="shared" si="87"/>
        <v>0</v>
      </c>
      <c r="V83" s="31">
        <f t="shared" si="88"/>
        <v>0</v>
      </c>
      <c r="W83" s="31">
        <f t="shared" ref="W83" si="102">IF(V83=0,0,IF($H83/$F83&gt;V83,V83,$H83/$F83))</f>
        <v>0</v>
      </c>
      <c r="X83" s="31">
        <f t="shared" si="90"/>
        <v>0</v>
      </c>
    </row>
    <row r="84" spans="1:24">
      <c r="A84" s="26" t="s">
        <v>342</v>
      </c>
      <c r="B84" s="26" t="s">
        <v>556</v>
      </c>
      <c r="C84" s="26" t="s">
        <v>576</v>
      </c>
      <c r="D84" s="27">
        <v>41029</v>
      </c>
      <c r="E84" s="26" t="s">
        <v>577</v>
      </c>
      <c r="F84" s="26">
        <v>4</v>
      </c>
      <c r="G84" s="27"/>
      <c r="H84" s="30">
        <v>3461.53</v>
      </c>
      <c r="I84" s="30">
        <v>-1874.89</v>
      </c>
      <c r="J84" s="30">
        <v>1586.64</v>
      </c>
      <c r="K84" s="31">
        <f t="shared" si="77"/>
        <v>865.38250000000005</v>
      </c>
      <c r="L84" s="31">
        <f t="shared" si="78"/>
        <v>721.25750000000005</v>
      </c>
      <c r="M84" s="31">
        <f t="shared" si="79"/>
        <v>721.25750000000005</v>
      </c>
      <c r="N84" s="31">
        <f t="shared" si="80"/>
        <v>0</v>
      </c>
      <c r="O84" s="31">
        <f t="shared" si="81"/>
        <v>0</v>
      </c>
      <c r="P84" s="31">
        <f t="shared" si="82"/>
        <v>0</v>
      </c>
      <c r="Q84" s="31">
        <f t="shared" si="83"/>
        <v>0</v>
      </c>
      <c r="R84" s="31">
        <f t="shared" si="84"/>
        <v>0</v>
      </c>
      <c r="S84" s="31">
        <f t="shared" si="85"/>
        <v>0</v>
      </c>
      <c r="T84" s="31">
        <f t="shared" si="86"/>
        <v>0</v>
      </c>
      <c r="U84" s="31">
        <f t="shared" si="87"/>
        <v>0</v>
      </c>
      <c r="V84" s="31">
        <f t="shared" si="88"/>
        <v>0</v>
      </c>
      <c r="W84" s="31">
        <f t="shared" ref="W84" si="103">IF(V84=0,0,IF($H84/$F84&gt;V84,V84,$H84/$F84))</f>
        <v>0</v>
      </c>
      <c r="X84" s="31">
        <f t="shared" si="90"/>
        <v>0</v>
      </c>
    </row>
    <row r="85" spans="1:24">
      <c r="A85" s="26" t="s">
        <v>342</v>
      </c>
      <c r="B85" s="26" t="s">
        <v>348</v>
      </c>
      <c r="C85" s="26" t="s">
        <v>399</v>
      </c>
      <c r="D85" s="27">
        <v>41038</v>
      </c>
      <c r="E85" s="26" t="s">
        <v>400</v>
      </c>
      <c r="F85" s="26">
        <v>8</v>
      </c>
      <c r="G85" s="27">
        <v>41038</v>
      </c>
      <c r="H85" s="30">
        <v>7267.89</v>
      </c>
      <c r="I85" s="30">
        <v>-1892.5</v>
      </c>
      <c r="J85" s="30">
        <v>5375.39</v>
      </c>
      <c r="K85" s="31">
        <f t="shared" si="77"/>
        <v>908.48625000000004</v>
      </c>
      <c r="L85" s="31">
        <f t="shared" si="78"/>
        <v>4466.9037500000004</v>
      </c>
      <c r="M85" s="31">
        <f t="shared" si="79"/>
        <v>908.48625000000004</v>
      </c>
      <c r="N85" s="31">
        <f t="shared" si="80"/>
        <v>3558.4175000000005</v>
      </c>
      <c r="O85" s="31">
        <f t="shared" si="81"/>
        <v>908.48625000000004</v>
      </c>
      <c r="P85" s="31">
        <f t="shared" si="82"/>
        <v>2649.9312500000005</v>
      </c>
      <c r="Q85" s="31">
        <f t="shared" si="83"/>
        <v>908.48625000000004</v>
      </c>
      <c r="R85" s="31">
        <f t="shared" si="84"/>
        <v>1741.4450000000006</v>
      </c>
      <c r="S85" s="31">
        <f t="shared" si="85"/>
        <v>908.48625000000004</v>
      </c>
      <c r="T85" s="31">
        <f t="shared" si="86"/>
        <v>832.95875000000058</v>
      </c>
      <c r="U85" s="31">
        <f t="shared" si="87"/>
        <v>832.95875000000058</v>
      </c>
      <c r="V85" s="31">
        <f t="shared" si="88"/>
        <v>0</v>
      </c>
      <c r="W85" s="31">
        <f t="shared" ref="W85" si="104">IF(V85=0,0,IF($H85/$F85&gt;V85,V85,$H85/$F85))</f>
        <v>0</v>
      </c>
      <c r="X85" s="31">
        <f t="shared" si="90"/>
        <v>0</v>
      </c>
    </row>
    <row r="86" spans="1:24">
      <c r="A86" s="26" t="s">
        <v>342</v>
      </c>
      <c r="B86" s="26" t="s">
        <v>348</v>
      </c>
      <c r="C86" s="26" t="s">
        <v>403</v>
      </c>
      <c r="D86" s="27">
        <v>41081</v>
      </c>
      <c r="E86" s="26" t="s">
        <v>404</v>
      </c>
      <c r="F86" s="26">
        <v>4</v>
      </c>
      <c r="G86" s="27">
        <v>41081</v>
      </c>
      <c r="H86" s="30">
        <v>7744.19</v>
      </c>
      <c r="I86" s="30">
        <v>-3872.03</v>
      </c>
      <c r="J86" s="30">
        <v>3872.16</v>
      </c>
      <c r="K86" s="31">
        <f t="shared" si="77"/>
        <v>1936.0474999999999</v>
      </c>
      <c r="L86" s="31">
        <f t="shared" si="78"/>
        <v>1936.1125</v>
      </c>
      <c r="M86" s="31">
        <f t="shared" si="79"/>
        <v>1936.0474999999999</v>
      </c>
      <c r="N86" s="31">
        <f t="shared" si="80"/>
        <v>6.500000000005457E-2</v>
      </c>
      <c r="O86" s="31">
        <f t="shared" si="81"/>
        <v>6.500000000005457E-2</v>
      </c>
      <c r="P86" s="31">
        <f t="shared" si="82"/>
        <v>0</v>
      </c>
      <c r="Q86" s="31">
        <f t="shared" si="83"/>
        <v>0</v>
      </c>
      <c r="R86" s="31">
        <f t="shared" si="84"/>
        <v>0</v>
      </c>
      <c r="S86" s="31">
        <f t="shared" si="85"/>
        <v>0</v>
      </c>
      <c r="T86" s="31">
        <f t="shared" si="86"/>
        <v>0</v>
      </c>
      <c r="U86" s="31">
        <f t="shared" si="87"/>
        <v>0</v>
      </c>
      <c r="V86" s="31">
        <f t="shared" si="88"/>
        <v>0</v>
      </c>
      <c r="W86" s="31">
        <f t="shared" ref="W86" si="105">IF(V86=0,0,IF($H86/$F86&gt;V86,V86,$H86/$F86))</f>
        <v>0</v>
      </c>
      <c r="X86" s="31">
        <f t="shared" si="90"/>
        <v>0</v>
      </c>
    </row>
    <row r="87" spans="1:24">
      <c r="A87" s="26" t="s">
        <v>342</v>
      </c>
      <c r="B87" s="26" t="s">
        <v>325</v>
      </c>
      <c r="C87" s="26" t="s">
        <v>343</v>
      </c>
      <c r="D87" s="27">
        <v>41086</v>
      </c>
      <c r="E87" s="26" t="s">
        <v>344</v>
      </c>
      <c r="F87" s="26">
        <v>10</v>
      </c>
      <c r="G87" s="27">
        <v>41084</v>
      </c>
      <c r="H87" s="30">
        <v>2722</v>
      </c>
      <c r="I87" s="30">
        <v>-544.32000000000005</v>
      </c>
      <c r="J87" s="30">
        <v>2177.6799999999998</v>
      </c>
      <c r="K87" s="31">
        <f t="shared" si="77"/>
        <v>272.2</v>
      </c>
      <c r="L87" s="31">
        <f t="shared" si="78"/>
        <v>1905.4799999999998</v>
      </c>
      <c r="M87" s="31">
        <f t="shared" si="79"/>
        <v>272.2</v>
      </c>
      <c r="N87" s="31">
        <f t="shared" si="80"/>
        <v>1633.2799999999997</v>
      </c>
      <c r="O87" s="31">
        <f t="shared" si="81"/>
        <v>272.2</v>
      </c>
      <c r="P87" s="31">
        <f t="shared" si="82"/>
        <v>1361.0799999999997</v>
      </c>
      <c r="Q87" s="31">
        <f t="shared" si="83"/>
        <v>272.2</v>
      </c>
      <c r="R87" s="31">
        <f t="shared" si="84"/>
        <v>1088.8799999999997</v>
      </c>
      <c r="S87" s="31">
        <f t="shared" si="85"/>
        <v>272.2</v>
      </c>
      <c r="T87" s="31">
        <f t="shared" si="86"/>
        <v>816.67999999999961</v>
      </c>
      <c r="U87" s="31">
        <f t="shared" si="87"/>
        <v>272.2</v>
      </c>
      <c r="V87" s="31">
        <f t="shared" si="88"/>
        <v>544.47999999999956</v>
      </c>
      <c r="W87" s="31">
        <f t="shared" ref="W87" si="106">IF(V87=0,0,IF($H87/$F87&gt;V87,V87,$H87/$F87))</f>
        <v>272.2</v>
      </c>
      <c r="X87" s="31">
        <f t="shared" si="90"/>
        <v>272.27999999999957</v>
      </c>
    </row>
    <row r="88" spans="1:24">
      <c r="A88" s="26" t="s">
        <v>342</v>
      </c>
      <c r="B88" s="26" t="s">
        <v>556</v>
      </c>
      <c r="C88" s="26" t="s">
        <v>580</v>
      </c>
      <c r="D88" s="27">
        <v>41089</v>
      </c>
      <c r="E88" s="26" t="s">
        <v>581</v>
      </c>
      <c r="F88" s="26">
        <v>3</v>
      </c>
      <c r="G88" s="27">
        <v>41119</v>
      </c>
      <c r="H88" s="30">
        <v>5350</v>
      </c>
      <c r="I88" s="30">
        <v>-3418.03</v>
      </c>
      <c r="J88" s="30">
        <v>1931.97</v>
      </c>
      <c r="K88" s="31">
        <f t="shared" si="77"/>
        <v>1783.3333333333333</v>
      </c>
      <c r="L88" s="31">
        <f t="shared" si="78"/>
        <v>148.63666666666677</v>
      </c>
      <c r="M88" s="31">
        <f t="shared" si="79"/>
        <v>148.63666666666677</v>
      </c>
      <c r="N88" s="31">
        <f t="shared" si="80"/>
        <v>0</v>
      </c>
      <c r="O88" s="31">
        <f t="shared" si="81"/>
        <v>0</v>
      </c>
      <c r="P88" s="31">
        <f t="shared" si="82"/>
        <v>0</v>
      </c>
      <c r="Q88" s="31">
        <f t="shared" si="83"/>
        <v>0</v>
      </c>
      <c r="R88" s="31">
        <f t="shared" si="84"/>
        <v>0</v>
      </c>
      <c r="S88" s="31">
        <f t="shared" si="85"/>
        <v>0</v>
      </c>
      <c r="T88" s="31">
        <f t="shared" si="86"/>
        <v>0</v>
      </c>
      <c r="U88" s="31">
        <f t="shared" si="87"/>
        <v>0</v>
      </c>
      <c r="V88" s="31">
        <f t="shared" si="88"/>
        <v>0</v>
      </c>
      <c r="W88" s="31">
        <f t="shared" ref="W88" si="107">IF(V88=0,0,IF($H88/$F88&gt;V88,V88,$H88/$F88))</f>
        <v>0</v>
      </c>
      <c r="X88" s="31">
        <f t="shared" si="90"/>
        <v>0</v>
      </c>
    </row>
    <row r="89" spans="1:24">
      <c r="A89" s="26" t="s">
        <v>342</v>
      </c>
      <c r="B89" s="26" t="s">
        <v>348</v>
      </c>
      <c r="C89" s="26" t="s">
        <v>405</v>
      </c>
      <c r="D89" s="27">
        <v>41110</v>
      </c>
      <c r="E89" s="26" t="s">
        <v>406</v>
      </c>
      <c r="F89" s="26">
        <v>3</v>
      </c>
      <c r="G89" s="27">
        <v>41110</v>
      </c>
      <c r="H89" s="30">
        <v>1085.03</v>
      </c>
      <c r="I89" s="30">
        <v>-693.21</v>
      </c>
      <c r="J89" s="30">
        <v>391.82</v>
      </c>
      <c r="K89" s="31">
        <f t="shared" si="77"/>
        <v>361.67666666666668</v>
      </c>
      <c r="L89" s="31">
        <f t="shared" si="78"/>
        <v>30.143333333333317</v>
      </c>
      <c r="M89" s="31">
        <f t="shared" si="79"/>
        <v>30.143333333333317</v>
      </c>
      <c r="N89" s="31">
        <f t="shared" si="80"/>
        <v>0</v>
      </c>
      <c r="O89" s="31">
        <f t="shared" si="81"/>
        <v>0</v>
      </c>
      <c r="P89" s="31">
        <f t="shared" si="82"/>
        <v>0</v>
      </c>
      <c r="Q89" s="31">
        <f t="shared" si="83"/>
        <v>0</v>
      </c>
      <c r="R89" s="31">
        <f t="shared" si="84"/>
        <v>0</v>
      </c>
      <c r="S89" s="31">
        <f t="shared" si="85"/>
        <v>0</v>
      </c>
      <c r="T89" s="31">
        <f t="shared" si="86"/>
        <v>0</v>
      </c>
      <c r="U89" s="31">
        <f t="shared" si="87"/>
        <v>0</v>
      </c>
      <c r="V89" s="31">
        <f t="shared" si="88"/>
        <v>0</v>
      </c>
      <c r="W89" s="31">
        <f t="shared" ref="W89" si="108">IF(V89=0,0,IF($H89/$F89&gt;V89,V89,$H89/$F89))</f>
        <v>0</v>
      </c>
      <c r="X89" s="31">
        <f t="shared" si="90"/>
        <v>0</v>
      </c>
    </row>
    <row r="90" spans="1:24">
      <c r="A90" s="26" t="s">
        <v>342</v>
      </c>
      <c r="B90" s="26" t="s">
        <v>430</v>
      </c>
      <c r="C90" s="26" t="s">
        <v>465</v>
      </c>
      <c r="D90" s="27">
        <v>41113</v>
      </c>
      <c r="E90" s="26" t="s">
        <v>466</v>
      </c>
      <c r="F90" s="26">
        <v>5</v>
      </c>
      <c r="G90" s="27">
        <v>41119</v>
      </c>
      <c r="H90" s="30">
        <v>113108</v>
      </c>
      <c r="I90" s="30">
        <v>-43357.99</v>
      </c>
      <c r="J90" s="30">
        <v>69750.009999999995</v>
      </c>
      <c r="K90" s="31">
        <f t="shared" si="77"/>
        <v>22621.599999999999</v>
      </c>
      <c r="L90" s="31">
        <f t="shared" si="78"/>
        <v>47128.409999999996</v>
      </c>
      <c r="M90" s="31">
        <f t="shared" si="79"/>
        <v>22621.599999999999</v>
      </c>
      <c r="N90" s="31">
        <f t="shared" si="80"/>
        <v>24506.809999999998</v>
      </c>
      <c r="O90" s="31">
        <f t="shared" si="81"/>
        <v>22621.599999999999</v>
      </c>
      <c r="P90" s="31">
        <f t="shared" si="82"/>
        <v>1885.2099999999991</v>
      </c>
      <c r="Q90" s="31">
        <f t="shared" si="83"/>
        <v>1885.2099999999991</v>
      </c>
      <c r="R90" s="31">
        <f t="shared" si="84"/>
        <v>0</v>
      </c>
      <c r="S90" s="31">
        <f t="shared" si="85"/>
        <v>0</v>
      </c>
      <c r="T90" s="31">
        <f t="shared" si="86"/>
        <v>0</v>
      </c>
      <c r="U90" s="31">
        <f t="shared" si="87"/>
        <v>0</v>
      </c>
      <c r="V90" s="31">
        <f t="shared" si="88"/>
        <v>0</v>
      </c>
      <c r="W90" s="31">
        <f t="shared" ref="W90" si="109">IF(V90=0,0,IF($H90/$F90&gt;V90,V90,$H90/$F90))</f>
        <v>0</v>
      </c>
      <c r="X90" s="31">
        <f t="shared" si="90"/>
        <v>0</v>
      </c>
    </row>
    <row r="91" spans="1:24">
      <c r="A91" s="26" t="s">
        <v>342</v>
      </c>
      <c r="B91" s="26" t="s">
        <v>546</v>
      </c>
      <c r="C91" s="26" t="s">
        <v>551</v>
      </c>
      <c r="D91" s="27">
        <v>41129</v>
      </c>
      <c r="E91" s="26" t="s">
        <v>552</v>
      </c>
      <c r="F91" s="26">
        <v>3</v>
      </c>
      <c r="G91" s="27"/>
      <c r="H91" s="30">
        <v>1694.85</v>
      </c>
      <c r="I91" s="30">
        <v>-1035.73</v>
      </c>
      <c r="J91" s="30">
        <v>659.12</v>
      </c>
      <c r="K91" s="31">
        <f t="shared" si="77"/>
        <v>564.94999999999993</v>
      </c>
      <c r="L91" s="31">
        <f t="shared" si="78"/>
        <v>94.170000000000073</v>
      </c>
      <c r="M91" s="31">
        <f t="shared" si="79"/>
        <v>94.170000000000073</v>
      </c>
      <c r="N91" s="31">
        <f t="shared" si="80"/>
        <v>0</v>
      </c>
      <c r="O91" s="31">
        <f t="shared" si="81"/>
        <v>0</v>
      </c>
      <c r="P91" s="31">
        <f t="shared" si="82"/>
        <v>0</v>
      </c>
      <c r="Q91" s="31">
        <f t="shared" si="83"/>
        <v>0</v>
      </c>
      <c r="R91" s="31">
        <f t="shared" si="84"/>
        <v>0</v>
      </c>
      <c r="S91" s="31">
        <f t="shared" si="85"/>
        <v>0</v>
      </c>
      <c r="T91" s="31">
        <f t="shared" si="86"/>
        <v>0</v>
      </c>
      <c r="U91" s="31">
        <f t="shared" si="87"/>
        <v>0</v>
      </c>
      <c r="V91" s="31">
        <f t="shared" si="88"/>
        <v>0</v>
      </c>
      <c r="W91" s="31">
        <f t="shared" ref="W91" si="110">IF(V91=0,0,IF($H91/$F91&gt;V91,V91,$H91/$F91))</f>
        <v>0</v>
      </c>
      <c r="X91" s="31">
        <f t="shared" si="90"/>
        <v>0</v>
      </c>
    </row>
    <row r="92" spans="1:24">
      <c r="A92" s="26" t="s">
        <v>342</v>
      </c>
      <c r="B92" s="26" t="s">
        <v>556</v>
      </c>
      <c r="C92" s="26" t="s">
        <v>584</v>
      </c>
      <c r="D92" s="27">
        <v>41129</v>
      </c>
      <c r="E92" s="26" t="s">
        <v>585</v>
      </c>
      <c r="F92" s="26">
        <v>4</v>
      </c>
      <c r="G92" s="27">
        <v>41129</v>
      </c>
      <c r="H92" s="30">
        <v>2112</v>
      </c>
      <c r="I92" s="30">
        <v>-1012</v>
      </c>
      <c r="J92" s="30">
        <v>1100</v>
      </c>
      <c r="K92" s="31">
        <f t="shared" si="77"/>
        <v>528</v>
      </c>
      <c r="L92" s="31">
        <f t="shared" si="78"/>
        <v>572</v>
      </c>
      <c r="M92" s="31">
        <f t="shared" si="79"/>
        <v>528</v>
      </c>
      <c r="N92" s="31">
        <f t="shared" si="80"/>
        <v>44</v>
      </c>
      <c r="O92" s="31">
        <f t="shared" si="81"/>
        <v>44</v>
      </c>
      <c r="P92" s="31">
        <f t="shared" si="82"/>
        <v>0</v>
      </c>
      <c r="Q92" s="31">
        <f t="shared" si="83"/>
        <v>0</v>
      </c>
      <c r="R92" s="31">
        <f t="shared" si="84"/>
        <v>0</v>
      </c>
      <c r="S92" s="31">
        <f t="shared" si="85"/>
        <v>0</v>
      </c>
      <c r="T92" s="31">
        <f t="shared" si="86"/>
        <v>0</v>
      </c>
      <c r="U92" s="31">
        <f t="shared" si="87"/>
        <v>0</v>
      </c>
      <c r="V92" s="31">
        <f t="shared" si="88"/>
        <v>0</v>
      </c>
      <c r="W92" s="31">
        <f t="shared" ref="W92" si="111">IF(V92=0,0,IF($H92/$F92&gt;V92,V92,$H92/$F92))</f>
        <v>0</v>
      </c>
      <c r="X92" s="31">
        <f t="shared" si="90"/>
        <v>0</v>
      </c>
    </row>
    <row r="93" spans="1:24">
      <c r="A93" s="26" t="s">
        <v>342</v>
      </c>
      <c r="B93" s="26" t="s">
        <v>348</v>
      </c>
      <c r="C93" s="26" t="s">
        <v>412</v>
      </c>
      <c r="D93" s="27">
        <v>41146</v>
      </c>
      <c r="E93" s="26" t="s">
        <v>413</v>
      </c>
      <c r="F93" s="26">
        <v>4</v>
      </c>
      <c r="G93" s="27">
        <v>41146</v>
      </c>
      <c r="H93" s="30">
        <v>45184</v>
      </c>
      <c r="I93" s="30">
        <v>-20709.259999999998</v>
      </c>
      <c r="J93" s="30">
        <v>24474.74</v>
      </c>
      <c r="K93" s="31">
        <f t="shared" si="77"/>
        <v>11296</v>
      </c>
      <c r="L93" s="31">
        <f t="shared" si="78"/>
        <v>13178.740000000002</v>
      </c>
      <c r="M93" s="31">
        <f t="shared" si="79"/>
        <v>11296</v>
      </c>
      <c r="N93" s="31">
        <f t="shared" si="80"/>
        <v>1882.7400000000016</v>
      </c>
      <c r="O93" s="31">
        <f t="shared" si="81"/>
        <v>1882.7400000000016</v>
      </c>
      <c r="P93" s="31">
        <f t="shared" si="82"/>
        <v>0</v>
      </c>
      <c r="Q93" s="31">
        <f t="shared" si="83"/>
        <v>0</v>
      </c>
      <c r="R93" s="31">
        <f t="shared" si="84"/>
        <v>0</v>
      </c>
      <c r="S93" s="31">
        <f t="shared" si="85"/>
        <v>0</v>
      </c>
      <c r="T93" s="31">
        <f t="shared" si="86"/>
        <v>0</v>
      </c>
      <c r="U93" s="31">
        <f t="shared" si="87"/>
        <v>0</v>
      </c>
      <c r="V93" s="31">
        <f t="shared" si="88"/>
        <v>0</v>
      </c>
      <c r="W93" s="31">
        <f t="shared" ref="W93" si="112">IF(V93=0,0,IF($H93/$F93&gt;V93,V93,$H93/$F93))</f>
        <v>0</v>
      </c>
      <c r="X93" s="31">
        <f t="shared" si="90"/>
        <v>0</v>
      </c>
    </row>
    <row r="94" spans="1:24">
      <c r="A94" s="26" t="s">
        <v>342</v>
      </c>
      <c r="B94" s="26" t="s">
        <v>528</v>
      </c>
      <c r="C94" s="26" t="s">
        <v>535</v>
      </c>
      <c r="D94" s="27">
        <v>41146</v>
      </c>
      <c r="E94" s="26" t="s">
        <v>536</v>
      </c>
      <c r="F94" s="26">
        <v>5</v>
      </c>
      <c r="G94" s="27"/>
      <c r="H94" s="30">
        <v>82000</v>
      </c>
      <c r="I94" s="30">
        <v>-30066.54</v>
      </c>
      <c r="J94" s="30">
        <v>51933.46</v>
      </c>
      <c r="K94" s="31">
        <f t="shared" si="77"/>
        <v>16400</v>
      </c>
      <c r="L94" s="31">
        <f t="shared" si="78"/>
        <v>35533.46</v>
      </c>
      <c r="M94" s="31">
        <f t="shared" si="79"/>
        <v>16400</v>
      </c>
      <c r="N94" s="31">
        <f t="shared" si="80"/>
        <v>19133.46</v>
      </c>
      <c r="O94" s="31">
        <f t="shared" si="81"/>
        <v>16400</v>
      </c>
      <c r="P94" s="31">
        <f t="shared" si="82"/>
        <v>2733.4599999999991</v>
      </c>
      <c r="Q94" s="31">
        <f t="shared" si="83"/>
        <v>2733.4599999999991</v>
      </c>
      <c r="R94" s="31">
        <f t="shared" si="84"/>
        <v>0</v>
      </c>
      <c r="S94" s="31">
        <f t="shared" si="85"/>
        <v>0</v>
      </c>
      <c r="T94" s="31">
        <f t="shared" si="86"/>
        <v>0</v>
      </c>
      <c r="U94" s="31">
        <f t="shared" si="87"/>
        <v>0</v>
      </c>
      <c r="V94" s="31">
        <f t="shared" si="88"/>
        <v>0</v>
      </c>
      <c r="W94" s="31">
        <f t="shared" ref="W94" si="113">IF(V94=0,0,IF($H94/$F94&gt;V94,V94,$H94/$F94))</f>
        <v>0</v>
      </c>
      <c r="X94" s="31">
        <f t="shared" si="90"/>
        <v>0</v>
      </c>
    </row>
    <row r="95" spans="1:24">
      <c r="A95" s="26" t="s">
        <v>342</v>
      </c>
      <c r="B95" s="26" t="s">
        <v>556</v>
      </c>
      <c r="C95" s="26" t="s">
        <v>578</v>
      </c>
      <c r="D95" s="27">
        <v>41151</v>
      </c>
      <c r="E95" s="26" t="s">
        <v>579</v>
      </c>
      <c r="F95" s="26">
        <v>4</v>
      </c>
      <c r="G95" s="27">
        <v>41151</v>
      </c>
      <c r="H95" s="30">
        <v>11310</v>
      </c>
      <c r="I95" s="30">
        <v>-5183.6400000000003</v>
      </c>
      <c r="J95" s="30">
        <v>6126.36</v>
      </c>
      <c r="K95" s="31">
        <f t="shared" si="77"/>
        <v>2827.5</v>
      </c>
      <c r="L95" s="31">
        <f t="shared" si="78"/>
        <v>3298.8599999999997</v>
      </c>
      <c r="M95" s="31">
        <f t="shared" si="79"/>
        <v>2827.5</v>
      </c>
      <c r="N95" s="31">
        <f t="shared" si="80"/>
        <v>471.35999999999967</v>
      </c>
      <c r="O95" s="31">
        <f t="shared" si="81"/>
        <v>471.35999999999967</v>
      </c>
      <c r="P95" s="31">
        <f t="shared" si="82"/>
        <v>0</v>
      </c>
      <c r="Q95" s="31">
        <f t="shared" si="83"/>
        <v>0</v>
      </c>
      <c r="R95" s="31">
        <f t="shared" si="84"/>
        <v>0</v>
      </c>
      <c r="S95" s="31">
        <f t="shared" si="85"/>
        <v>0</v>
      </c>
      <c r="T95" s="31">
        <f t="shared" si="86"/>
        <v>0</v>
      </c>
      <c r="U95" s="31">
        <f t="shared" si="87"/>
        <v>0</v>
      </c>
      <c r="V95" s="31">
        <f t="shared" si="88"/>
        <v>0</v>
      </c>
      <c r="W95" s="31">
        <f t="shared" ref="W95" si="114">IF(V95=0,0,IF($H95/$F95&gt;V95,V95,$H95/$F95))</f>
        <v>0</v>
      </c>
      <c r="X95" s="31">
        <f t="shared" si="90"/>
        <v>0</v>
      </c>
    </row>
    <row r="96" spans="1:24">
      <c r="A96" s="26" t="s">
        <v>342</v>
      </c>
      <c r="B96" s="26" t="s">
        <v>430</v>
      </c>
      <c r="C96" s="26" t="s">
        <v>467</v>
      </c>
      <c r="D96" s="27">
        <v>41166</v>
      </c>
      <c r="E96" s="26" t="s">
        <v>468</v>
      </c>
      <c r="F96" s="26">
        <v>5</v>
      </c>
      <c r="G96" s="27">
        <v>41166</v>
      </c>
      <c r="H96" s="30">
        <v>16538.16</v>
      </c>
      <c r="I96" s="30">
        <v>-5788.23</v>
      </c>
      <c r="J96" s="30">
        <v>10749.93</v>
      </c>
      <c r="K96" s="31">
        <f t="shared" si="77"/>
        <v>3307.6320000000001</v>
      </c>
      <c r="L96" s="31">
        <f t="shared" si="78"/>
        <v>7442.2980000000007</v>
      </c>
      <c r="M96" s="31">
        <f t="shared" si="79"/>
        <v>3307.6320000000001</v>
      </c>
      <c r="N96" s="31">
        <f t="shared" si="80"/>
        <v>4134.6660000000011</v>
      </c>
      <c r="O96" s="31">
        <f t="shared" si="81"/>
        <v>3307.6320000000001</v>
      </c>
      <c r="P96" s="31">
        <f t="shared" si="82"/>
        <v>827.03400000000101</v>
      </c>
      <c r="Q96" s="31">
        <f t="shared" si="83"/>
        <v>827.03400000000101</v>
      </c>
      <c r="R96" s="31">
        <f t="shared" si="84"/>
        <v>0</v>
      </c>
      <c r="S96" s="31">
        <f t="shared" si="85"/>
        <v>0</v>
      </c>
      <c r="T96" s="31">
        <f t="shared" si="86"/>
        <v>0</v>
      </c>
      <c r="U96" s="31">
        <f t="shared" si="87"/>
        <v>0</v>
      </c>
      <c r="V96" s="31">
        <f t="shared" si="88"/>
        <v>0</v>
      </c>
      <c r="W96" s="31">
        <f t="shared" ref="W96" si="115">IF(V96=0,0,IF($H96/$F96&gt;V96,V96,$H96/$F96))</f>
        <v>0</v>
      </c>
      <c r="X96" s="31">
        <f t="shared" si="90"/>
        <v>0</v>
      </c>
    </row>
    <row r="97" spans="1:24">
      <c r="A97" s="26" t="s">
        <v>342</v>
      </c>
      <c r="B97" s="26" t="s">
        <v>556</v>
      </c>
      <c r="C97" s="26" t="s">
        <v>582</v>
      </c>
      <c r="D97" s="27">
        <v>41172</v>
      </c>
      <c r="E97" s="26" t="s">
        <v>583</v>
      </c>
      <c r="F97" s="26">
        <v>4</v>
      </c>
      <c r="G97" s="27">
        <v>41172</v>
      </c>
      <c r="H97" s="30">
        <v>20445</v>
      </c>
      <c r="I97" s="30">
        <v>-9370.56</v>
      </c>
      <c r="J97" s="30">
        <v>11074.44</v>
      </c>
      <c r="K97" s="31">
        <f t="shared" si="77"/>
        <v>5111.25</v>
      </c>
      <c r="L97" s="31">
        <f t="shared" si="78"/>
        <v>5963.1900000000005</v>
      </c>
      <c r="M97" s="31">
        <f t="shared" si="79"/>
        <v>5111.25</v>
      </c>
      <c r="N97" s="31">
        <f t="shared" si="80"/>
        <v>851.94000000000051</v>
      </c>
      <c r="O97" s="31">
        <f t="shared" si="81"/>
        <v>851.94000000000051</v>
      </c>
      <c r="P97" s="31">
        <f t="shared" si="82"/>
        <v>0</v>
      </c>
      <c r="Q97" s="31">
        <f t="shared" si="83"/>
        <v>0</v>
      </c>
      <c r="R97" s="31">
        <f t="shared" si="84"/>
        <v>0</v>
      </c>
      <c r="S97" s="31">
        <f t="shared" si="85"/>
        <v>0</v>
      </c>
      <c r="T97" s="31">
        <f t="shared" si="86"/>
        <v>0</v>
      </c>
      <c r="U97" s="31">
        <f t="shared" si="87"/>
        <v>0</v>
      </c>
      <c r="V97" s="31">
        <f t="shared" si="88"/>
        <v>0</v>
      </c>
      <c r="W97" s="31">
        <f t="shared" ref="W97" si="116">IF(V97=0,0,IF($H97/$F97&gt;V97,V97,$H97/$F97))</f>
        <v>0</v>
      </c>
      <c r="X97" s="31">
        <f t="shared" si="90"/>
        <v>0</v>
      </c>
    </row>
    <row r="98" spans="1:24">
      <c r="A98" s="26" t="s">
        <v>342</v>
      </c>
      <c r="B98" s="26" t="s">
        <v>430</v>
      </c>
      <c r="C98" s="26" t="s">
        <v>473</v>
      </c>
      <c r="D98" s="27">
        <v>41180</v>
      </c>
      <c r="E98" s="26" t="s">
        <v>474</v>
      </c>
      <c r="F98" s="26">
        <v>3</v>
      </c>
      <c r="G98" s="27">
        <v>41180</v>
      </c>
      <c r="H98" s="30">
        <v>440705.13</v>
      </c>
      <c r="I98" s="30">
        <v>-306045.21000000002</v>
      </c>
      <c r="J98" s="30">
        <v>134659.92000000001</v>
      </c>
      <c r="K98" s="31">
        <f t="shared" si="77"/>
        <v>134659.92000000001</v>
      </c>
      <c r="L98" s="31">
        <f t="shared" si="78"/>
        <v>0</v>
      </c>
      <c r="M98" s="31">
        <f t="shared" si="79"/>
        <v>0</v>
      </c>
      <c r="N98" s="31">
        <f t="shared" si="80"/>
        <v>0</v>
      </c>
      <c r="O98" s="31">
        <f t="shared" si="81"/>
        <v>0</v>
      </c>
      <c r="P98" s="31">
        <f t="shared" si="82"/>
        <v>0</v>
      </c>
      <c r="Q98" s="31">
        <f t="shared" si="83"/>
        <v>0</v>
      </c>
      <c r="R98" s="31">
        <f t="shared" si="84"/>
        <v>0</v>
      </c>
      <c r="S98" s="31">
        <f t="shared" si="85"/>
        <v>0</v>
      </c>
      <c r="T98" s="31">
        <f t="shared" si="86"/>
        <v>0</v>
      </c>
      <c r="U98" s="31">
        <f t="shared" si="87"/>
        <v>0</v>
      </c>
      <c r="V98" s="31">
        <f t="shared" si="88"/>
        <v>0</v>
      </c>
      <c r="W98" s="31">
        <f t="shared" ref="W98" si="117">IF(V98=0,0,IF($H98/$F98&gt;V98,V98,$H98/$F98))</f>
        <v>0</v>
      </c>
      <c r="X98" s="31">
        <f t="shared" si="90"/>
        <v>0</v>
      </c>
    </row>
    <row r="99" spans="1:24">
      <c r="A99" s="26" t="s">
        <v>342</v>
      </c>
      <c r="B99" s="26" t="s">
        <v>348</v>
      </c>
      <c r="C99" s="26" t="s">
        <v>393</v>
      </c>
      <c r="D99" s="27">
        <v>41181</v>
      </c>
      <c r="E99" s="26" t="s">
        <v>394</v>
      </c>
      <c r="F99" s="26">
        <v>3</v>
      </c>
      <c r="G99" s="27"/>
      <c r="H99" s="30">
        <v>751.22</v>
      </c>
      <c r="I99" s="30">
        <v>-626</v>
      </c>
      <c r="J99" s="30">
        <v>125.22</v>
      </c>
      <c r="K99" s="31">
        <f t="shared" si="77"/>
        <v>125.22</v>
      </c>
      <c r="L99" s="31">
        <f t="shared" si="78"/>
        <v>0</v>
      </c>
      <c r="M99" s="31">
        <f t="shared" si="79"/>
        <v>0</v>
      </c>
      <c r="N99" s="31">
        <f t="shared" si="80"/>
        <v>0</v>
      </c>
      <c r="O99" s="31">
        <f t="shared" si="81"/>
        <v>0</v>
      </c>
      <c r="P99" s="31">
        <f t="shared" si="82"/>
        <v>0</v>
      </c>
      <c r="Q99" s="31">
        <f t="shared" si="83"/>
        <v>0</v>
      </c>
      <c r="R99" s="31">
        <f t="shared" si="84"/>
        <v>0</v>
      </c>
      <c r="S99" s="31">
        <f t="shared" si="85"/>
        <v>0</v>
      </c>
      <c r="T99" s="31">
        <f t="shared" si="86"/>
        <v>0</v>
      </c>
      <c r="U99" s="31">
        <f t="shared" si="87"/>
        <v>0</v>
      </c>
      <c r="V99" s="31">
        <f t="shared" si="88"/>
        <v>0</v>
      </c>
      <c r="W99" s="31">
        <f t="shared" ref="W99" si="118">IF(V99=0,0,IF($H99/$F99&gt;V99,V99,$H99/$F99))</f>
        <v>0</v>
      </c>
      <c r="X99" s="31">
        <f t="shared" si="90"/>
        <v>0</v>
      </c>
    </row>
    <row r="100" spans="1:24">
      <c r="A100" s="26" t="s">
        <v>342</v>
      </c>
      <c r="B100" s="26" t="s">
        <v>348</v>
      </c>
      <c r="C100" s="26" t="s">
        <v>407</v>
      </c>
      <c r="D100" s="27">
        <v>41181</v>
      </c>
      <c r="E100" s="26" t="s">
        <v>408</v>
      </c>
      <c r="F100" s="26">
        <v>4</v>
      </c>
      <c r="G100" s="27">
        <v>41181</v>
      </c>
      <c r="H100" s="30">
        <v>6794.2</v>
      </c>
      <c r="I100" s="30">
        <v>-2972.35</v>
      </c>
      <c r="J100" s="30">
        <v>3821.85</v>
      </c>
      <c r="K100" s="31">
        <f t="shared" si="77"/>
        <v>1698.55</v>
      </c>
      <c r="L100" s="31">
        <f t="shared" si="78"/>
        <v>2123.3000000000002</v>
      </c>
      <c r="M100" s="31">
        <f t="shared" si="79"/>
        <v>1698.55</v>
      </c>
      <c r="N100" s="31">
        <f t="shared" si="80"/>
        <v>424.75000000000023</v>
      </c>
      <c r="O100" s="31">
        <f t="shared" si="81"/>
        <v>424.75000000000023</v>
      </c>
      <c r="P100" s="31">
        <f t="shared" si="82"/>
        <v>0</v>
      </c>
      <c r="Q100" s="31">
        <f t="shared" si="83"/>
        <v>0</v>
      </c>
      <c r="R100" s="31">
        <f t="shared" si="84"/>
        <v>0</v>
      </c>
      <c r="S100" s="31">
        <f t="shared" si="85"/>
        <v>0</v>
      </c>
      <c r="T100" s="31">
        <f t="shared" si="86"/>
        <v>0</v>
      </c>
      <c r="U100" s="31">
        <f t="shared" si="87"/>
        <v>0</v>
      </c>
      <c r="V100" s="31">
        <f t="shared" si="88"/>
        <v>0</v>
      </c>
      <c r="W100" s="31">
        <f t="shared" ref="W100" si="119">IF(V100=0,0,IF($H100/$F100&gt;V100,V100,$H100/$F100))</f>
        <v>0</v>
      </c>
      <c r="X100" s="31">
        <f t="shared" si="90"/>
        <v>0</v>
      </c>
    </row>
    <row r="101" spans="1:24">
      <c r="A101" s="26" t="s">
        <v>342</v>
      </c>
      <c r="B101" s="26" t="s">
        <v>348</v>
      </c>
      <c r="C101" s="26" t="s">
        <v>414</v>
      </c>
      <c r="D101" s="27">
        <v>41181</v>
      </c>
      <c r="E101" s="26" t="s">
        <v>415</v>
      </c>
      <c r="F101" s="26">
        <v>3</v>
      </c>
      <c r="G101" s="27">
        <v>41084</v>
      </c>
      <c r="H101" s="30">
        <v>227608</v>
      </c>
      <c r="I101" s="30">
        <v>-151738.6</v>
      </c>
      <c r="J101" s="30">
        <v>75869.399999999994</v>
      </c>
      <c r="K101" s="31">
        <f t="shared" si="77"/>
        <v>75869.333333333328</v>
      </c>
      <c r="L101" s="31">
        <f t="shared" si="78"/>
        <v>6.6666666665696539E-2</v>
      </c>
      <c r="M101" s="31">
        <f t="shared" si="79"/>
        <v>6.6666666665696539E-2</v>
      </c>
      <c r="N101" s="31">
        <f t="shared" si="80"/>
        <v>0</v>
      </c>
      <c r="O101" s="31">
        <f t="shared" si="81"/>
        <v>0</v>
      </c>
      <c r="P101" s="31">
        <f t="shared" si="82"/>
        <v>0</v>
      </c>
      <c r="Q101" s="31">
        <f t="shared" si="83"/>
        <v>0</v>
      </c>
      <c r="R101" s="31">
        <f t="shared" si="84"/>
        <v>0</v>
      </c>
      <c r="S101" s="31">
        <f t="shared" si="85"/>
        <v>0</v>
      </c>
      <c r="T101" s="31">
        <f t="shared" si="86"/>
        <v>0</v>
      </c>
      <c r="U101" s="31">
        <f t="shared" si="87"/>
        <v>0</v>
      </c>
      <c r="V101" s="31">
        <f t="shared" si="88"/>
        <v>0</v>
      </c>
      <c r="W101" s="31">
        <f t="shared" ref="W101" si="120">IF(V101=0,0,IF($H101/$F101&gt;V101,V101,$H101/$F101))</f>
        <v>0</v>
      </c>
      <c r="X101" s="31">
        <f t="shared" si="90"/>
        <v>0</v>
      </c>
    </row>
    <row r="102" spans="1:24">
      <c r="A102" s="26" t="s">
        <v>342</v>
      </c>
      <c r="B102" s="26" t="s">
        <v>430</v>
      </c>
      <c r="C102" s="26" t="s">
        <v>475</v>
      </c>
      <c r="D102" s="27">
        <v>41181</v>
      </c>
      <c r="E102" s="26" t="s">
        <v>476</v>
      </c>
      <c r="F102" s="26">
        <v>5</v>
      </c>
      <c r="G102" s="27">
        <v>41181</v>
      </c>
      <c r="H102" s="30">
        <v>50506.93</v>
      </c>
      <c r="I102" s="30">
        <v>-19360.939999999999</v>
      </c>
      <c r="J102" s="30">
        <v>31145.99</v>
      </c>
      <c r="K102" s="31">
        <f t="shared" si="77"/>
        <v>10101.386</v>
      </c>
      <c r="L102" s="31">
        <f t="shared" si="78"/>
        <v>21044.603999999999</v>
      </c>
      <c r="M102" s="31">
        <f t="shared" si="79"/>
        <v>10101.386</v>
      </c>
      <c r="N102" s="31">
        <f t="shared" si="80"/>
        <v>10943.217999999999</v>
      </c>
      <c r="O102" s="31">
        <f t="shared" si="81"/>
        <v>10101.386</v>
      </c>
      <c r="P102" s="31">
        <f t="shared" si="82"/>
        <v>841.83199999999852</v>
      </c>
      <c r="Q102" s="31">
        <f t="shared" si="83"/>
        <v>841.83199999999852</v>
      </c>
      <c r="R102" s="31">
        <f t="shared" si="84"/>
        <v>0</v>
      </c>
      <c r="S102" s="31">
        <f t="shared" si="85"/>
        <v>0</v>
      </c>
      <c r="T102" s="31">
        <f t="shared" si="86"/>
        <v>0</v>
      </c>
      <c r="U102" s="31">
        <f t="shared" si="87"/>
        <v>0</v>
      </c>
      <c r="V102" s="31">
        <f t="shared" si="88"/>
        <v>0</v>
      </c>
      <c r="W102" s="31">
        <f t="shared" ref="W102" si="121">IF(V102=0,0,IF($H102/$F102&gt;V102,V102,$H102/$F102))</f>
        <v>0</v>
      </c>
      <c r="X102" s="31">
        <f t="shared" si="90"/>
        <v>0</v>
      </c>
    </row>
    <row r="103" spans="1:24">
      <c r="A103" s="26" t="s">
        <v>342</v>
      </c>
      <c r="B103" s="26" t="s">
        <v>430</v>
      </c>
      <c r="C103" s="26" t="s">
        <v>477</v>
      </c>
      <c r="D103" s="27">
        <v>41181</v>
      </c>
      <c r="E103" s="26" t="s">
        <v>478</v>
      </c>
      <c r="F103" s="26">
        <v>5</v>
      </c>
      <c r="G103" s="27">
        <v>41181</v>
      </c>
      <c r="H103" s="30">
        <v>83300.94</v>
      </c>
      <c r="I103" s="30">
        <v>-44427.09</v>
      </c>
      <c r="J103" s="30">
        <v>38873.85</v>
      </c>
      <c r="K103" s="31">
        <f t="shared" si="77"/>
        <v>16660.188000000002</v>
      </c>
      <c r="L103" s="31">
        <f t="shared" si="78"/>
        <v>22213.661999999997</v>
      </c>
      <c r="M103" s="31">
        <f t="shared" si="79"/>
        <v>16660.188000000002</v>
      </c>
      <c r="N103" s="31">
        <f t="shared" si="80"/>
        <v>5553.4739999999947</v>
      </c>
      <c r="O103" s="31">
        <f t="shared" si="81"/>
        <v>5553.4739999999947</v>
      </c>
      <c r="P103" s="31">
        <f t="shared" si="82"/>
        <v>0</v>
      </c>
      <c r="Q103" s="31">
        <f t="shared" si="83"/>
        <v>0</v>
      </c>
      <c r="R103" s="31">
        <f t="shared" si="84"/>
        <v>0</v>
      </c>
      <c r="S103" s="31">
        <f t="shared" si="85"/>
        <v>0</v>
      </c>
      <c r="T103" s="31">
        <f t="shared" si="86"/>
        <v>0</v>
      </c>
      <c r="U103" s="31">
        <f t="shared" si="87"/>
        <v>0</v>
      </c>
      <c r="V103" s="31">
        <f t="shared" si="88"/>
        <v>0</v>
      </c>
      <c r="W103" s="31">
        <f t="shared" ref="W103" si="122">IF(V103=0,0,IF($H103/$F103&gt;V103,V103,$H103/$F103))</f>
        <v>0</v>
      </c>
      <c r="X103" s="31">
        <f t="shared" si="90"/>
        <v>0</v>
      </c>
    </row>
    <row r="104" spans="1:24">
      <c r="A104" s="26" t="s">
        <v>345</v>
      </c>
      <c r="B104" s="26" t="s">
        <v>556</v>
      </c>
      <c r="C104" s="26" t="s">
        <v>586</v>
      </c>
      <c r="D104" s="27">
        <v>41220</v>
      </c>
      <c r="E104" s="26" t="s">
        <v>587</v>
      </c>
      <c r="F104" s="26">
        <v>4</v>
      </c>
      <c r="G104" s="27">
        <v>41220</v>
      </c>
      <c r="H104" s="30">
        <v>6440</v>
      </c>
      <c r="I104" s="30">
        <v>-2683.24</v>
      </c>
      <c r="J104" s="30">
        <v>3756.76</v>
      </c>
      <c r="K104" s="31">
        <f t="shared" si="77"/>
        <v>1610</v>
      </c>
      <c r="L104" s="31">
        <f t="shared" si="78"/>
        <v>2146.7600000000002</v>
      </c>
      <c r="M104" s="31">
        <f t="shared" si="79"/>
        <v>1610</v>
      </c>
      <c r="N104" s="31">
        <f t="shared" si="80"/>
        <v>536.76000000000022</v>
      </c>
      <c r="O104" s="31">
        <f t="shared" si="81"/>
        <v>536.76000000000022</v>
      </c>
      <c r="P104" s="31">
        <f t="shared" si="82"/>
        <v>0</v>
      </c>
      <c r="Q104" s="31">
        <f t="shared" si="83"/>
        <v>0</v>
      </c>
      <c r="R104" s="31">
        <f t="shared" si="84"/>
        <v>0</v>
      </c>
      <c r="S104" s="31">
        <f t="shared" si="85"/>
        <v>0</v>
      </c>
      <c r="T104" s="31">
        <f t="shared" si="86"/>
        <v>0</v>
      </c>
      <c r="U104" s="31">
        <f t="shared" si="87"/>
        <v>0</v>
      </c>
      <c r="V104" s="31">
        <f t="shared" si="88"/>
        <v>0</v>
      </c>
      <c r="W104" s="31">
        <f t="shared" ref="W104" si="123">IF(V104=0,0,IF($H104/$F104&gt;V104,V104,$H104/$F104))</f>
        <v>0</v>
      </c>
      <c r="X104" s="31">
        <f t="shared" si="90"/>
        <v>0</v>
      </c>
    </row>
    <row r="105" spans="1:24">
      <c r="A105" s="26" t="s">
        <v>342</v>
      </c>
      <c r="B105" s="26" t="s">
        <v>430</v>
      </c>
      <c r="C105" s="26" t="s">
        <v>469</v>
      </c>
      <c r="D105" s="27">
        <v>41272</v>
      </c>
      <c r="E105" s="26" t="s">
        <v>470</v>
      </c>
      <c r="F105" s="26">
        <v>3</v>
      </c>
      <c r="G105" s="27">
        <v>41020</v>
      </c>
      <c r="H105" s="30">
        <v>42381.96</v>
      </c>
      <c r="I105" s="30">
        <v>-30609.16</v>
      </c>
      <c r="J105" s="30">
        <v>11772.8</v>
      </c>
      <c r="K105" s="31">
        <f t="shared" si="77"/>
        <v>11772.8</v>
      </c>
      <c r="L105" s="31">
        <f t="shared" si="78"/>
        <v>0</v>
      </c>
      <c r="M105" s="31">
        <f t="shared" si="79"/>
        <v>0</v>
      </c>
      <c r="N105" s="31">
        <f t="shared" si="80"/>
        <v>0</v>
      </c>
      <c r="O105" s="31">
        <f t="shared" si="81"/>
        <v>0</v>
      </c>
      <c r="P105" s="31">
        <f t="shared" si="82"/>
        <v>0</v>
      </c>
      <c r="Q105" s="31">
        <f t="shared" si="83"/>
        <v>0</v>
      </c>
      <c r="R105" s="31">
        <f t="shared" si="84"/>
        <v>0</v>
      </c>
      <c r="S105" s="31">
        <f t="shared" si="85"/>
        <v>0</v>
      </c>
      <c r="T105" s="31">
        <f t="shared" si="86"/>
        <v>0</v>
      </c>
      <c r="U105" s="31">
        <f t="shared" si="87"/>
        <v>0</v>
      </c>
      <c r="V105" s="31">
        <f t="shared" si="88"/>
        <v>0</v>
      </c>
      <c r="W105" s="31">
        <f t="shared" ref="W105" si="124">IF(V105=0,0,IF($H105/$F105&gt;V105,V105,$H105/$F105))</f>
        <v>0</v>
      </c>
      <c r="X105" s="31">
        <f t="shared" si="90"/>
        <v>0</v>
      </c>
    </row>
    <row r="106" spans="1:24">
      <c r="A106" s="26" t="s">
        <v>345</v>
      </c>
      <c r="B106" s="26" t="s">
        <v>348</v>
      </c>
      <c r="C106" s="26" t="s">
        <v>416</v>
      </c>
      <c r="D106" s="27">
        <v>41282</v>
      </c>
      <c r="E106" s="26" t="s">
        <v>417</v>
      </c>
      <c r="F106" s="26">
        <v>3</v>
      </c>
      <c r="G106" s="27">
        <v>41282</v>
      </c>
      <c r="H106" s="30">
        <v>2420.31</v>
      </c>
      <c r="I106" s="30">
        <v>-1142.9100000000001</v>
      </c>
      <c r="J106" s="30">
        <v>1277.4000000000001</v>
      </c>
      <c r="K106" s="31">
        <f t="shared" si="77"/>
        <v>806.77</v>
      </c>
      <c r="L106" s="31">
        <f t="shared" si="78"/>
        <v>470.63000000000011</v>
      </c>
      <c r="M106" s="31">
        <f t="shared" si="79"/>
        <v>470.63000000000011</v>
      </c>
      <c r="N106" s="31">
        <f t="shared" si="80"/>
        <v>0</v>
      </c>
      <c r="O106" s="31">
        <f t="shared" si="81"/>
        <v>0</v>
      </c>
      <c r="P106" s="31">
        <f t="shared" si="82"/>
        <v>0</v>
      </c>
      <c r="Q106" s="31">
        <f t="shared" si="83"/>
        <v>0</v>
      </c>
      <c r="R106" s="31">
        <f t="shared" si="84"/>
        <v>0</v>
      </c>
      <c r="S106" s="31">
        <f t="shared" si="85"/>
        <v>0</v>
      </c>
      <c r="T106" s="31">
        <f t="shared" si="86"/>
        <v>0</v>
      </c>
      <c r="U106" s="31">
        <f t="shared" si="87"/>
        <v>0</v>
      </c>
      <c r="V106" s="31">
        <f t="shared" si="88"/>
        <v>0</v>
      </c>
      <c r="W106" s="31">
        <f t="shared" ref="W106" si="125">IF(V106=0,0,IF($H106/$F106&gt;V106,V106,$H106/$F106))</f>
        <v>0</v>
      </c>
      <c r="X106" s="31">
        <f t="shared" si="90"/>
        <v>0</v>
      </c>
    </row>
    <row r="107" spans="1:24">
      <c r="A107" s="26" t="s">
        <v>345</v>
      </c>
      <c r="B107" s="26" t="s">
        <v>430</v>
      </c>
      <c r="C107" s="26" t="s">
        <v>479</v>
      </c>
      <c r="D107" s="27">
        <v>41355</v>
      </c>
      <c r="E107" s="26" t="s">
        <v>480</v>
      </c>
      <c r="F107" s="26">
        <v>3</v>
      </c>
      <c r="G107" s="27">
        <v>41355</v>
      </c>
      <c r="H107" s="30">
        <v>1425.21</v>
      </c>
      <c r="I107" s="30">
        <v>-633.41</v>
      </c>
      <c r="J107" s="30">
        <v>791.8</v>
      </c>
      <c r="K107" s="31">
        <f t="shared" si="77"/>
        <v>475.07</v>
      </c>
      <c r="L107" s="31">
        <f t="shared" si="78"/>
        <v>316.72999999999996</v>
      </c>
      <c r="M107" s="31">
        <f t="shared" si="79"/>
        <v>316.72999999999996</v>
      </c>
      <c r="N107" s="31">
        <f t="shared" si="80"/>
        <v>0</v>
      </c>
      <c r="O107" s="31">
        <f t="shared" si="81"/>
        <v>0</v>
      </c>
      <c r="P107" s="31">
        <f t="shared" si="82"/>
        <v>0</v>
      </c>
      <c r="Q107" s="31">
        <f t="shared" si="83"/>
        <v>0</v>
      </c>
      <c r="R107" s="31">
        <f t="shared" si="84"/>
        <v>0</v>
      </c>
      <c r="S107" s="31">
        <f t="shared" si="85"/>
        <v>0</v>
      </c>
      <c r="T107" s="31">
        <f t="shared" si="86"/>
        <v>0</v>
      </c>
      <c r="U107" s="31">
        <f t="shared" si="87"/>
        <v>0</v>
      </c>
      <c r="V107" s="31">
        <f t="shared" si="88"/>
        <v>0</v>
      </c>
      <c r="W107" s="31">
        <f t="shared" ref="W107" si="126">IF(V107=0,0,IF($H107/$F107&gt;V107,V107,$H107/$F107))</f>
        <v>0</v>
      </c>
      <c r="X107" s="31">
        <f t="shared" si="90"/>
        <v>0</v>
      </c>
    </row>
    <row r="108" spans="1:24">
      <c r="A108" s="26" t="s">
        <v>345</v>
      </c>
      <c r="B108" s="26" t="s">
        <v>430</v>
      </c>
      <c r="C108" s="26" t="s">
        <v>471</v>
      </c>
      <c r="D108" s="27">
        <v>41356</v>
      </c>
      <c r="E108" s="26" t="s">
        <v>472</v>
      </c>
      <c r="F108" s="26">
        <v>3</v>
      </c>
      <c r="G108" s="27">
        <v>41328</v>
      </c>
      <c r="H108" s="30">
        <v>20280.18</v>
      </c>
      <c r="I108" s="30">
        <v>-14646.78</v>
      </c>
      <c r="J108" s="30">
        <v>5633.4</v>
      </c>
      <c r="K108" s="31">
        <f t="shared" si="77"/>
        <v>5633.4</v>
      </c>
      <c r="L108" s="31">
        <f t="shared" si="78"/>
        <v>0</v>
      </c>
      <c r="M108" s="31">
        <f t="shared" si="79"/>
        <v>0</v>
      </c>
      <c r="N108" s="31">
        <f t="shared" si="80"/>
        <v>0</v>
      </c>
      <c r="O108" s="31">
        <f t="shared" si="81"/>
        <v>0</v>
      </c>
      <c r="P108" s="31">
        <f t="shared" si="82"/>
        <v>0</v>
      </c>
      <c r="Q108" s="31">
        <f t="shared" si="83"/>
        <v>0</v>
      </c>
      <c r="R108" s="31">
        <f t="shared" si="84"/>
        <v>0</v>
      </c>
      <c r="S108" s="31">
        <f t="shared" si="85"/>
        <v>0</v>
      </c>
      <c r="T108" s="31">
        <f t="shared" si="86"/>
        <v>0</v>
      </c>
      <c r="U108" s="31">
        <f t="shared" si="87"/>
        <v>0</v>
      </c>
      <c r="V108" s="31">
        <f t="shared" si="88"/>
        <v>0</v>
      </c>
      <c r="W108" s="31">
        <f t="shared" ref="W108" si="127">IF(V108=0,0,IF($H108/$F108&gt;V108,V108,$H108/$F108))</f>
        <v>0</v>
      </c>
      <c r="X108" s="31">
        <f t="shared" si="90"/>
        <v>0</v>
      </c>
    </row>
    <row r="109" spans="1:24">
      <c r="A109" s="26" t="s">
        <v>409</v>
      </c>
      <c r="B109" s="26" t="s">
        <v>556</v>
      </c>
      <c r="C109" s="26" t="s">
        <v>588</v>
      </c>
      <c r="D109" s="27">
        <v>41362</v>
      </c>
      <c r="E109" s="26" t="s">
        <v>589</v>
      </c>
      <c r="F109" s="26">
        <v>3</v>
      </c>
      <c r="G109" s="27">
        <v>41272</v>
      </c>
      <c r="H109" s="30">
        <v>11104</v>
      </c>
      <c r="I109" s="30">
        <v>-5551.92</v>
      </c>
      <c r="J109" s="30">
        <v>5552.08</v>
      </c>
      <c r="K109" s="31">
        <f t="shared" si="77"/>
        <v>3701.3333333333335</v>
      </c>
      <c r="L109" s="31">
        <f t="shared" si="78"/>
        <v>1850.7466666666664</v>
      </c>
      <c r="M109" s="31">
        <f t="shared" si="79"/>
        <v>1850.7466666666664</v>
      </c>
      <c r="N109" s="31">
        <f t="shared" si="80"/>
        <v>0</v>
      </c>
      <c r="O109" s="31">
        <f t="shared" si="81"/>
        <v>0</v>
      </c>
      <c r="P109" s="31">
        <f t="shared" si="82"/>
        <v>0</v>
      </c>
      <c r="Q109" s="31">
        <f t="shared" si="83"/>
        <v>0</v>
      </c>
      <c r="R109" s="31">
        <f t="shared" si="84"/>
        <v>0</v>
      </c>
      <c r="S109" s="31">
        <f t="shared" si="85"/>
        <v>0</v>
      </c>
      <c r="T109" s="31">
        <f t="shared" si="86"/>
        <v>0</v>
      </c>
      <c r="U109" s="31">
        <f t="shared" si="87"/>
        <v>0</v>
      </c>
      <c r="V109" s="31">
        <f t="shared" si="88"/>
        <v>0</v>
      </c>
      <c r="W109" s="31">
        <f t="shared" ref="W109" si="128">IF(V109=0,0,IF($H109/$F109&gt;V109,V109,$H109/$F109))</f>
        <v>0</v>
      </c>
      <c r="X109" s="31">
        <f t="shared" si="90"/>
        <v>0</v>
      </c>
    </row>
    <row r="110" spans="1:24">
      <c r="A110" s="26" t="s">
        <v>345</v>
      </c>
      <c r="B110" s="26" t="s">
        <v>325</v>
      </c>
      <c r="C110" s="26" t="s">
        <v>346</v>
      </c>
      <c r="D110" s="27">
        <v>41384</v>
      </c>
      <c r="E110" s="26" t="s">
        <v>347</v>
      </c>
      <c r="F110" s="26">
        <v>10</v>
      </c>
      <c r="G110" s="27">
        <v>41384</v>
      </c>
      <c r="H110" s="30">
        <v>125610</v>
      </c>
      <c r="I110" s="30">
        <v>-18841.5</v>
      </c>
      <c r="J110" s="30">
        <v>106768.5</v>
      </c>
      <c r="K110" s="31">
        <f t="shared" si="77"/>
        <v>12561</v>
      </c>
      <c r="L110" s="31">
        <f t="shared" si="78"/>
        <v>94207.5</v>
      </c>
      <c r="M110" s="31">
        <f t="shared" si="79"/>
        <v>12561</v>
      </c>
      <c r="N110" s="31">
        <f t="shared" si="80"/>
        <v>81646.5</v>
      </c>
      <c r="O110" s="31">
        <f t="shared" si="81"/>
        <v>12561</v>
      </c>
      <c r="P110" s="31">
        <f t="shared" si="82"/>
        <v>69085.5</v>
      </c>
      <c r="Q110" s="31">
        <f t="shared" si="83"/>
        <v>12561</v>
      </c>
      <c r="R110" s="31">
        <f t="shared" si="84"/>
        <v>56524.5</v>
      </c>
      <c r="S110" s="31">
        <f t="shared" si="85"/>
        <v>12561</v>
      </c>
      <c r="T110" s="31">
        <f t="shared" si="86"/>
        <v>43963.5</v>
      </c>
      <c r="U110" s="31">
        <f t="shared" si="87"/>
        <v>12561</v>
      </c>
      <c r="V110" s="31">
        <f t="shared" si="88"/>
        <v>31402.5</v>
      </c>
      <c r="W110" s="31">
        <f t="shared" ref="W110" si="129">IF(V110=0,0,IF($H110/$F110&gt;V110,V110,$H110/$F110))</f>
        <v>12561</v>
      </c>
      <c r="X110" s="31">
        <f t="shared" si="90"/>
        <v>18841.5</v>
      </c>
    </row>
    <row r="111" spans="1:24">
      <c r="A111" s="26" t="s">
        <v>345</v>
      </c>
      <c r="B111" s="26" t="s">
        <v>528</v>
      </c>
      <c r="C111" s="26" t="s">
        <v>537</v>
      </c>
      <c r="D111" s="27">
        <v>41447</v>
      </c>
      <c r="E111" s="26" t="s">
        <v>538</v>
      </c>
      <c r="F111" s="26">
        <v>5</v>
      </c>
      <c r="G111" s="27">
        <v>41447</v>
      </c>
      <c r="H111" s="30">
        <v>37400</v>
      </c>
      <c r="I111" s="30">
        <v>-8726.6200000000008</v>
      </c>
      <c r="J111" s="30">
        <v>28673.38</v>
      </c>
      <c r="K111" s="31">
        <f t="shared" si="77"/>
        <v>7480</v>
      </c>
      <c r="L111" s="31">
        <f t="shared" si="78"/>
        <v>21193.38</v>
      </c>
      <c r="M111" s="31">
        <f t="shared" si="79"/>
        <v>7480</v>
      </c>
      <c r="N111" s="31">
        <f t="shared" si="80"/>
        <v>13713.380000000001</v>
      </c>
      <c r="O111" s="31">
        <f t="shared" si="81"/>
        <v>7480</v>
      </c>
      <c r="P111" s="31">
        <f t="shared" si="82"/>
        <v>6233.380000000001</v>
      </c>
      <c r="Q111" s="31">
        <f t="shared" si="83"/>
        <v>6233.380000000001</v>
      </c>
      <c r="R111" s="31">
        <f t="shared" si="84"/>
        <v>0</v>
      </c>
      <c r="S111" s="31">
        <f t="shared" si="85"/>
        <v>0</v>
      </c>
      <c r="T111" s="31">
        <f t="shared" si="86"/>
        <v>0</v>
      </c>
      <c r="U111" s="31">
        <f t="shared" si="87"/>
        <v>0</v>
      </c>
      <c r="V111" s="31">
        <f t="shared" si="88"/>
        <v>0</v>
      </c>
      <c r="W111" s="31">
        <f t="shared" ref="W111" si="130">IF(V111=0,0,IF($H111/$F111&gt;V111,V111,$H111/$F111))</f>
        <v>0</v>
      </c>
      <c r="X111" s="31">
        <f t="shared" si="90"/>
        <v>0</v>
      </c>
    </row>
    <row r="112" spans="1:24">
      <c r="A112" s="26" t="s">
        <v>345</v>
      </c>
      <c r="B112" s="26" t="s">
        <v>348</v>
      </c>
      <c r="C112" s="26" t="s">
        <v>420</v>
      </c>
      <c r="D112" s="27">
        <v>41477</v>
      </c>
      <c r="E112" s="26" t="s">
        <v>421</v>
      </c>
      <c r="F112" s="26">
        <v>3</v>
      </c>
      <c r="G112" s="27">
        <v>41477</v>
      </c>
      <c r="H112" s="30">
        <v>6528</v>
      </c>
      <c r="I112" s="30">
        <v>-1994.63</v>
      </c>
      <c r="J112" s="30">
        <v>4533.37</v>
      </c>
      <c r="K112" s="31">
        <f t="shared" si="77"/>
        <v>2176</v>
      </c>
      <c r="L112" s="31">
        <f t="shared" si="78"/>
        <v>2357.37</v>
      </c>
      <c r="M112" s="31">
        <f t="shared" si="79"/>
        <v>2176</v>
      </c>
      <c r="N112" s="31">
        <f t="shared" si="80"/>
        <v>181.36999999999989</v>
      </c>
      <c r="O112" s="31">
        <f t="shared" si="81"/>
        <v>181.36999999999989</v>
      </c>
      <c r="P112" s="31">
        <f t="shared" si="82"/>
        <v>0</v>
      </c>
      <c r="Q112" s="31">
        <f t="shared" si="83"/>
        <v>0</v>
      </c>
      <c r="R112" s="31">
        <f t="shared" si="84"/>
        <v>0</v>
      </c>
      <c r="S112" s="31">
        <f t="shared" si="85"/>
        <v>0</v>
      </c>
      <c r="T112" s="31">
        <f t="shared" si="86"/>
        <v>0</v>
      </c>
      <c r="U112" s="31">
        <f t="shared" si="87"/>
        <v>0</v>
      </c>
      <c r="V112" s="31">
        <f t="shared" si="88"/>
        <v>0</v>
      </c>
      <c r="W112" s="31">
        <f t="shared" ref="W112" si="131">IF(V112=0,0,IF($H112/$F112&gt;V112,V112,$H112/$F112))</f>
        <v>0</v>
      </c>
      <c r="X112" s="31">
        <f t="shared" si="90"/>
        <v>0</v>
      </c>
    </row>
    <row r="113" spans="1:24">
      <c r="A113" s="26" t="s">
        <v>345</v>
      </c>
      <c r="B113" s="26" t="s">
        <v>430</v>
      </c>
      <c r="C113" s="26" t="s">
        <v>483</v>
      </c>
      <c r="D113" s="27">
        <v>41478</v>
      </c>
      <c r="E113" s="26" t="s">
        <v>484</v>
      </c>
      <c r="F113" s="26">
        <v>3</v>
      </c>
      <c r="G113" s="27">
        <v>41478</v>
      </c>
      <c r="H113" s="30">
        <v>1715</v>
      </c>
      <c r="I113" s="30">
        <v>-524</v>
      </c>
      <c r="J113" s="30">
        <v>1191</v>
      </c>
      <c r="K113" s="31">
        <f t="shared" si="77"/>
        <v>571.66666666666663</v>
      </c>
      <c r="L113" s="31">
        <f t="shared" si="78"/>
        <v>619.33333333333337</v>
      </c>
      <c r="M113" s="31">
        <f t="shared" si="79"/>
        <v>571.66666666666663</v>
      </c>
      <c r="N113" s="31">
        <f t="shared" si="80"/>
        <v>47.666666666666742</v>
      </c>
      <c r="O113" s="31">
        <f t="shared" si="81"/>
        <v>47.666666666666742</v>
      </c>
      <c r="P113" s="31">
        <f t="shared" si="82"/>
        <v>0</v>
      </c>
      <c r="Q113" s="31">
        <f t="shared" si="83"/>
        <v>0</v>
      </c>
      <c r="R113" s="31">
        <f t="shared" si="84"/>
        <v>0</v>
      </c>
      <c r="S113" s="31">
        <f t="shared" si="85"/>
        <v>0</v>
      </c>
      <c r="T113" s="31">
        <f t="shared" si="86"/>
        <v>0</v>
      </c>
      <c r="U113" s="31">
        <f t="shared" si="87"/>
        <v>0</v>
      </c>
      <c r="V113" s="31">
        <f t="shared" si="88"/>
        <v>0</v>
      </c>
      <c r="W113" s="31">
        <f t="shared" ref="W113" si="132">IF(V113=0,0,IF($H113/$F113&gt;V113,V113,$H113/$F113))</f>
        <v>0</v>
      </c>
      <c r="X113" s="31">
        <f t="shared" si="90"/>
        <v>0</v>
      </c>
    </row>
    <row r="114" spans="1:24">
      <c r="A114" s="26" t="s">
        <v>345</v>
      </c>
      <c r="B114" s="26" t="s">
        <v>430</v>
      </c>
      <c r="C114" s="26" t="s">
        <v>485</v>
      </c>
      <c r="D114" s="27">
        <v>41478</v>
      </c>
      <c r="E114" s="26" t="s">
        <v>486</v>
      </c>
      <c r="F114" s="26">
        <v>3</v>
      </c>
      <c r="G114" s="27">
        <v>41478</v>
      </c>
      <c r="H114" s="30">
        <v>39618.89</v>
      </c>
      <c r="I114" s="30">
        <v>-16507.8</v>
      </c>
      <c r="J114" s="30">
        <v>23111.09</v>
      </c>
      <c r="K114" s="31">
        <f t="shared" si="77"/>
        <v>13206.296666666667</v>
      </c>
      <c r="L114" s="31">
        <f t="shared" si="78"/>
        <v>9904.7933333333331</v>
      </c>
      <c r="M114" s="31">
        <f t="shared" si="79"/>
        <v>9904.7933333333331</v>
      </c>
      <c r="N114" s="31">
        <f t="shared" si="80"/>
        <v>0</v>
      </c>
      <c r="O114" s="31">
        <f t="shared" si="81"/>
        <v>0</v>
      </c>
      <c r="P114" s="31">
        <f t="shared" si="82"/>
        <v>0</v>
      </c>
      <c r="Q114" s="31">
        <f t="shared" si="83"/>
        <v>0</v>
      </c>
      <c r="R114" s="31">
        <f t="shared" si="84"/>
        <v>0</v>
      </c>
      <c r="S114" s="31">
        <f t="shared" si="85"/>
        <v>0</v>
      </c>
      <c r="T114" s="31">
        <f t="shared" si="86"/>
        <v>0</v>
      </c>
      <c r="U114" s="31">
        <f t="shared" si="87"/>
        <v>0</v>
      </c>
      <c r="V114" s="31">
        <f t="shared" si="88"/>
        <v>0</v>
      </c>
      <c r="W114" s="31">
        <f t="shared" ref="W114" si="133">IF(V114=0,0,IF($H114/$F114&gt;V114,V114,$H114/$F114))</f>
        <v>0</v>
      </c>
      <c r="X114" s="31">
        <f t="shared" si="90"/>
        <v>0</v>
      </c>
    </row>
    <row r="115" spans="1:24">
      <c r="A115" s="26" t="s">
        <v>345</v>
      </c>
      <c r="B115" s="26" t="s">
        <v>348</v>
      </c>
      <c r="C115" s="26" t="s">
        <v>422</v>
      </c>
      <c r="D115" s="27">
        <v>41482</v>
      </c>
      <c r="E115" s="26" t="s">
        <v>423</v>
      </c>
      <c r="F115" s="26">
        <v>3</v>
      </c>
      <c r="G115" s="27">
        <v>41482</v>
      </c>
      <c r="H115" s="30">
        <v>5530</v>
      </c>
      <c r="I115" s="30">
        <v>-1689.71</v>
      </c>
      <c r="J115" s="30">
        <v>3840.29</v>
      </c>
      <c r="K115" s="31">
        <f t="shared" si="77"/>
        <v>1843.3333333333333</v>
      </c>
      <c r="L115" s="31">
        <f t="shared" si="78"/>
        <v>1996.9566666666667</v>
      </c>
      <c r="M115" s="31">
        <f t="shared" si="79"/>
        <v>1843.3333333333333</v>
      </c>
      <c r="N115" s="31">
        <f t="shared" si="80"/>
        <v>153.62333333333345</v>
      </c>
      <c r="O115" s="31">
        <f t="shared" si="81"/>
        <v>153.62333333333345</v>
      </c>
      <c r="P115" s="31">
        <f t="shared" si="82"/>
        <v>0</v>
      </c>
      <c r="Q115" s="31">
        <f t="shared" si="83"/>
        <v>0</v>
      </c>
      <c r="R115" s="31">
        <f t="shared" si="84"/>
        <v>0</v>
      </c>
      <c r="S115" s="31">
        <f t="shared" si="85"/>
        <v>0</v>
      </c>
      <c r="T115" s="31">
        <f t="shared" si="86"/>
        <v>0</v>
      </c>
      <c r="U115" s="31">
        <f t="shared" si="87"/>
        <v>0</v>
      </c>
      <c r="V115" s="31">
        <f t="shared" si="88"/>
        <v>0</v>
      </c>
      <c r="W115" s="31">
        <f t="shared" ref="W115" si="134">IF(V115=0,0,IF($H115/$F115&gt;V115,V115,$H115/$F115))</f>
        <v>0</v>
      </c>
      <c r="X115" s="31">
        <f t="shared" si="90"/>
        <v>0</v>
      </c>
    </row>
    <row r="116" spans="1:24">
      <c r="A116" s="26" t="s">
        <v>345</v>
      </c>
      <c r="B116" s="26" t="s">
        <v>496</v>
      </c>
      <c r="C116" s="26" t="s">
        <v>507</v>
      </c>
      <c r="D116" s="27">
        <v>41482</v>
      </c>
      <c r="E116" s="26" t="s">
        <v>508</v>
      </c>
      <c r="F116" s="26">
        <v>4.33</v>
      </c>
      <c r="G116" s="27">
        <v>41482</v>
      </c>
      <c r="H116" s="30">
        <v>16325.64</v>
      </c>
      <c r="I116" s="30">
        <v>-4090.32</v>
      </c>
      <c r="J116" s="30">
        <v>12235.32</v>
      </c>
      <c r="K116" s="31">
        <f t="shared" si="77"/>
        <v>3770.355658198614</v>
      </c>
      <c r="L116" s="31">
        <f t="shared" si="78"/>
        <v>8464.9643418013857</v>
      </c>
      <c r="M116" s="31">
        <f t="shared" si="79"/>
        <v>3770.355658198614</v>
      </c>
      <c r="N116" s="31">
        <f t="shared" si="80"/>
        <v>4694.6086836027716</v>
      </c>
      <c r="O116" s="31">
        <f t="shared" si="81"/>
        <v>3770.355658198614</v>
      </c>
      <c r="P116" s="31">
        <f t="shared" si="82"/>
        <v>924.2530254041576</v>
      </c>
      <c r="Q116" s="31">
        <f t="shared" si="83"/>
        <v>924.2530254041576</v>
      </c>
      <c r="R116" s="31">
        <f t="shared" si="84"/>
        <v>0</v>
      </c>
      <c r="S116" s="31">
        <f t="shared" si="85"/>
        <v>0</v>
      </c>
      <c r="T116" s="31">
        <f t="shared" si="86"/>
        <v>0</v>
      </c>
      <c r="U116" s="31">
        <f t="shared" si="87"/>
        <v>0</v>
      </c>
      <c r="V116" s="31">
        <f t="shared" si="88"/>
        <v>0</v>
      </c>
      <c r="W116" s="31">
        <f t="shared" ref="W116" si="135">IF(V116=0,0,IF($H116/$F116&gt;V116,V116,$H116/$F116))</f>
        <v>0</v>
      </c>
      <c r="X116" s="31">
        <f t="shared" si="90"/>
        <v>0</v>
      </c>
    </row>
    <row r="117" spans="1:24">
      <c r="A117" s="26" t="s">
        <v>345</v>
      </c>
      <c r="B117" s="26" t="s">
        <v>496</v>
      </c>
      <c r="C117" s="26" t="s">
        <v>509</v>
      </c>
      <c r="D117" s="27">
        <v>41482</v>
      </c>
      <c r="E117" s="26" t="s">
        <v>510</v>
      </c>
      <c r="F117" s="26">
        <v>4.25</v>
      </c>
      <c r="G117" s="27">
        <v>41482</v>
      </c>
      <c r="H117" s="30">
        <v>30548.92</v>
      </c>
      <c r="I117" s="30">
        <v>-7187.92</v>
      </c>
      <c r="J117" s="30">
        <v>23361</v>
      </c>
      <c r="K117" s="31">
        <f t="shared" si="77"/>
        <v>7187.9811764705883</v>
      </c>
      <c r="L117" s="31">
        <f t="shared" si="78"/>
        <v>16173.018823529412</v>
      </c>
      <c r="M117" s="31">
        <f t="shared" si="79"/>
        <v>7187.9811764705883</v>
      </c>
      <c r="N117" s="31">
        <f t="shared" si="80"/>
        <v>8985.0376470588235</v>
      </c>
      <c r="O117" s="31">
        <f t="shared" si="81"/>
        <v>7187.9811764705883</v>
      </c>
      <c r="P117" s="31">
        <f t="shared" si="82"/>
        <v>1797.0564705882352</v>
      </c>
      <c r="Q117" s="31">
        <f t="shared" si="83"/>
        <v>1797.0564705882352</v>
      </c>
      <c r="R117" s="31">
        <f t="shared" si="84"/>
        <v>0</v>
      </c>
      <c r="S117" s="31">
        <f t="shared" si="85"/>
        <v>0</v>
      </c>
      <c r="T117" s="31">
        <f t="shared" si="86"/>
        <v>0</v>
      </c>
      <c r="U117" s="31">
        <f t="shared" si="87"/>
        <v>0</v>
      </c>
      <c r="V117" s="31">
        <f t="shared" si="88"/>
        <v>0</v>
      </c>
      <c r="W117" s="31">
        <f t="shared" ref="W117" si="136">IF(V117=0,0,IF($H117/$F117&gt;V117,V117,$H117/$F117))</f>
        <v>0</v>
      </c>
      <c r="X117" s="31">
        <f t="shared" si="90"/>
        <v>0</v>
      </c>
    </row>
    <row r="118" spans="1:24">
      <c r="A118" s="26" t="s">
        <v>345</v>
      </c>
      <c r="B118" s="26" t="s">
        <v>348</v>
      </c>
      <c r="C118" s="26" t="s">
        <v>418</v>
      </c>
      <c r="D118" s="27">
        <v>41493</v>
      </c>
      <c r="E118" s="26" t="s">
        <v>419</v>
      </c>
      <c r="F118" s="26">
        <v>3</v>
      </c>
      <c r="G118" s="27"/>
      <c r="H118" s="30">
        <v>1064.23</v>
      </c>
      <c r="I118" s="30">
        <v>-266.04000000000002</v>
      </c>
      <c r="J118" s="30">
        <v>798.19</v>
      </c>
      <c r="K118" s="31">
        <f t="shared" si="77"/>
        <v>354.74333333333334</v>
      </c>
      <c r="L118" s="31">
        <f t="shared" si="78"/>
        <v>443.44666666666672</v>
      </c>
      <c r="M118" s="31">
        <f t="shared" si="79"/>
        <v>354.74333333333334</v>
      </c>
      <c r="N118" s="31">
        <f t="shared" si="80"/>
        <v>88.703333333333376</v>
      </c>
      <c r="O118" s="31">
        <f t="shared" si="81"/>
        <v>88.703333333333376</v>
      </c>
      <c r="P118" s="31">
        <f t="shared" si="82"/>
        <v>0</v>
      </c>
      <c r="Q118" s="31">
        <f t="shared" si="83"/>
        <v>0</v>
      </c>
      <c r="R118" s="31">
        <f t="shared" si="84"/>
        <v>0</v>
      </c>
      <c r="S118" s="31">
        <f t="shared" si="85"/>
        <v>0</v>
      </c>
      <c r="T118" s="31">
        <f t="shared" si="86"/>
        <v>0</v>
      </c>
      <c r="U118" s="31">
        <f t="shared" si="87"/>
        <v>0</v>
      </c>
      <c r="V118" s="31">
        <f t="shared" si="88"/>
        <v>0</v>
      </c>
      <c r="W118" s="31">
        <f t="shared" ref="W118" si="137">IF(V118=0,0,IF($H118/$F118&gt;V118,V118,$H118/$F118))</f>
        <v>0</v>
      </c>
      <c r="X118" s="31">
        <f t="shared" si="90"/>
        <v>0</v>
      </c>
    </row>
    <row r="119" spans="1:24">
      <c r="A119" s="26" t="s">
        <v>345</v>
      </c>
      <c r="B119" s="26" t="s">
        <v>430</v>
      </c>
      <c r="C119" s="26" t="s">
        <v>481</v>
      </c>
      <c r="D119" s="27">
        <v>41544</v>
      </c>
      <c r="E119" s="26" t="s">
        <v>482</v>
      </c>
      <c r="F119" s="26">
        <v>3</v>
      </c>
      <c r="G119" s="27">
        <v>41544</v>
      </c>
      <c r="H119" s="30">
        <v>70187.149999999994</v>
      </c>
      <c r="I119" s="30">
        <v>-29244.6</v>
      </c>
      <c r="J119" s="30">
        <v>40942.550000000003</v>
      </c>
      <c r="K119" s="31">
        <f t="shared" si="77"/>
        <v>23395.716666666664</v>
      </c>
      <c r="L119" s="31">
        <f t="shared" si="78"/>
        <v>17546.833333333339</v>
      </c>
      <c r="M119" s="31">
        <f t="shared" si="79"/>
        <v>17546.833333333339</v>
      </c>
      <c r="N119" s="31">
        <f t="shared" si="80"/>
        <v>0</v>
      </c>
      <c r="O119" s="31">
        <f t="shared" si="81"/>
        <v>0</v>
      </c>
      <c r="P119" s="31">
        <f t="shared" si="82"/>
        <v>0</v>
      </c>
      <c r="Q119" s="31">
        <f t="shared" si="83"/>
        <v>0</v>
      </c>
      <c r="R119" s="31">
        <f t="shared" si="84"/>
        <v>0</v>
      </c>
      <c r="S119" s="31">
        <f t="shared" si="85"/>
        <v>0</v>
      </c>
      <c r="T119" s="31">
        <f t="shared" si="86"/>
        <v>0</v>
      </c>
      <c r="U119" s="31">
        <f t="shared" si="87"/>
        <v>0</v>
      </c>
      <c r="V119" s="31">
        <f t="shared" si="88"/>
        <v>0</v>
      </c>
      <c r="W119" s="31">
        <f t="shared" ref="W119" si="138">IF(V119=0,0,IF($H119/$F119&gt;V119,V119,$H119/$F119))</f>
        <v>0</v>
      </c>
      <c r="X119" s="31">
        <f t="shared" si="90"/>
        <v>0</v>
      </c>
    </row>
    <row r="120" spans="1:24">
      <c r="A120" s="26" t="s">
        <v>345</v>
      </c>
      <c r="B120" s="26" t="s">
        <v>430</v>
      </c>
      <c r="C120" s="26" t="s">
        <v>489</v>
      </c>
      <c r="D120" s="27">
        <v>41544</v>
      </c>
      <c r="E120" s="26" t="s">
        <v>490</v>
      </c>
      <c r="F120" s="26">
        <v>3</v>
      </c>
      <c r="G120" s="27">
        <v>41544</v>
      </c>
      <c r="H120" s="30">
        <v>213616.95</v>
      </c>
      <c r="I120" s="30">
        <v>-53404.2</v>
      </c>
      <c r="J120" s="30">
        <v>160212.75</v>
      </c>
      <c r="K120" s="31">
        <f t="shared" si="77"/>
        <v>71205.650000000009</v>
      </c>
      <c r="L120" s="31">
        <f t="shared" si="78"/>
        <v>89007.099999999991</v>
      </c>
      <c r="M120" s="31">
        <f t="shared" si="79"/>
        <v>71205.650000000009</v>
      </c>
      <c r="N120" s="31">
        <f t="shared" si="80"/>
        <v>17801.449999999983</v>
      </c>
      <c r="O120" s="31">
        <f t="shared" si="81"/>
        <v>17801.449999999983</v>
      </c>
      <c r="P120" s="31">
        <f t="shared" si="82"/>
        <v>0</v>
      </c>
      <c r="Q120" s="31">
        <f t="shared" si="83"/>
        <v>0</v>
      </c>
      <c r="R120" s="31">
        <f t="shared" si="84"/>
        <v>0</v>
      </c>
      <c r="S120" s="31">
        <f t="shared" si="85"/>
        <v>0</v>
      </c>
      <c r="T120" s="31">
        <f t="shared" si="86"/>
        <v>0</v>
      </c>
      <c r="U120" s="31">
        <f t="shared" si="87"/>
        <v>0</v>
      </c>
      <c r="V120" s="31">
        <f t="shared" si="88"/>
        <v>0</v>
      </c>
      <c r="W120" s="31">
        <f t="shared" ref="W120" si="139">IF(V120=0,0,IF($H120/$F120&gt;V120,V120,$H120/$F120))</f>
        <v>0</v>
      </c>
      <c r="X120" s="31">
        <f t="shared" si="90"/>
        <v>0</v>
      </c>
    </row>
    <row r="121" spans="1:24">
      <c r="A121" s="26" t="s">
        <v>345</v>
      </c>
      <c r="B121" s="26" t="s">
        <v>430</v>
      </c>
      <c r="C121" s="26" t="s">
        <v>451</v>
      </c>
      <c r="D121" s="27">
        <v>41545</v>
      </c>
      <c r="E121" s="26" t="s">
        <v>452</v>
      </c>
      <c r="F121" s="26">
        <v>3</v>
      </c>
      <c r="G121" s="27">
        <v>41545</v>
      </c>
      <c r="H121" s="30">
        <v>40341.4</v>
      </c>
      <c r="I121" s="30">
        <v>-16808.849999999999</v>
      </c>
      <c r="J121" s="30">
        <v>23532.55</v>
      </c>
      <c r="K121" s="31">
        <f t="shared" si="77"/>
        <v>13447.133333333333</v>
      </c>
      <c r="L121" s="31">
        <f t="shared" si="78"/>
        <v>10085.416666666666</v>
      </c>
      <c r="M121" s="31">
        <f t="shared" si="79"/>
        <v>10085.416666666666</v>
      </c>
      <c r="N121" s="31">
        <f t="shared" si="80"/>
        <v>0</v>
      </c>
      <c r="O121" s="31">
        <f t="shared" si="81"/>
        <v>0</v>
      </c>
      <c r="P121" s="31">
        <f t="shared" si="82"/>
        <v>0</v>
      </c>
      <c r="Q121" s="31">
        <f t="shared" si="83"/>
        <v>0</v>
      </c>
      <c r="R121" s="31">
        <f t="shared" si="84"/>
        <v>0</v>
      </c>
      <c r="S121" s="31">
        <f t="shared" si="85"/>
        <v>0</v>
      </c>
      <c r="T121" s="31">
        <f t="shared" si="86"/>
        <v>0</v>
      </c>
      <c r="U121" s="31">
        <f t="shared" si="87"/>
        <v>0</v>
      </c>
      <c r="V121" s="31">
        <f t="shared" si="88"/>
        <v>0</v>
      </c>
      <c r="W121" s="31">
        <f t="shared" ref="W121" si="140">IF(V121=0,0,IF($H121/$F121&gt;V121,V121,$H121/$F121))</f>
        <v>0</v>
      </c>
      <c r="X121" s="31">
        <f t="shared" si="90"/>
        <v>0</v>
      </c>
    </row>
    <row r="122" spans="1:24">
      <c r="A122" s="26" t="s">
        <v>345</v>
      </c>
      <c r="B122" s="26" t="s">
        <v>541</v>
      </c>
      <c r="C122" s="26" t="s">
        <v>544</v>
      </c>
      <c r="D122" s="27">
        <v>41545</v>
      </c>
      <c r="E122" s="26" t="s">
        <v>545</v>
      </c>
      <c r="F122" s="26">
        <v>25</v>
      </c>
      <c r="G122" s="27"/>
      <c r="H122" s="30">
        <v>177842.76</v>
      </c>
      <c r="I122" s="30">
        <v>-5913.16</v>
      </c>
      <c r="J122" s="30">
        <v>171929.60000000001</v>
      </c>
      <c r="K122" s="31">
        <f t="shared" si="77"/>
        <v>7113.7103999999999</v>
      </c>
      <c r="L122" s="31">
        <f t="shared" si="78"/>
        <v>164815.88959999999</v>
      </c>
      <c r="M122" s="31">
        <f t="shared" si="79"/>
        <v>7113.7103999999999</v>
      </c>
      <c r="N122" s="31">
        <f t="shared" si="80"/>
        <v>157702.17919999998</v>
      </c>
      <c r="O122" s="31">
        <f t="shared" si="81"/>
        <v>7113.7103999999999</v>
      </c>
      <c r="P122" s="31">
        <f t="shared" si="82"/>
        <v>150588.46879999997</v>
      </c>
      <c r="Q122" s="31">
        <f t="shared" si="83"/>
        <v>7113.7103999999999</v>
      </c>
      <c r="R122" s="31">
        <f t="shared" si="84"/>
        <v>143474.75839999996</v>
      </c>
      <c r="S122" s="31">
        <f t="shared" si="85"/>
        <v>7113.7103999999999</v>
      </c>
      <c r="T122" s="31">
        <f t="shared" si="86"/>
        <v>136361.04799999995</v>
      </c>
      <c r="U122" s="31">
        <f t="shared" si="87"/>
        <v>7113.7103999999999</v>
      </c>
      <c r="V122" s="31">
        <f t="shared" si="88"/>
        <v>129247.33759999996</v>
      </c>
      <c r="W122" s="31">
        <f t="shared" ref="W122" si="141">IF(V122=0,0,IF($H122/$F122&gt;V122,V122,$H122/$F122))</f>
        <v>7113.7103999999999</v>
      </c>
      <c r="X122" s="31">
        <f t="shared" si="90"/>
        <v>122133.62719999996</v>
      </c>
    </row>
    <row r="123" spans="1:24">
      <c r="A123" s="26" t="s">
        <v>345</v>
      </c>
      <c r="B123" s="26" t="s">
        <v>348</v>
      </c>
      <c r="C123" s="26" t="s">
        <v>424</v>
      </c>
      <c r="D123" s="27">
        <v>41556</v>
      </c>
      <c r="E123" s="26" t="s">
        <v>425</v>
      </c>
      <c r="F123" s="26">
        <v>3</v>
      </c>
      <c r="G123" s="27"/>
      <c r="H123" s="30">
        <v>12736</v>
      </c>
      <c r="I123" s="30">
        <v>-2830.16</v>
      </c>
      <c r="J123" s="30">
        <v>9905.84</v>
      </c>
      <c r="K123" s="31">
        <f t="shared" si="77"/>
        <v>4245.333333333333</v>
      </c>
      <c r="L123" s="31">
        <f t="shared" si="78"/>
        <v>5660.5066666666671</v>
      </c>
      <c r="M123" s="31">
        <f t="shared" si="79"/>
        <v>4245.333333333333</v>
      </c>
      <c r="N123" s="31">
        <f t="shared" si="80"/>
        <v>1415.1733333333341</v>
      </c>
      <c r="O123" s="31">
        <f t="shared" si="81"/>
        <v>1415.1733333333341</v>
      </c>
      <c r="P123" s="31">
        <f t="shared" si="82"/>
        <v>0</v>
      </c>
      <c r="Q123" s="31">
        <f t="shared" si="83"/>
        <v>0</v>
      </c>
      <c r="R123" s="31">
        <f t="shared" si="84"/>
        <v>0</v>
      </c>
      <c r="S123" s="31">
        <f t="shared" si="85"/>
        <v>0</v>
      </c>
      <c r="T123" s="31">
        <f t="shared" si="86"/>
        <v>0</v>
      </c>
      <c r="U123" s="31">
        <f t="shared" si="87"/>
        <v>0</v>
      </c>
      <c r="V123" s="31">
        <f t="shared" si="88"/>
        <v>0</v>
      </c>
      <c r="W123" s="31">
        <f t="shared" ref="W123" si="142">IF(V123=0,0,IF($H123/$F123&gt;V123,V123,$H123/$F123))</f>
        <v>0</v>
      </c>
      <c r="X123" s="31">
        <f t="shared" si="90"/>
        <v>0</v>
      </c>
    </row>
    <row r="124" spans="1:24">
      <c r="A124" s="26" t="s">
        <v>345</v>
      </c>
      <c r="B124" s="26" t="s">
        <v>430</v>
      </c>
      <c r="C124" s="26" t="s">
        <v>487</v>
      </c>
      <c r="D124" s="27">
        <v>41583</v>
      </c>
      <c r="E124" s="26" t="s">
        <v>488</v>
      </c>
      <c r="F124" s="26">
        <v>3</v>
      </c>
      <c r="G124" s="27"/>
      <c r="H124" s="30">
        <v>26587</v>
      </c>
      <c r="I124" s="30">
        <v>-738.52</v>
      </c>
      <c r="J124" s="30">
        <v>25848.48</v>
      </c>
      <c r="K124" s="31">
        <f t="shared" si="77"/>
        <v>8862.3333333333339</v>
      </c>
      <c r="L124" s="31">
        <f t="shared" si="78"/>
        <v>16986.146666666667</v>
      </c>
      <c r="M124" s="31">
        <f t="shared" si="79"/>
        <v>8862.3333333333339</v>
      </c>
      <c r="N124" s="31">
        <f t="shared" si="80"/>
        <v>8123.8133333333335</v>
      </c>
      <c r="O124" s="31">
        <f t="shared" si="81"/>
        <v>8123.8133333333335</v>
      </c>
      <c r="P124" s="31">
        <f t="shared" si="82"/>
        <v>0</v>
      </c>
      <c r="Q124" s="31">
        <f t="shared" si="83"/>
        <v>0</v>
      </c>
      <c r="R124" s="31">
        <f t="shared" si="84"/>
        <v>0</v>
      </c>
      <c r="S124" s="31">
        <f t="shared" si="85"/>
        <v>0</v>
      </c>
      <c r="T124" s="31">
        <f t="shared" si="86"/>
        <v>0</v>
      </c>
      <c r="U124" s="31">
        <f t="shared" si="87"/>
        <v>0</v>
      </c>
      <c r="V124" s="31">
        <f t="shared" si="88"/>
        <v>0</v>
      </c>
      <c r="W124" s="31">
        <f t="shared" ref="W124" si="143">IF(V124=0,0,IF($H124/$F124&gt;V124,V124,$H124/$F124))</f>
        <v>0</v>
      </c>
      <c r="X124" s="31">
        <f t="shared" si="90"/>
        <v>0</v>
      </c>
    </row>
    <row r="125" spans="1:24">
      <c r="A125" s="26" t="s">
        <v>409</v>
      </c>
      <c r="B125" s="26" t="s">
        <v>348</v>
      </c>
      <c r="C125" s="26" t="s">
        <v>410</v>
      </c>
      <c r="D125" s="27">
        <v>41683</v>
      </c>
      <c r="E125" s="26" t="s">
        <v>411</v>
      </c>
      <c r="F125" s="26">
        <v>3</v>
      </c>
      <c r="G125" s="27"/>
      <c r="H125" s="30">
        <v>835.45</v>
      </c>
      <c r="I125" s="30">
        <v>-487.33</v>
      </c>
      <c r="J125" s="30">
        <v>348.12</v>
      </c>
      <c r="K125" s="31">
        <f t="shared" si="77"/>
        <v>278.48333333333335</v>
      </c>
      <c r="L125" s="31">
        <f t="shared" si="78"/>
        <v>69.636666666666656</v>
      </c>
      <c r="M125" s="31">
        <f t="shared" si="79"/>
        <v>69.636666666666656</v>
      </c>
      <c r="N125" s="31">
        <f t="shared" si="80"/>
        <v>0</v>
      </c>
      <c r="O125" s="31">
        <f t="shared" si="81"/>
        <v>0</v>
      </c>
      <c r="P125" s="31">
        <f t="shared" si="82"/>
        <v>0</v>
      </c>
      <c r="Q125" s="31">
        <f t="shared" si="83"/>
        <v>0</v>
      </c>
      <c r="R125" s="31">
        <f t="shared" si="84"/>
        <v>0</v>
      </c>
      <c r="S125" s="31">
        <f t="shared" si="85"/>
        <v>0</v>
      </c>
      <c r="T125" s="31">
        <f t="shared" si="86"/>
        <v>0</v>
      </c>
      <c r="U125" s="31">
        <f t="shared" si="87"/>
        <v>0</v>
      </c>
      <c r="V125" s="31">
        <f t="shared" si="88"/>
        <v>0</v>
      </c>
      <c r="W125" s="31">
        <f t="shared" ref="W125" si="144">IF(V125=0,0,IF($H125/$F125&gt;V125,V125,$H125/$F125))</f>
        <v>0</v>
      </c>
      <c r="X125" s="31">
        <f t="shared" si="90"/>
        <v>0</v>
      </c>
    </row>
    <row r="126" spans="1:24">
      <c r="A126" s="26" t="s">
        <v>409</v>
      </c>
      <c r="B126" s="26" t="s">
        <v>528</v>
      </c>
      <c r="C126" s="26" t="s">
        <v>539</v>
      </c>
      <c r="D126" s="27">
        <v>41771</v>
      </c>
      <c r="E126" s="26" t="s">
        <v>540</v>
      </c>
      <c r="F126" s="26">
        <v>5</v>
      </c>
      <c r="G126" s="27"/>
      <c r="H126" s="30">
        <v>5000</v>
      </c>
      <c r="I126" s="30">
        <v>-249.99</v>
      </c>
      <c r="J126" s="30">
        <v>4750.01</v>
      </c>
      <c r="K126" s="31">
        <f t="shared" si="77"/>
        <v>1000</v>
      </c>
      <c r="L126" s="31">
        <f t="shared" si="78"/>
        <v>3750.01</v>
      </c>
      <c r="M126" s="31">
        <f t="shared" si="79"/>
        <v>1000</v>
      </c>
      <c r="N126" s="31">
        <f t="shared" si="80"/>
        <v>2750.01</v>
      </c>
      <c r="O126" s="31">
        <f t="shared" si="81"/>
        <v>1000</v>
      </c>
      <c r="P126" s="31">
        <f t="shared" si="82"/>
        <v>1750.0100000000002</v>
      </c>
      <c r="Q126" s="31">
        <f t="shared" si="83"/>
        <v>1000</v>
      </c>
      <c r="R126" s="31">
        <f t="shared" si="84"/>
        <v>750.01000000000022</v>
      </c>
      <c r="S126" s="31">
        <f t="shared" si="85"/>
        <v>750.01000000000022</v>
      </c>
      <c r="T126" s="31">
        <f t="shared" si="86"/>
        <v>0</v>
      </c>
      <c r="U126" s="31">
        <f t="shared" si="87"/>
        <v>0</v>
      </c>
      <c r="V126" s="31">
        <f t="shared" si="88"/>
        <v>0</v>
      </c>
      <c r="W126" s="31">
        <f t="shared" ref="W126" si="145">IF(V126=0,0,IF($H126/$F126&gt;V126,V126,$H126/$F126))</f>
        <v>0</v>
      </c>
      <c r="X126" s="31">
        <f t="shared" si="90"/>
        <v>0</v>
      </c>
    </row>
    <row r="127" spans="1:24">
      <c r="A127" s="26" t="s">
        <v>409</v>
      </c>
      <c r="B127" s="26" t="s">
        <v>556</v>
      </c>
      <c r="C127" s="26" t="s">
        <v>590</v>
      </c>
      <c r="D127" s="27">
        <v>41771</v>
      </c>
      <c r="E127" s="26" t="s">
        <v>591</v>
      </c>
      <c r="F127" s="26">
        <v>8</v>
      </c>
      <c r="G127" s="27">
        <v>41771</v>
      </c>
      <c r="H127" s="30">
        <v>25103</v>
      </c>
      <c r="I127" s="30">
        <v>-261.48</v>
      </c>
      <c r="J127" s="30">
        <v>24841.52</v>
      </c>
      <c r="K127" s="31">
        <f t="shared" si="77"/>
        <v>3137.875</v>
      </c>
      <c r="L127" s="31">
        <f t="shared" si="78"/>
        <v>21703.645</v>
      </c>
      <c r="M127" s="31">
        <f t="shared" si="79"/>
        <v>3137.875</v>
      </c>
      <c r="N127" s="31">
        <f t="shared" si="80"/>
        <v>18565.77</v>
      </c>
      <c r="O127" s="31">
        <f t="shared" si="81"/>
        <v>3137.875</v>
      </c>
      <c r="P127" s="31">
        <f t="shared" si="82"/>
        <v>15427.895</v>
      </c>
      <c r="Q127" s="31">
        <f t="shared" si="83"/>
        <v>3137.875</v>
      </c>
      <c r="R127" s="31">
        <f t="shared" si="84"/>
        <v>12290.02</v>
      </c>
      <c r="S127" s="31">
        <f t="shared" si="85"/>
        <v>3137.875</v>
      </c>
      <c r="T127" s="31">
        <f t="shared" si="86"/>
        <v>9152.1450000000004</v>
      </c>
      <c r="U127" s="31">
        <f t="shared" si="87"/>
        <v>3137.875</v>
      </c>
      <c r="V127" s="31">
        <f t="shared" si="88"/>
        <v>6014.27</v>
      </c>
      <c r="W127" s="31">
        <f t="shared" ref="W127" si="146">IF(V127=0,0,IF($H127/$F127&gt;V127,V127,$H127/$F127))</f>
        <v>3137.875</v>
      </c>
      <c r="X127" s="31">
        <f t="shared" si="90"/>
        <v>2876.3950000000004</v>
      </c>
    </row>
    <row r="128" spans="1:24">
      <c r="A128" s="26" t="s">
        <v>409</v>
      </c>
      <c r="B128" s="26" t="s">
        <v>348</v>
      </c>
      <c r="C128" s="26" t="s">
        <v>426</v>
      </c>
      <c r="D128" s="27">
        <v>41800</v>
      </c>
      <c r="E128" s="26" t="s">
        <v>427</v>
      </c>
      <c r="F128" s="26">
        <v>3</v>
      </c>
      <c r="G128" s="27">
        <v>41800</v>
      </c>
      <c r="H128" s="30">
        <v>9916</v>
      </c>
      <c r="I128" s="30">
        <v>-275.44</v>
      </c>
      <c r="J128" s="30">
        <v>9640.56</v>
      </c>
      <c r="K128" s="31">
        <f t="shared" si="77"/>
        <v>3305.3333333333335</v>
      </c>
      <c r="L128" s="31">
        <f t="shared" si="78"/>
        <v>6335.2266666666656</v>
      </c>
      <c r="M128" s="31">
        <f t="shared" si="79"/>
        <v>3305.3333333333335</v>
      </c>
      <c r="N128" s="31">
        <f t="shared" si="80"/>
        <v>3029.8933333333321</v>
      </c>
      <c r="O128" s="31">
        <f t="shared" si="81"/>
        <v>3029.8933333333321</v>
      </c>
      <c r="P128" s="31">
        <f t="shared" si="82"/>
        <v>0</v>
      </c>
      <c r="Q128" s="31">
        <f t="shared" si="83"/>
        <v>0</v>
      </c>
      <c r="R128" s="31">
        <f t="shared" si="84"/>
        <v>0</v>
      </c>
      <c r="S128" s="31">
        <f t="shared" si="85"/>
        <v>0</v>
      </c>
      <c r="T128" s="31">
        <f t="shared" si="86"/>
        <v>0</v>
      </c>
      <c r="U128" s="31">
        <f t="shared" si="87"/>
        <v>0</v>
      </c>
      <c r="V128" s="31">
        <f t="shared" si="88"/>
        <v>0</v>
      </c>
      <c r="W128" s="31">
        <f t="shared" ref="W128" si="147">IF(V128=0,0,IF($H128/$F128&gt;V128,V128,$H128/$F128))</f>
        <v>0</v>
      </c>
      <c r="X128" s="31">
        <f t="shared" si="90"/>
        <v>0</v>
      </c>
    </row>
    <row r="129" spans="1:24">
      <c r="A129" s="26" t="s">
        <v>409</v>
      </c>
      <c r="B129" s="26" t="s">
        <v>348</v>
      </c>
      <c r="C129" s="26" t="s">
        <v>428</v>
      </c>
      <c r="D129" s="27">
        <v>41811</v>
      </c>
      <c r="E129" s="26" t="s">
        <v>429</v>
      </c>
      <c r="F129" s="26">
        <v>3</v>
      </c>
      <c r="G129" s="27"/>
      <c r="H129" s="30">
        <v>84293.74</v>
      </c>
      <c r="I129" s="30">
        <v>-2341.4899999999998</v>
      </c>
      <c r="J129" s="30">
        <v>81952.25</v>
      </c>
      <c r="K129" s="31">
        <f t="shared" si="77"/>
        <v>28097.913333333334</v>
      </c>
      <c r="L129" s="31">
        <f t="shared" si="78"/>
        <v>53854.33666666667</v>
      </c>
      <c r="M129" s="31">
        <f t="shared" si="79"/>
        <v>28097.913333333334</v>
      </c>
      <c r="N129" s="31">
        <f t="shared" si="80"/>
        <v>25756.423333333336</v>
      </c>
      <c r="O129" s="31">
        <f t="shared" si="81"/>
        <v>25756.423333333336</v>
      </c>
      <c r="P129" s="31">
        <f t="shared" si="82"/>
        <v>0</v>
      </c>
      <c r="Q129" s="31">
        <f t="shared" si="83"/>
        <v>0</v>
      </c>
      <c r="R129" s="31">
        <f t="shared" si="84"/>
        <v>0</v>
      </c>
      <c r="S129" s="31">
        <f t="shared" si="85"/>
        <v>0</v>
      </c>
      <c r="T129" s="31">
        <f t="shared" si="86"/>
        <v>0</v>
      </c>
      <c r="U129" s="31">
        <f t="shared" si="87"/>
        <v>0</v>
      </c>
      <c r="V129" s="31">
        <f t="shared" si="88"/>
        <v>0</v>
      </c>
      <c r="W129" s="31">
        <f t="shared" ref="W129:W133" si="148">IF(V129=0,0,IF($H129/$F129&gt;V129,V129,$H129/$F129))</f>
        <v>0</v>
      </c>
      <c r="X129" s="31">
        <f t="shared" si="90"/>
        <v>0</v>
      </c>
    </row>
    <row r="130" spans="1:24">
      <c r="A130" s="26"/>
      <c r="B130" s="26"/>
      <c r="C130" s="26"/>
      <c r="D130" s="27"/>
      <c r="E130" s="26"/>
      <c r="F130" s="26"/>
      <c r="G130" s="27"/>
      <c r="H130" s="30"/>
      <c r="I130" s="30"/>
      <c r="J130" s="30"/>
      <c r="K130" s="31"/>
      <c r="L130" s="31"/>
      <c r="M130" s="31"/>
      <c r="N130" s="31"/>
      <c r="O130" s="31"/>
      <c r="P130" s="31"/>
      <c r="Q130" s="31"/>
      <c r="R130" s="31"/>
      <c r="S130" s="31"/>
      <c r="T130" s="31"/>
      <c r="U130" s="31"/>
      <c r="V130" s="31"/>
      <c r="W130" s="31"/>
      <c r="X130" s="31"/>
    </row>
    <row r="131" spans="1:24">
      <c r="A131" s="26"/>
      <c r="B131" s="26" t="s">
        <v>592</v>
      </c>
      <c r="C131" s="26" t="s">
        <v>592</v>
      </c>
      <c r="D131" s="27"/>
      <c r="E131" s="26" t="s">
        <v>593</v>
      </c>
      <c r="F131" s="29">
        <v>25</v>
      </c>
      <c r="G131" s="27"/>
      <c r="H131" s="30">
        <f>2028475.29-0.4</f>
        <v>2028474.8900000001</v>
      </c>
      <c r="I131" s="30"/>
      <c r="J131" s="30">
        <f>2028475.29-0.4</f>
        <v>2028474.8900000001</v>
      </c>
      <c r="K131" s="31">
        <f t="shared" si="77"/>
        <v>81138.995600000009</v>
      </c>
      <c r="L131" s="31">
        <f t="shared" ref="L131:L133" si="149">IF((J131-K131)&lt;0,0,(J131-K131))</f>
        <v>1947335.8944000001</v>
      </c>
      <c r="M131" s="31">
        <f t="shared" si="79"/>
        <v>81138.995600000009</v>
      </c>
      <c r="N131" s="31">
        <f t="shared" ref="N131:N133" si="150">IF((L131-M131)&lt;0,0,(L131-M131))</f>
        <v>1866196.8988000001</v>
      </c>
      <c r="O131" s="31">
        <f t="shared" si="81"/>
        <v>81138.995600000009</v>
      </c>
      <c r="P131" s="31">
        <f t="shared" ref="P131:P133" si="151">IF((N131-O131)&lt;0,0,(N131-O131))</f>
        <v>1785057.9032000001</v>
      </c>
      <c r="Q131" s="31">
        <f t="shared" si="83"/>
        <v>81138.995600000009</v>
      </c>
      <c r="R131" s="31">
        <f t="shared" ref="R131:R133" si="152">IF((P131-Q131)&lt;0,0,(P131-Q131))</f>
        <v>1703918.9076</v>
      </c>
      <c r="S131" s="31">
        <f t="shared" si="85"/>
        <v>81138.995600000009</v>
      </c>
      <c r="T131" s="31">
        <f t="shared" ref="T131:T133" si="153">IF((R131-S131)&lt;0,0,(R131-S131))</f>
        <v>1622779.912</v>
      </c>
      <c r="U131" s="31">
        <f t="shared" si="87"/>
        <v>81138.995600000009</v>
      </c>
      <c r="V131" s="31">
        <f t="shared" ref="V131:V133" si="154">IF((T131-U131)&lt;0,0,(T131-U131))</f>
        <v>1541640.9164</v>
      </c>
      <c r="W131" s="31">
        <f t="shared" si="148"/>
        <v>81138.995600000009</v>
      </c>
      <c r="X131" s="31">
        <f t="shared" ref="X131:X133" si="155">IF((V131-W131)&lt;0,0,(V131-W131))</f>
        <v>1460501.9208</v>
      </c>
    </row>
    <row r="132" spans="1:24">
      <c r="A132" s="26"/>
      <c r="B132" s="26" t="s">
        <v>592</v>
      </c>
      <c r="C132" s="26" t="s">
        <v>592</v>
      </c>
      <c r="D132" s="27"/>
      <c r="E132" s="26" t="s">
        <v>594</v>
      </c>
      <c r="F132" s="29">
        <v>5</v>
      </c>
      <c r="G132" s="27"/>
      <c r="H132" s="30">
        <v>12487</v>
      </c>
      <c r="I132" s="30"/>
      <c r="J132" s="30">
        <v>12487</v>
      </c>
      <c r="K132" s="31">
        <f t="shared" si="77"/>
        <v>2497.4</v>
      </c>
      <c r="L132" s="31">
        <f t="shared" si="149"/>
        <v>9989.6</v>
      </c>
      <c r="M132" s="31">
        <f t="shared" si="79"/>
        <v>2497.4</v>
      </c>
      <c r="N132" s="31">
        <f t="shared" si="150"/>
        <v>7492.2000000000007</v>
      </c>
      <c r="O132" s="31">
        <f t="shared" si="81"/>
        <v>2497.4</v>
      </c>
      <c r="P132" s="31">
        <f t="shared" si="151"/>
        <v>4994.8000000000011</v>
      </c>
      <c r="Q132" s="31">
        <f t="shared" si="83"/>
        <v>2497.4</v>
      </c>
      <c r="R132" s="31">
        <f t="shared" si="152"/>
        <v>2497.400000000001</v>
      </c>
      <c r="S132" s="31">
        <f t="shared" si="85"/>
        <v>2497.4</v>
      </c>
      <c r="T132" s="31">
        <f t="shared" si="153"/>
        <v>9.0949470177292824E-13</v>
      </c>
      <c r="U132" s="31">
        <f t="shared" si="87"/>
        <v>9.0949470177292824E-13</v>
      </c>
      <c r="V132" s="31">
        <f t="shared" si="154"/>
        <v>0</v>
      </c>
      <c r="W132" s="31">
        <f t="shared" si="148"/>
        <v>0</v>
      </c>
      <c r="X132" s="31">
        <f t="shared" si="155"/>
        <v>0</v>
      </c>
    </row>
    <row r="133" spans="1:24">
      <c r="A133" s="26"/>
      <c r="B133" s="26" t="s">
        <v>592</v>
      </c>
      <c r="C133" s="26" t="s">
        <v>592</v>
      </c>
      <c r="D133" s="27"/>
      <c r="E133" s="26" t="s">
        <v>595</v>
      </c>
      <c r="F133" s="29">
        <v>5</v>
      </c>
      <c r="G133" s="27"/>
      <c r="H133" s="30">
        <v>36050</v>
      </c>
      <c r="I133" s="30"/>
      <c r="J133" s="30">
        <v>36050</v>
      </c>
      <c r="K133" s="31">
        <f t="shared" si="77"/>
        <v>7210</v>
      </c>
      <c r="L133" s="31">
        <f t="shared" si="149"/>
        <v>28840</v>
      </c>
      <c r="M133" s="31">
        <f t="shared" si="79"/>
        <v>7210</v>
      </c>
      <c r="N133" s="31">
        <f t="shared" si="150"/>
        <v>21630</v>
      </c>
      <c r="O133" s="31">
        <f t="shared" si="81"/>
        <v>7210</v>
      </c>
      <c r="P133" s="31">
        <f t="shared" si="151"/>
        <v>14420</v>
      </c>
      <c r="Q133" s="31">
        <f t="shared" si="83"/>
        <v>7210</v>
      </c>
      <c r="R133" s="31">
        <f t="shared" si="152"/>
        <v>7210</v>
      </c>
      <c r="S133" s="31">
        <f t="shared" si="85"/>
        <v>7210</v>
      </c>
      <c r="T133" s="31">
        <f t="shared" si="153"/>
        <v>0</v>
      </c>
      <c r="U133" s="31">
        <f t="shared" si="87"/>
        <v>0</v>
      </c>
      <c r="V133" s="31">
        <f t="shared" si="154"/>
        <v>0</v>
      </c>
      <c r="W133" s="31">
        <f t="shared" si="148"/>
        <v>0</v>
      </c>
      <c r="X133" s="31">
        <f t="shared" si="155"/>
        <v>0</v>
      </c>
    </row>
    <row r="134" spans="1:24">
      <c r="A134" s="26"/>
      <c r="B134" s="26"/>
      <c r="C134" s="26"/>
      <c r="D134" s="27"/>
      <c r="E134" s="26"/>
      <c r="F134" s="26"/>
      <c r="G134" s="27"/>
      <c r="H134" s="30"/>
      <c r="I134" s="30"/>
      <c r="J134" s="30"/>
      <c r="K134" s="31"/>
      <c r="L134" s="31"/>
      <c r="M134" s="31"/>
      <c r="N134" s="31"/>
      <c r="O134" s="31"/>
      <c r="P134" s="31"/>
      <c r="Q134" s="31"/>
      <c r="R134" s="31"/>
      <c r="S134" s="31"/>
      <c r="T134" s="31"/>
      <c r="U134" s="31"/>
      <c r="V134" s="31"/>
      <c r="W134" s="31"/>
      <c r="X134" s="31"/>
    </row>
    <row r="135" spans="1:24">
      <c r="A135" s="78"/>
      <c r="B135" s="78"/>
      <c r="C135" s="78"/>
      <c r="D135" s="79"/>
      <c r="E135" s="28" t="s">
        <v>23</v>
      </c>
      <c r="F135" s="80"/>
      <c r="G135" s="81"/>
      <c r="H135" s="82">
        <f>SUM(H4:H133)</f>
        <v>17255059.420000002</v>
      </c>
      <c r="I135" s="82">
        <f t="shared" ref="I135:V135" si="156">SUM(I4:I133)</f>
        <v>-10153126.620000005</v>
      </c>
      <c r="J135" s="82">
        <f t="shared" si="156"/>
        <v>7101932.7999999989</v>
      </c>
      <c r="K135" s="82">
        <f t="shared" si="156"/>
        <v>1829052.2071764783</v>
      </c>
      <c r="L135" s="82">
        <f t="shared" si="156"/>
        <v>5272880.5928235203</v>
      </c>
      <c r="M135" s="82">
        <f t="shared" si="156"/>
        <v>1370382.9908431445</v>
      </c>
      <c r="N135" s="82">
        <f t="shared" si="156"/>
        <v>3902497.6019803779</v>
      </c>
      <c r="O135" s="82">
        <f t="shared" si="156"/>
        <v>1139381.6634673949</v>
      </c>
      <c r="P135" s="82">
        <f t="shared" si="156"/>
        <v>2763115.9385129819</v>
      </c>
      <c r="Q135" s="82">
        <f t="shared" si="156"/>
        <v>432058.11615699611</v>
      </c>
      <c r="R135" s="82">
        <f t="shared" si="156"/>
        <v>2331057.8223559856</v>
      </c>
      <c r="S135" s="82">
        <f t="shared" si="156"/>
        <v>266093.58316100354</v>
      </c>
      <c r="T135" s="82">
        <f t="shared" si="156"/>
        <v>2064964.2391949822</v>
      </c>
      <c r="U135" s="82">
        <f t="shared" si="156"/>
        <v>209498.37366100357</v>
      </c>
      <c r="V135" s="82">
        <f t="shared" si="156"/>
        <v>1855465.8655339787</v>
      </c>
      <c r="W135" s="82">
        <f t="shared" ref="W135:X135" si="157">SUM(W4:W133)</f>
        <v>208451.01241100355</v>
      </c>
      <c r="X135" s="82">
        <f t="shared" si="157"/>
        <v>1647014.8531229752</v>
      </c>
    </row>
    <row r="136" spans="1:24">
      <c r="A136" s="78"/>
      <c r="B136" s="78"/>
      <c r="C136" s="78"/>
      <c r="D136" s="79"/>
      <c r="E136" s="28"/>
      <c r="F136" s="78"/>
      <c r="G136" s="78"/>
      <c r="H136" s="78"/>
      <c r="I136" s="78"/>
      <c r="J136" s="78"/>
      <c r="K136" s="78"/>
      <c r="L136" s="78"/>
      <c r="M136" s="78"/>
      <c r="N136" s="78"/>
      <c r="O136" s="78"/>
      <c r="P136" s="78"/>
      <c r="Q136" s="78"/>
      <c r="R136" s="78"/>
      <c r="S136" s="78"/>
      <c r="T136" s="78"/>
      <c r="U136" s="78"/>
      <c r="V136" s="78"/>
    </row>
    <row r="137" spans="1:24" ht="45">
      <c r="A137" s="78"/>
      <c r="B137" s="78"/>
      <c r="C137" s="78"/>
      <c r="D137" s="79"/>
      <c r="E137" s="28"/>
      <c r="F137" s="78"/>
      <c r="G137" s="78"/>
      <c r="H137" s="78"/>
      <c r="I137" s="78"/>
      <c r="J137" s="78"/>
      <c r="K137" s="35" t="s">
        <v>621</v>
      </c>
      <c r="L137" s="35" t="s">
        <v>616</v>
      </c>
      <c r="M137" s="35" t="s">
        <v>617</v>
      </c>
      <c r="N137" s="35" t="s">
        <v>618</v>
      </c>
      <c r="O137" s="35" t="s">
        <v>619</v>
      </c>
      <c r="P137" s="35" t="s">
        <v>620</v>
      </c>
      <c r="Q137" s="78"/>
      <c r="R137" s="78"/>
      <c r="S137" s="78"/>
      <c r="T137" s="78"/>
      <c r="U137" s="78"/>
      <c r="V137" s="78"/>
    </row>
    <row r="138" spans="1:24">
      <c r="A138" s="78"/>
      <c r="B138" s="78"/>
      <c r="C138" s="78"/>
      <c r="D138" s="79"/>
      <c r="E138" s="28"/>
      <c r="F138" s="78"/>
      <c r="G138" s="78"/>
      <c r="H138" s="78"/>
      <c r="I138" s="78"/>
      <c r="J138" s="35" t="s">
        <v>23</v>
      </c>
      <c r="K138" s="31">
        <f>0.75*K135+0.25*M135</f>
        <v>1714384.9030931448</v>
      </c>
      <c r="L138" s="31">
        <f>0.75*M135+0.25*O135</f>
        <v>1312632.6589992072</v>
      </c>
      <c r="M138" s="31">
        <f>0.75*O135+0.25*Q135</f>
        <v>962550.77663979516</v>
      </c>
      <c r="N138" s="31">
        <f>0.75*Q135+0.25*S135</f>
        <v>390566.98290799791</v>
      </c>
      <c r="O138" s="31">
        <f>0.75*S135+0.25*U135</f>
        <v>251944.78078600354</v>
      </c>
      <c r="P138" s="31">
        <f>0.75*U135+0.25*W135</f>
        <v>209236.53334850358</v>
      </c>
      <c r="Q138" s="78"/>
      <c r="R138" s="78"/>
      <c r="S138" s="78"/>
      <c r="T138" s="78"/>
      <c r="U138" s="78"/>
      <c r="V138" s="78"/>
    </row>
    <row r="139" spans="1:24">
      <c r="A139" s="78"/>
      <c r="B139" s="78"/>
      <c r="C139" s="78"/>
      <c r="D139" s="79"/>
      <c r="E139" s="28"/>
      <c r="F139" s="78"/>
      <c r="G139" s="78"/>
      <c r="H139" s="78"/>
      <c r="I139" s="78"/>
      <c r="J139" s="78"/>
      <c r="K139" s="78"/>
      <c r="L139" s="78"/>
      <c r="M139" s="78"/>
      <c r="N139" s="78"/>
      <c r="O139" s="78"/>
      <c r="P139" s="78"/>
      <c r="Q139" s="78"/>
      <c r="R139" s="78"/>
      <c r="S139" s="78"/>
      <c r="T139" s="78"/>
      <c r="U139" s="78"/>
      <c r="V139" s="78"/>
    </row>
    <row r="140" spans="1:24">
      <c r="A140" s="78"/>
      <c r="B140" s="78"/>
      <c r="C140" s="78"/>
      <c r="D140" s="79"/>
      <c r="E140" s="28"/>
      <c r="F140" s="78"/>
      <c r="G140" s="78"/>
      <c r="H140" s="78"/>
      <c r="I140" s="78"/>
      <c r="J140" s="78"/>
      <c r="K140" s="78"/>
      <c r="L140" s="78"/>
      <c r="M140" s="78"/>
      <c r="N140" s="78"/>
      <c r="O140" s="78"/>
      <c r="P140" s="78"/>
      <c r="Q140" s="78"/>
      <c r="R140" s="78"/>
      <c r="S140" s="78"/>
      <c r="T140" s="78"/>
      <c r="U140" s="78"/>
      <c r="V140" s="78"/>
    </row>
    <row r="141" spans="1:24" ht="45">
      <c r="A141" s="35" t="s">
        <v>314</v>
      </c>
      <c r="B141" s="35" t="s">
        <v>315</v>
      </c>
      <c r="C141" s="35" t="s">
        <v>316</v>
      </c>
      <c r="D141" s="35" t="s">
        <v>317</v>
      </c>
      <c r="E141" s="35" t="s">
        <v>318</v>
      </c>
      <c r="F141" s="35" t="s">
        <v>629</v>
      </c>
      <c r="G141" s="35" t="s">
        <v>320</v>
      </c>
      <c r="H141" s="35" t="s">
        <v>630</v>
      </c>
      <c r="I141" s="35" t="s">
        <v>621</v>
      </c>
      <c r="J141" s="35" t="s">
        <v>622</v>
      </c>
      <c r="K141" s="35" t="s">
        <v>616</v>
      </c>
      <c r="L141" s="35" t="s">
        <v>623</v>
      </c>
      <c r="M141" s="35" t="s">
        <v>617</v>
      </c>
      <c r="N141" s="35" t="s">
        <v>624</v>
      </c>
      <c r="O141" s="35" t="s">
        <v>618</v>
      </c>
      <c r="P141" s="35" t="s">
        <v>625</v>
      </c>
      <c r="Q141" s="35" t="s">
        <v>619</v>
      </c>
      <c r="R141" s="35" t="s">
        <v>626</v>
      </c>
      <c r="S141" s="35" t="s">
        <v>620</v>
      </c>
      <c r="T141" s="35" t="s">
        <v>627</v>
      </c>
    </row>
    <row r="142" spans="1:24">
      <c r="A142" s="26" t="s">
        <v>608</v>
      </c>
      <c r="B142" s="26"/>
      <c r="C142" s="26"/>
      <c r="D142" s="27">
        <v>42095</v>
      </c>
      <c r="E142" s="26" t="s">
        <v>609</v>
      </c>
      <c r="F142" s="26">
        <v>25</v>
      </c>
      <c r="G142" s="27">
        <v>42095</v>
      </c>
      <c r="H142" s="30">
        <f>Inputs!D215*1000*Calc1!J7</f>
        <v>195.90097440461508</v>
      </c>
      <c r="I142" s="31">
        <f>$H142/$F142/2</f>
        <v>3.9180194880923018</v>
      </c>
      <c r="J142" s="31">
        <f>$H142-I142</f>
        <v>191.98295491652277</v>
      </c>
      <c r="K142" s="31">
        <f>$H142/$F142</f>
        <v>7.8360389761846037</v>
      </c>
      <c r="L142" s="31">
        <f>$H142-K142</f>
        <v>188.06493542843049</v>
      </c>
      <c r="M142" s="31">
        <f>$H142/$F142</f>
        <v>7.8360389761846037</v>
      </c>
      <c r="N142" s="31">
        <f>$H142-M142</f>
        <v>188.06493542843049</v>
      </c>
      <c r="O142" s="31">
        <f>$H142/$F142</f>
        <v>7.8360389761846037</v>
      </c>
      <c r="P142" s="31">
        <f>$H142-O142</f>
        <v>188.06493542843049</v>
      </c>
      <c r="Q142" s="31">
        <f>$H142/$F142</f>
        <v>7.8360389761846037</v>
      </c>
      <c r="R142" s="31">
        <f>$H142-Q142</f>
        <v>188.06493542843049</v>
      </c>
      <c r="S142" s="31">
        <f>$H142/$F142</f>
        <v>7.8360389761846037</v>
      </c>
      <c r="T142" s="31">
        <f>$H142-S142</f>
        <v>188.06493542843049</v>
      </c>
    </row>
    <row r="143" spans="1:24">
      <c r="A143" s="26" t="s">
        <v>611</v>
      </c>
      <c r="B143" s="26"/>
      <c r="C143" s="26"/>
      <c r="D143" s="27">
        <v>42461</v>
      </c>
      <c r="E143" s="26" t="s">
        <v>609</v>
      </c>
      <c r="F143" s="26">
        <v>25</v>
      </c>
      <c r="G143" s="27">
        <v>42461</v>
      </c>
      <c r="H143" s="30">
        <f>Inputs!D218*1000*Calc1!K7</f>
        <v>0</v>
      </c>
      <c r="I143" s="31"/>
      <c r="J143" s="31"/>
      <c r="K143" s="31">
        <f>$H143/$F143/2</f>
        <v>0</v>
      </c>
      <c r="L143" s="31">
        <f t="shared" ref="L143" si="158">$H143-K143</f>
        <v>0</v>
      </c>
      <c r="M143" s="31">
        <f>$H143/$F143</f>
        <v>0</v>
      </c>
      <c r="N143" s="31">
        <f t="shared" ref="N143:N144" si="159">$H143-M143</f>
        <v>0</v>
      </c>
      <c r="O143" s="31">
        <f>$H143/$F143</f>
        <v>0</v>
      </c>
      <c r="P143" s="31">
        <f t="shared" ref="P143:P145" si="160">$H143-O143</f>
        <v>0</v>
      </c>
      <c r="Q143" s="31">
        <f>$H143/$F143</f>
        <v>0</v>
      </c>
      <c r="R143" s="31">
        <f t="shared" ref="R143:R146" si="161">$H143-Q143</f>
        <v>0</v>
      </c>
      <c r="S143" s="31">
        <f>$H143/$F143</f>
        <v>0</v>
      </c>
      <c r="T143" s="31">
        <f t="shared" ref="T143:T146" si="162">$H143-S143</f>
        <v>0</v>
      </c>
    </row>
    <row r="144" spans="1:24">
      <c r="A144" s="26" t="s">
        <v>612</v>
      </c>
      <c r="B144" s="26"/>
      <c r="C144" s="26"/>
      <c r="D144" s="27">
        <v>42826</v>
      </c>
      <c r="E144" s="26" t="s">
        <v>609</v>
      </c>
      <c r="F144" s="26">
        <v>25</v>
      </c>
      <c r="G144" s="27">
        <v>42826</v>
      </c>
      <c r="H144" s="30">
        <f>Inputs!D219*1000*Calc1!L7</f>
        <v>0</v>
      </c>
      <c r="I144" s="31"/>
      <c r="J144" s="31"/>
      <c r="K144" s="31"/>
      <c r="L144" s="31"/>
      <c r="M144" s="31">
        <f>$H144/$F144/2</f>
        <v>0</v>
      </c>
      <c r="N144" s="31">
        <f t="shared" si="159"/>
        <v>0</v>
      </c>
      <c r="O144" s="31">
        <f>$H144/$F144</f>
        <v>0</v>
      </c>
      <c r="P144" s="31">
        <f t="shared" si="160"/>
        <v>0</v>
      </c>
      <c r="Q144" s="31">
        <f>$H144/$F144</f>
        <v>0</v>
      </c>
      <c r="R144" s="31">
        <f t="shared" si="161"/>
        <v>0</v>
      </c>
      <c r="S144" s="31">
        <f>$H144/$F144</f>
        <v>0</v>
      </c>
      <c r="T144" s="31">
        <f t="shared" si="162"/>
        <v>0</v>
      </c>
    </row>
    <row r="145" spans="1:20">
      <c r="A145" s="26" t="s">
        <v>613</v>
      </c>
      <c r="B145" s="26"/>
      <c r="C145" s="26"/>
      <c r="D145" s="27">
        <v>43191</v>
      </c>
      <c r="E145" s="26" t="s">
        <v>609</v>
      </c>
      <c r="F145" s="26">
        <v>25</v>
      </c>
      <c r="G145" s="27">
        <v>43191</v>
      </c>
      <c r="H145" s="30">
        <f>Inputs!D220*1000*Calc1!M7</f>
        <v>0</v>
      </c>
      <c r="I145" s="31"/>
      <c r="J145" s="31"/>
      <c r="K145" s="31"/>
      <c r="L145" s="31"/>
      <c r="M145" s="31"/>
      <c r="N145" s="31"/>
      <c r="O145" s="31">
        <f>$H145/$F145/2</f>
        <v>0</v>
      </c>
      <c r="P145" s="31">
        <f t="shared" si="160"/>
        <v>0</v>
      </c>
      <c r="Q145" s="31">
        <f>$H145/$F145</f>
        <v>0</v>
      </c>
      <c r="R145" s="31">
        <f t="shared" si="161"/>
        <v>0</v>
      </c>
      <c r="S145" s="31">
        <f>$H145/$F145</f>
        <v>0</v>
      </c>
      <c r="T145" s="31">
        <f t="shared" si="162"/>
        <v>0</v>
      </c>
    </row>
    <row r="146" spans="1:20">
      <c r="A146" s="26" t="s">
        <v>614</v>
      </c>
      <c r="B146" s="26"/>
      <c r="C146" s="26"/>
      <c r="D146" s="27">
        <v>43556</v>
      </c>
      <c r="E146" s="26" t="s">
        <v>609</v>
      </c>
      <c r="F146" s="26">
        <v>25</v>
      </c>
      <c r="G146" s="27">
        <v>43556</v>
      </c>
      <c r="H146" s="30">
        <f>Inputs!D221*1000*Calc1!N7</f>
        <v>0</v>
      </c>
      <c r="I146" s="31"/>
      <c r="J146" s="31"/>
      <c r="K146" s="31"/>
      <c r="L146" s="31"/>
      <c r="M146" s="31"/>
      <c r="N146" s="31"/>
      <c r="O146" s="31"/>
      <c r="P146" s="31"/>
      <c r="Q146" s="31">
        <f>$H146/$F146/2</f>
        <v>0</v>
      </c>
      <c r="R146" s="31">
        <f t="shared" si="161"/>
        <v>0</v>
      </c>
      <c r="S146" s="31">
        <f>$H146/$F146</f>
        <v>0</v>
      </c>
      <c r="T146" s="31">
        <f t="shared" si="162"/>
        <v>0</v>
      </c>
    </row>
    <row r="147" spans="1:20">
      <c r="A147" s="26" t="s">
        <v>615</v>
      </c>
      <c r="B147" s="26"/>
      <c r="C147" s="26"/>
      <c r="D147" s="27">
        <v>43922</v>
      </c>
      <c r="E147" s="26" t="s">
        <v>609</v>
      </c>
      <c r="F147" s="26">
        <v>25</v>
      </c>
      <c r="G147" s="27">
        <v>43922</v>
      </c>
      <c r="H147" s="30">
        <f>Inputs!D222*1000*Calc1!O7</f>
        <v>0</v>
      </c>
      <c r="I147" s="31"/>
      <c r="J147" s="31"/>
      <c r="K147" s="31"/>
      <c r="L147" s="31"/>
      <c r="M147" s="31"/>
      <c r="N147" s="31"/>
      <c r="O147" s="31"/>
      <c r="P147" s="31"/>
      <c r="Q147" s="31"/>
      <c r="R147" s="31"/>
      <c r="S147" s="31">
        <f>$H147/$F147/2</f>
        <v>0</v>
      </c>
      <c r="T147" s="31">
        <f>$H147-S147</f>
        <v>0</v>
      </c>
    </row>
    <row r="148" spans="1:20">
      <c r="A148" s="26" t="s">
        <v>608</v>
      </c>
      <c r="B148" s="26"/>
      <c r="C148" s="26"/>
      <c r="D148" s="27">
        <v>42095</v>
      </c>
      <c r="E148" s="26" t="s">
        <v>610</v>
      </c>
      <c r="F148" s="26">
        <v>5</v>
      </c>
      <c r="G148" s="27">
        <v>42095</v>
      </c>
      <c r="H148" s="30">
        <f>Inputs!D194*1000*Calc1!J7</f>
        <v>1830444.0235706328</v>
      </c>
      <c r="I148" s="31">
        <f>$H148/$F148/2</f>
        <v>183044.40235706329</v>
      </c>
      <c r="J148" s="31">
        <f>$H148-I148</f>
        <v>1647399.6212135695</v>
      </c>
      <c r="K148" s="31">
        <f>$H148/$F148</f>
        <v>366088.80471412657</v>
      </c>
      <c r="L148" s="31">
        <f t="shared" ref="L148:L149" si="163">$H148-K148</f>
        <v>1464355.2188565063</v>
      </c>
      <c r="M148" s="31">
        <f>$H148/$F148</f>
        <v>366088.80471412657</v>
      </c>
      <c r="N148" s="31">
        <f t="shared" ref="N148:N150" si="164">$H148-M148</f>
        <v>1464355.2188565063</v>
      </c>
      <c r="O148" s="31">
        <f>$H148/$F148</f>
        <v>366088.80471412657</v>
      </c>
      <c r="P148" s="31">
        <f t="shared" ref="P148:P151" si="165">$H148-O148</f>
        <v>1464355.2188565063</v>
      </c>
      <c r="Q148" s="31">
        <f>$H148/$F148</f>
        <v>366088.80471412657</v>
      </c>
      <c r="R148" s="31">
        <f t="shared" ref="R148:R152" si="166">$H148-Q148</f>
        <v>1464355.2188565063</v>
      </c>
      <c r="S148" s="31">
        <f>$H148/$F148</f>
        <v>366088.80471412657</v>
      </c>
      <c r="T148" s="31">
        <f t="shared" ref="T148:T153" si="167">$H148-S148</f>
        <v>1464355.2188565063</v>
      </c>
    </row>
    <row r="149" spans="1:20">
      <c r="A149" s="26" t="s">
        <v>611</v>
      </c>
      <c r="B149" s="26"/>
      <c r="C149" s="26"/>
      <c r="D149" s="27">
        <v>42461</v>
      </c>
      <c r="E149" s="26" t="s">
        <v>610</v>
      </c>
      <c r="F149" s="26">
        <v>5</v>
      </c>
      <c r="G149" s="27">
        <v>42461</v>
      </c>
      <c r="H149" s="30">
        <f>Inputs!B197*1000*Calc1!K7</f>
        <v>1565425.3876848621</v>
      </c>
      <c r="I149" s="31"/>
      <c r="J149" s="31"/>
      <c r="K149" s="31">
        <f>$H149/$F149/2</f>
        <v>156542.53876848621</v>
      </c>
      <c r="L149" s="31">
        <f t="shared" si="163"/>
        <v>1408882.848916376</v>
      </c>
      <c r="M149" s="31">
        <f>$H149/$F149</f>
        <v>313085.07753697241</v>
      </c>
      <c r="N149" s="31">
        <f t="shared" si="164"/>
        <v>1252340.3101478897</v>
      </c>
      <c r="O149" s="31">
        <f t="shared" ref="O149:O150" si="168">$H149/$F149</f>
        <v>313085.07753697241</v>
      </c>
      <c r="P149" s="31">
        <f t="shared" si="165"/>
        <v>1252340.3101478897</v>
      </c>
      <c r="Q149" s="31">
        <f t="shared" ref="Q149:Q151" si="169">$H149/$F149</f>
        <v>313085.07753697241</v>
      </c>
      <c r="R149" s="31">
        <f t="shared" si="166"/>
        <v>1252340.3101478897</v>
      </c>
      <c r="S149" s="31">
        <f t="shared" ref="S149:S152" si="170">$H149/$F149</f>
        <v>313085.07753697241</v>
      </c>
      <c r="T149" s="31">
        <f t="shared" si="167"/>
        <v>1252340.3101478897</v>
      </c>
    </row>
    <row r="150" spans="1:20">
      <c r="A150" s="26" t="s">
        <v>612</v>
      </c>
      <c r="B150" s="26"/>
      <c r="C150" s="26"/>
      <c r="D150" s="27">
        <v>42826</v>
      </c>
      <c r="E150" s="26" t="s">
        <v>610</v>
      </c>
      <c r="F150" s="26">
        <v>5</v>
      </c>
      <c r="G150" s="27">
        <v>42826</v>
      </c>
      <c r="H150" s="30">
        <f>Inputs!B198*1000*Calc1!L7</f>
        <v>1586393.8497177726</v>
      </c>
      <c r="I150" s="31"/>
      <c r="J150" s="31"/>
      <c r="K150" s="31"/>
      <c r="L150" s="31"/>
      <c r="M150" s="31">
        <f>$H150/$F150/2</f>
        <v>158639.38497177727</v>
      </c>
      <c r="N150" s="31">
        <f t="shared" si="164"/>
        <v>1427754.4647459954</v>
      </c>
      <c r="O150" s="31">
        <f t="shared" si="168"/>
        <v>317278.76994355454</v>
      </c>
      <c r="P150" s="31">
        <f t="shared" si="165"/>
        <v>1269115.0797742181</v>
      </c>
      <c r="Q150" s="31">
        <f t="shared" si="169"/>
        <v>317278.76994355454</v>
      </c>
      <c r="R150" s="31">
        <f t="shared" si="166"/>
        <v>1269115.0797742181</v>
      </c>
      <c r="S150" s="31">
        <f t="shared" si="170"/>
        <v>317278.76994355454</v>
      </c>
      <c r="T150" s="31">
        <f t="shared" si="167"/>
        <v>1269115.0797742181</v>
      </c>
    </row>
    <row r="151" spans="1:20">
      <c r="A151" s="26" t="s">
        <v>613</v>
      </c>
      <c r="B151" s="26"/>
      <c r="C151" s="26"/>
      <c r="D151" s="27">
        <v>43191</v>
      </c>
      <c r="E151" s="26" t="s">
        <v>610</v>
      </c>
      <c r="F151" s="26">
        <v>5</v>
      </c>
      <c r="G151" s="27">
        <v>43191</v>
      </c>
      <c r="H151" s="30">
        <f>Inputs!B199*1000*Calc1!M7</f>
        <v>12716296.738216341</v>
      </c>
      <c r="I151" s="31"/>
      <c r="J151" s="31"/>
      <c r="K151" s="31"/>
      <c r="L151" s="31"/>
      <c r="M151" s="31"/>
      <c r="N151" s="31"/>
      <c r="O151" s="31">
        <f>$H151/$F151/2</f>
        <v>1271629.6738216341</v>
      </c>
      <c r="P151" s="31">
        <f t="shared" si="165"/>
        <v>11444667.064394707</v>
      </c>
      <c r="Q151" s="31">
        <f t="shared" si="169"/>
        <v>2543259.3476432683</v>
      </c>
      <c r="R151" s="31">
        <f t="shared" si="166"/>
        <v>10173037.390573073</v>
      </c>
      <c r="S151" s="31">
        <f t="shared" si="170"/>
        <v>2543259.3476432683</v>
      </c>
      <c r="T151" s="31">
        <f t="shared" si="167"/>
        <v>10173037.390573073</v>
      </c>
    </row>
    <row r="152" spans="1:20">
      <c r="A152" s="26" t="s">
        <v>614</v>
      </c>
      <c r="B152" s="26"/>
      <c r="C152" s="26"/>
      <c r="D152" s="27">
        <v>43556</v>
      </c>
      <c r="E152" s="26" t="s">
        <v>610</v>
      </c>
      <c r="F152" s="26">
        <v>5</v>
      </c>
      <c r="G152" s="27">
        <v>43556</v>
      </c>
      <c r="H152" s="30">
        <f>Inputs!B200*1000*Calc1!N7</f>
        <v>1795553.8064654081</v>
      </c>
      <c r="I152" s="31"/>
      <c r="J152" s="31"/>
      <c r="K152" s="31"/>
      <c r="L152" s="31"/>
      <c r="M152" s="31"/>
      <c r="N152" s="31"/>
      <c r="O152" s="31"/>
      <c r="P152" s="31"/>
      <c r="Q152" s="31">
        <f>$H152/$F152/2</f>
        <v>179555.38064654081</v>
      </c>
      <c r="R152" s="31">
        <f t="shared" si="166"/>
        <v>1615998.4258188673</v>
      </c>
      <c r="S152" s="31">
        <f t="shared" si="170"/>
        <v>359110.76129308162</v>
      </c>
      <c r="T152" s="31">
        <f t="shared" si="167"/>
        <v>1436443.0451723265</v>
      </c>
    </row>
    <row r="153" spans="1:20">
      <c r="A153" s="26" t="s">
        <v>615</v>
      </c>
      <c r="B153" s="26"/>
      <c r="C153" s="26"/>
      <c r="D153" s="27">
        <v>43922</v>
      </c>
      <c r="E153" s="26" t="s">
        <v>610</v>
      </c>
      <c r="F153" s="26">
        <v>5</v>
      </c>
      <c r="G153" s="27">
        <v>43922</v>
      </c>
      <c r="H153" s="30">
        <f>Inputs!B201*1000*Calc1!O7</f>
        <v>2044552.5838108426</v>
      </c>
      <c r="I153" s="31"/>
      <c r="J153" s="31"/>
      <c r="K153" s="31"/>
      <c r="L153" s="31"/>
      <c r="M153" s="31"/>
      <c r="N153" s="31"/>
      <c r="O153" s="31"/>
      <c r="P153" s="31"/>
      <c r="Q153" s="31"/>
      <c r="R153" s="31"/>
      <c r="S153" s="31">
        <f>$H153/$F153/2</f>
        <v>204455.25838108425</v>
      </c>
      <c r="T153" s="31">
        <f t="shared" si="167"/>
        <v>1840097.3254297583</v>
      </c>
    </row>
    <row r="154" spans="1:20">
      <c r="A154" s="78"/>
      <c r="B154" s="78"/>
      <c r="C154" s="78"/>
      <c r="D154" s="79"/>
      <c r="E154" s="28" t="s">
        <v>23</v>
      </c>
      <c r="F154" s="80"/>
      <c r="G154" s="81"/>
      <c r="H154" s="82">
        <f t="shared" ref="H154:T154" si="171">SUM(H142:H153)</f>
        <v>21538862.290440265</v>
      </c>
      <c r="I154" s="82">
        <f t="shared" si="171"/>
        <v>183048.32037655139</v>
      </c>
      <c r="J154" s="82">
        <f t="shared" si="171"/>
        <v>1647591.6041684861</v>
      </c>
      <c r="K154" s="82">
        <f t="shared" si="171"/>
        <v>522639.17952158896</v>
      </c>
      <c r="L154" s="82">
        <f t="shared" si="171"/>
        <v>2873426.1327083106</v>
      </c>
      <c r="M154" s="82">
        <f t="shared" si="171"/>
        <v>837821.1032618524</v>
      </c>
      <c r="N154" s="82">
        <f t="shared" si="171"/>
        <v>4144638.0586858196</v>
      </c>
      <c r="O154" s="82">
        <f t="shared" si="171"/>
        <v>2268090.1620552638</v>
      </c>
      <c r="P154" s="82">
        <f t="shared" si="171"/>
        <v>15430665.738108749</v>
      </c>
      <c r="Q154" s="82">
        <f t="shared" si="171"/>
        <v>3719275.2165234387</v>
      </c>
      <c r="R154" s="82">
        <f t="shared" si="171"/>
        <v>15775034.490105983</v>
      </c>
      <c r="S154" s="82">
        <f t="shared" si="171"/>
        <v>4103285.8555510635</v>
      </c>
      <c r="T154" s="82">
        <f t="shared" si="171"/>
        <v>17435576.434889201</v>
      </c>
    </row>
    <row r="156" spans="1:20" ht="15.75" customHeight="1">
      <c r="F156" s="96" t="s">
        <v>290</v>
      </c>
      <c r="G156" s="96"/>
      <c r="H156" s="96"/>
      <c r="I156" s="96"/>
      <c r="J156" s="96"/>
      <c r="K156" s="96"/>
    </row>
    <row r="157" spans="1:20" ht="45">
      <c r="E157" s="78"/>
      <c r="F157" s="35" t="s">
        <v>621</v>
      </c>
      <c r="G157" s="35" t="s">
        <v>616</v>
      </c>
      <c r="H157" s="35" t="s">
        <v>617</v>
      </c>
      <c r="I157" s="35" t="s">
        <v>618</v>
      </c>
      <c r="J157" s="35" t="s">
        <v>619</v>
      </c>
      <c r="K157" s="35" t="s">
        <v>620</v>
      </c>
    </row>
    <row r="158" spans="1:20">
      <c r="E158" s="35" t="s">
        <v>628</v>
      </c>
      <c r="F158" s="31">
        <f>(K138+I154)/1000</f>
        <v>1897.4332234696963</v>
      </c>
      <c r="G158" s="31">
        <f>(L138+K154)/1000</f>
        <v>1835.2718385207961</v>
      </c>
      <c r="H158" s="31">
        <f>(M138+M154)/1000</f>
        <v>1800.3718799016476</v>
      </c>
      <c r="I158" s="31">
        <f>(N138+O154)/1000</f>
        <v>2658.6571449632615</v>
      </c>
      <c r="J158" s="31">
        <f>(O138+Q154)/1000</f>
        <v>3971.2199973094421</v>
      </c>
      <c r="K158" s="31">
        <f>(P138+S154)/1000</f>
        <v>4312.5223888995679</v>
      </c>
    </row>
  </sheetData>
  <sortState ref="A142:H159">
    <sortCondition ref="E142:E159"/>
    <sortCondition ref="D142:D159"/>
  </sortState>
  <mergeCells count="1">
    <mergeCell ref="F156:K156"/>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6" tint="0.79998168889431442"/>
  </sheetPr>
  <dimension ref="A1:AP118"/>
  <sheetViews>
    <sheetView showGridLines="0" topLeftCell="A94" zoomScale="75" zoomScaleNormal="75" workbookViewId="0">
      <selection activeCell="K123" sqref="K123"/>
    </sheetView>
  </sheetViews>
  <sheetFormatPr defaultRowHeight="15"/>
  <cols>
    <col min="1" max="1" width="51.140625" style="3" customWidth="1"/>
    <col min="2" max="2" width="19.42578125" style="3" bestFit="1" customWidth="1"/>
    <col min="3" max="42" width="12.28515625" style="3" bestFit="1" customWidth="1"/>
    <col min="43" max="16384" width="9.140625" style="3"/>
  </cols>
  <sheetData>
    <row r="1" spans="1:25" s="6" customFormat="1" ht="18.75">
      <c r="A1" s="6" t="s">
        <v>72</v>
      </c>
    </row>
    <row r="3" spans="1:25">
      <c r="A3" s="2"/>
      <c r="B3" s="34" t="s">
        <v>67</v>
      </c>
      <c r="C3" s="34"/>
      <c r="D3" s="34"/>
      <c r="E3" s="34"/>
      <c r="F3" s="34"/>
      <c r="G3" s="34"/>
      <c r="H3" s="34"/>
      <c r="I3" s="34"/>
      <c r="J3" s="34"/>
      <c r="K3" s="34"/>
      <c r="L3" s="34"/>
      <c r="M3" s="34"/>
      <c r="N3" s="34"/>
      <c r="O3" s="34"/>
      <c r="P3" s="34"/>
      <c r="Q3" s="34"/>
      <c r="R3" s="34"/>
      <c r="S3" s="34"/>
      <c r="T3" s="34"/>
      <c r="U3" s="34"/>
      <c r="V3" s="34"/>
      <c r="W3" s="34"/>
      <c r="X3" s="34"/>
      <c r="Y3" s="34"/>
    </row>
    <row r="4" spans="1:25">
      <c r="B4" s="7">
        <v>39386</v>
      </c>
      <c r="C4" s="7">
        <v>39538</v>
      </c>
      <c r="D4" s="7">
        <v>39721</v>
      </c>
      <c r="E4" s="7">
        <v>40086</v>
      </c>
      <c r="F4" s="7">
        <v>40268</v>
      </c>
      <c r="G4" s="7">
        <v>40451</v>
      </c>
      <c r="H4" s="7">
        <v>40816</v>
      </c>
      <c r="I4" s="7">
        <v>41182</v>
      </c>
      <c r="J4" s="7">
        <v>41547</v>
      </c>
      <c r="K4" s="7">
        <v>41912</v>
      </c>
      <c r="L4" s="7">
        <v>42277</v>
      </c>
      <c r="M4" s="7">
        <v>42643</v>
      </c>
      <c r="N4" s="7">
        <v>43008</v>
      </c>
      <c r="O4" s="7">
        <v>43373</v>
      </c>
      <c r="P4" s="7">
        <v>43738</v>
      </c>
      <c r="Q4" s="7">
        <v>44104</v>
      </c>
      <c r="R4" s="7">
        <v>44469</v>
      </c>
      <c r="S4" s="7">
        <v>44834</v>
      </c>
      <c r="T4" s="7">
        <v>45199</v>
      </c>
      <c r="U4" s="7">
        <v>45565</v>
      </c>
      <c r="V4" s="7">
        <v>45930</v>
      </c>
      <c r="W4" s="7">
        <v>46295</v>
      </c>
      <c r="X4" s="7">
        <v>46660</v>
      </c>
      <c r="Y4" s="7">
        <v>47026</v>
      </c>
    </row>
    <row r="5" spans="1:25">
      <c r="A5" s="4" t="s">
        <v>69</v>
      </c>
      <c r="B5" s="65"/>
      <c r="C5" s="66">
        <f>Calc1!$B$124</f>
        <v>10</v>
      </c>
      <c r="D5" s="66">
        <f>Calc1!$B$124</f>
        <v>10</v>
      </c>
      <c r="E5" s="66">
        <f>Calc1!$B$124</f>
        <v>10</v>
      </c>
      <c r="F5" s="66">
        <f>Calc1!$B$124</f>
        <v>10</v>
      </c>
      <c r="G5" s="66">
        <f>Calc1!$B$125</f>
        <v>8</v>
      </c>
      <c r="H5" s="66">
        <f>Calc1!$B$125</f>
        <v>8</v>
      </c>
      <c r="I5" s="66">
        <f>Calc1!$B$125</f>
        <v>8</v>
      </c>
      <c r="J5" s="66">
        <f>Calc1!$B$125</f>
        <v>8</v>
      </c>
      <c r="K5" s="66">
        <f>Calc1!$B$125</f>
        <v>8</v>
      </c>
      <c r="L5" s="66">
        <f>Calc1!$B$125</f>
        <v>8</v>
      </c>
      <c r="M5" s="66">
        <f>Calc1!$B$126</f>
        <v>5</v>
      </c>
      <c r="N5" s="66">
        <f>Calc1!$B$126</f>
        <v>5</v>
      </c>
      <c r="O5" s="66">
        <f>Calc1!$B$126</f>
        <v>5</v>
      </c>
      <c r="P5" s="66">
        <f>Calc1!$B$126</f>
        <v>5</v>
      </c>
      <c r="Q5" s="66">
        <f>Calc1!$B$126</f>
        <v>5</v>
      </c>
      <c r="R5" s="66">
        <f>Calc1!$B$126</f>
        <v>5</v>
      </c>
      <c r="S5" s="66">
        <f>Calc1!$B$126</f>
        <v>5</v>
      </c>
      <c r="T5" s="66">
        <f>Calc1!$B$126</f>
        <v>5</v>
      </c>
      <c r="U5" s="66">
        <f>Calc1!$B$126</f>
        <v>5</v>
      </c>
      <c r="V5" s="66">
        <f>Calc1!$B$126</f>
        <v>5</v>
      </c>
      <c r="W5" s="66">
        <f>Calc1!$B$126</f>
        <v>5</v>
      </c>
      <c r="X5" s="66">
        <f>Calc1!$B$126</f>
        <v>5</v>
      </c>
      <c r="Y5" s="66">
        <f>Calc1!$B$126</f>
        <v>5</v>
      </c>
    </row>
    <row r="6" spans="1:25">
      <c r="A6" s="4" t="s">
        <v>68</v>
      </c>
      <c r="B6" s="67"/>
      <c r="C6" s="67">
        <f t="shared" ref="C6:Y6" si="0">MAX(0,(YEAR(C4)-YEAR(B4))*12+(MONTH(C4)-MONTH(B4)))</f>
        <v>5</v>
      </c>
      <c r="D6" s="67">
        <f t="shared" si="0"/>
        <v>6</v>
      </c>
      <c r="E6" s="67">
        <f t="shared" si="0"/>
        <v>12</v>
      </c>
      <c r="F6" s="67">
        <f t="shared" si="0"/>
        <v>6</v>
      </c>
      <c r="G6" s="67">
        <f t="shared" si="0"/>
        <v>6</v>
      </c>
      <c r="H6" s="67">
        <f t="shared" si="0"/>
        <v>12</v>
      </c>
      <c r="I6" s="67">
        <f t="shared" si="0"/>
        <v>12</v>
      </c>
      <c r="J6" s="67">
        <f t="shared" si="0"/>
        <v>12</v>
      </c>
      <c r="K6" s="67">
        <f t="shared" si="0"/>
        <v>12</v>
      </c>
      <c r="L6" s="67">
        <f t="shared" si="0"/>
        <v>12</v>
      </c>
      <c r="M6" s="67">
        <f t="shared" si="0"/>
        <v>12</v>
      </c>
      <c r="N6" s="67">
        <f t="shared" si="0"/>
        <v>12</v>
      </c>
      <c r="O6" s="67">
        <f t="shared" si="0"/>
        <v>12</v>
      </c>
      <c r="P6" s="67">
        <f t="shared" si="0"/>
        <v>12</v>
      </c>
      <c r="Q6" s="67">
        <f t="shared" si="0"/>
        <v>12</v>
      </c>
      <c r="R6" s="67">
        <f t="shared" si="0"/>
        <v>12</v>
      </c>
      <c r="S6" s="67">
        <f t="shared" si="0"/>
        <v>12</v>
      </c>
      <c r="T6" s="67">
        <f t="shared" si="0"/>
        <v>12</v>
      </c>
      <c r="U6" s="67">
        <f t="shared" si="0"/>
        <v>12</v>
      </c>
      <c r="V6" s="67">
        <f t="shared" si="0"/>
        <v>12</v>
      </c>
      <c r="W6" s="67">
        <f t="shared" si="0"/>
        <v>12</v>
      </c>
      <c r="X6" s="67">
        <f t="shared" si="0"/>
        <v>12</v>
      </c>
      <c r="Y6" s="67">
        <f t="shared" si="0"/>
        <v>12</v>
      </c>
    </row>
    <row r="7" spans="1:25">
      <c r="A7" s="4" t="s">
        <v>240</v>
      </c>
      <c r="B7" s="65"/>
      <c r="C7" s="68"/>
      <c r="D7" s="68"/>
      <c r="E7" s="68"/>
      <c r="F7" s="68"/>
      <c r="G7" s="68"/>
      <c r="H7" s="68"/>
      <c r="I7" s="68"/>
      <c r="J7" s="68"/>
      <c r="K7" s="68"/>
      <c r="L7" s="68"/>
      <c r="M7" s="68"/>
      <c r="N7" s="68"/>
      <c r="O7" s="68"/>
      <c r="P7" s="68"/>
      <c r="Q7" s="68"/>
      <c r="R7" s="68"/>
      <c r="S7" s="68"/>
      <c r="T7" s="68"/>
      <c r="U7" s="68"/>
      <c r="V7" s="68"/>
      <c r="W7" s="68"/>
      <c r="X7" s="68"/>
      <c r="Y7" s="68"/>
    </row>
    <row r="8" spans="1:25">
      <c r="A8" s="4" t="s">
        <v>66</v>
      </c>
      <c r="B8" s="69"/>
      <c r="C8" s="69"/>
      <c r="D8" s="69"/>
      <c r="E8" s="69"/>
      <c r="F8" s="69"/>
      <c r="G8" s="69"/>
      <c r="H8" s="69"/>
      <c r="I8" s="69"/>
      <c r="J8" s="69"/>
      <c r="K8" s="69"/>
      <c r="L8" s="69"/>
      <c r="M8" s="69"/>
      <c r="N8" s="69"/>
      <c r="O8" s="69"/>
      <c r="P8" s="69"/>
      <c r="Q8" s="69"/>
      <c r="R8" s="69"/>
      <c r="S8" s="69"/>
      <c r="T8" s="69"/>
      <c r="U8" s="69"/>
      <c r="V8" s="69"/>
      <c r="W8" s="69"/>
      <c r="X8" s="69"/>
      <c r="Y8" s="69"/>
    </row>
    <row r="9" spans="1:25">
      <c r="A9" s="70" t="s">
        <v>33</v>
      </c>
      <c r="B9" s="67"/>
      <c r="C9" s="71">
        <f>Calc1!B137</f>
        <v>687.15121839654023</v>
      </c>
      <c r="D9" s="71">
        <f>Calc1!C137</f>
        <v>827.64373752494998</v>
      </c>
      <c r="E9" s="71">
        <f>Calc1!D137</f>
        <v>1656.5634231536922</v>
      </c>
      <c r="F9" s="71">
        <f>Calc1!E137</f>
        <v>828.28171157684608</v>
      </c>
      <c r="G9" s="71">
        <f>Calc1!F137</f>
        <v>1034.5546719061877</v>
      </c>
      <c r="H9" s="71">
        <f>Calc1!G137</f>
        <v>2069.1093438123753</v>
      </c>
      <c r="I9" s="71">
        <f>Calc1!H137</f>
        <v>2069.1093438123753</v>
      </c>
      <c r="J9" s="71">
        <f>Calc1!I137</f>
        <v>2069.1093438123753</v>
      </c>
      <c r="K9" s="71">
        <f>Calc1!J137</f>
        <v>2069.1093438123753</v>
      </c>
      <c r="L9" s="71">
        <f>Calc1!K137</f>
        <v>2069.1093438123753</v>
      </c>
      <c r="M9" s="71">
        <f>Calc1!B127-SUM(C9:L9)</f>
        <v>1173.1332688789171</v>
      </c>
      <c r="N9" s="67"/>
      <c r="O9" s="67"/>
      <c r="P9" s="67"/>
      <c r="Q9" s="67"/>
      <c r="R9" s="67"/>
      <c r="S9" s="68"/>
      <c r="T9" s="68"/>
      <c r="U9" s="68"/>
      <c r="V9" s="68"/>
      <c r="W9" s="68"/>
      <c r="X9" s="69"/>
      <c r="Y9" s="69"/>
    </row>
    <row r="10" spans="1:25">
      <c r="A10" s="72">
        <v>39538</v>
      </c>
      <c r="B10" s="68"/>
      <c r="C10" s="67">
        <f>Calc1!$B$133/12*C$6/C$5</f>
        <v>88.199301859542004</v>
      </c>
      <c r="D10" s="67">
        <f>Calc1!$B$133/12*D$6/D$5</f>
        <v>105.8391622314504</v>
      </c>
      <c r="E10" s="67">
        <f>Calc1!$B$133/12*E$6/E$5</f>
        <v>211.6783244629008</v>
      </c>
      <c r="F10" s="67">
        <f>Calc1!$B$133/12*F$6/F$5</f>
        <v>105.8391622314504</v>
      </c>
      <c r="G10" s="67">
        <f>Calc1!$B$133/12*G$6/G$5</f>
        <v>132.29895278931301</v>
      </c>
      <c r="H10" s="67">
        <f>Calc1!$B$133/12*H$6/H$5</f>
        <v>264.59790557862601</v>
      </c>
      <c r="I10" s="67">
        <f>Calc1!$B$133/12*I$6/I$5</f>
        <v>264.59790557862601</v>
      </c>
      <c r="J10" s="67">
        <f>Calc1!$B$133/12*J$6/J$5</f>
        <v>264.59790557862601</v>
      </c>
      <c r="K10" s="67">
        <f>Calc1!$B$133/12*K$6/K$5</f>
        <v>264.59790557862601</v>
      </c>
      <c r="L10" s="67">
        <f>Calc1!$B$133/12*L$6/L$5</f>
        <v>264.59790557862601</v>
      </c>
      <c r="M10" s="67">
        <f>Calc1!B133-SUM(C10:L10)</f>
        <v>149.93881316122111</v>
      </c>
      <c r="N10" s="67"/>
      <c r="O10" s="67"/>
      <c r="P10" s="67"/>
      <c r="Q10" s="67"/>
      <c r="R10" s="67"/>
      <c r="S10" s="68"/>
      <c r="T10" s="68"/>
      <c r="U10" s="68"/>
      <c r="V10" s="68"/>
      <c r="W10" s="69"/>
      <c r="X10" s="69"/>
      <c r="Y10" s="68"/>
    </row>
    <row r="11" spans="1:25">
      <c r="A11" s="72">
        <v>39721</v>
      </c>
      <c r="B11" s="68"/>
      <c r="C11" s="67"/>
      <c r="D11" s="67">
        <f>Calc1!$C$133/12*D$6/D$5</f>
        <v>63.134007108545028</v>
      </c>
      <c r="E11" s="67">
        <f>Calc1!$C$133/12*E$6/E$5</f>
        <v>126.26801421709006</v>
      </c>
      <c r="F11" s="67">
        <f>Calc1!$C$133/12*F$6/F$5</f>
        <v>63.134007108545028</v>
      </c>
      <c r="G11" s="67">
        <f>Calc1!$C$133/12*G$6/G$5</f>
        <v>78.917508885681286</v>
      </c>
      <c r="H11" s="67">
        <f>Calc1!$C$133/12*H$6/H$5</f>
        <v>157.83501777136257</v>
      </c>
      <c r="I11" s="67">
        <f>Calc1!$C$133/12*I$6/I$5</f>
        <v>157.83501777136257</v>
      </c>
      <c r="J11" s="67">
        <f>Calc1!$C$133/12*J$6/J$5</f>
        <v>157.83501777136257</v>
      </c>
      <c r="K11" s="67">
        <f>Calc1!$C$133/12*K$6/K$5</f>
        <v>157.83501777136257</v>
      </c>
      <c r="L11" s="67">
        <f>Calc1!$C$133/12*L$6/L$5</f>
        <v>157.83501777136257</v>
      </c>
      <c r="M11" s="67">
        <f>Calc1!C133-SUM(D11:L11)</f>
        <v>142.05151599422629</v>
      </c>
      <c r="N11" s="67"/>
      <c r="O11" s="67"/>
      <c r="P11" s="67"/>
      <c r="Q11" s="67"/>
      <c r="R11" s="67"/>
      <c r="S11" s="68"/>
      <c r="T11" s="68"/>
      <c r="U11" s="68"/>
      <c r="V11" s="68"/>
      <c r="W11" s="68"/>
      <c r="X11" s="69"/>
      <c r="Y11" s="68"/>
    </row>
    <row r="12" spans="1:25">
      <c r="A12" s="72">
        <v>40086</v>
      </c>
      <c r="B12" s="68"/>
      <c r="C12" s="67"/>
      <c r="D12" s="67"/>
      <c r="E12" s="67">
        <f>Calc1!$D$133/12*E$6/E$5</f>
        <v>234.61860374137109</v>
      </c>
      <c r="F12" s="67">
        <f>Calc1!$D$133/12*F$6/F$5</f>
        <v>117.30930187068554</v>
      </c>
      <c r="G12" s="67">
        <f>Calc1!$D$133/12*G$6/G$5</f>
        <v>146.63662733835693</v>
      </c>
      <c r="H12" s="67">
        <f>Calc1!$D$133/12*H$6/H$5</f>
        <v>293.27325467671386</v>
      </c>
      <c r="I12" s="67">
        <f>Calc1!$D$133/12*I$6/I$5</f>
        <v>293.27325467671386</v>
      </c>
      <c r="J12" s="67">
        <f>Calc1!$D$133/12*J$6/J$5</f>
        <v>293.27325467671386</v>
      </c>
      <c r="K12" s="67">
        <f>Calc1!$D$133/12*K$6/K$5</f>
        <v>293.27325467671386</v>
      </c>
      <c r="L12" s="67">
        <f>Calc1!$D$133/12*L$6/L$5</f>
        <v>293.27325467671386</v>
      </c>
      <c r="M12" s="67">
        <f>IF(Calc1!$D133-SUM($E12:L12)&lt;=0,0,IF(Calc1!$D133-SUM($E12:L12)&lt;L12,Calc1!$D133-SUM($E12:L12),Calc1!$D$133/12*M$6/M$5))</f>
        <v>469.23720748274218</v>
      </c>
      <c r="N12" s="67">
        <f>IF(Calc1!$D133-SUM($E12:M12)&lt;=0,0,IF(Calc1!$D133-SUM($E12:M12)&lt;M12,Calc1!$D133-SUM($E12:M12),Calc1!$D$133/12*N$6/N$5))</f>
        <v>0</v>
      </c>
      <c r="O12" s="67">
        <f>IF(Calc1!$D133-SUM($E12:N12)&lt;=0,0,IF(Calc1!$D133-SUM($E12:N12)&lt;N12,Calc1!$D133-SUM($E12:N12),Calc1!$D$133/12*O$6/O$5))</f>
        <v>0</v>
      </c>
      <c r="P12" s="67">
        <f>IF(Calc1!$D133-SUM($E12:O12)&lt;=0,0,IF(Calc1!$D133-SUM($E12:O12)&lt;O12,Calc1!$D133-SUM($E12:O12),Calc1!$D$133/12*P$6/P$5))</f>
        <v>0</v>
      </c>
      <c r="Q12" s="67">
        <f>IF(Calc1!$D133-SUM($E12:P12)&lt;=0,0,IF(Calc1!$D133-SUM($E12:P12)&lt;P12,Calc1!$D133-SUM($E12:P12),Calc1!$D$133/12*Q$6/Q$5))</f>
        <v>0</v>
      </c>
      <c r="R12" s="67">
        <f>IF(Calc1!$D133-SUM($E12:Q12)&lt;=0,0,IF(Calc1!$D133-SUM($E12:Q12)&lt;Q12,Calc1!$D133-SUM($E12:Q12),Calc1!$D$133/12*R$6/R$5))</f>
        <v>0</v>
      </c>
      <c r="S12" s="67">
        <f>IF(Calc1!$D133-SUM($E12:R12)&lt;=0,0,IF(Calc1!$D133-SUM($E12:R12)&lt;R12,Calc1!$D133-SUM($E12:R12),Calc1!$D$133/12*S$6/S$5))</f>
        <v>0</v>
      </c>
      <c r="T12" s="67">
        <f>IF(Calc1!$D133-SUM($E12:S12)&lt;=0,0,IF(Calc1!$D133-SUM($E12:S12)&lt;S12,Calc1!$D133-SUM($E12:S12),Calc1!$D$133/12*T$6/T$5))</f>
        <v>0</v>
      </c>
      <c r="U12" s="67">
        <f>IF(Calc1!$D133-SUM($E12:T12)&lt;=0,0,IF(Calc1!$D133-SUM($E12:T12)&lt;T12,Calc1!$D133-SUM($E12:T12),Calc1!$D$133/12*U$6/U$5))</f>
        <v>0</v>
      </c>
      <c r="V12" s="67">
        <f>IF(Calc1!$D133-SUM($E12:U12)&lt;=0,0,IF(Calc1!$D133-SUM($E12:U12)&lt;U12,Calc1!$D133-SUM($E12:U12),Calc1!$D$133/12*V$6/V$5))</f>
        <v>0</v>
      </c>
      <c r="W12" s="67">
        <f>IF(Calc1!$D133-SUM($E12:V12)&lt;=0,0,IF(Calc1!$D133-SUM($E12:V12)&lt;V12,Calc1!$D133-SUM($E12:V12),Calc1!$D$133/12*W$6/W$5))</f>
        <v>0</v>
      </c>
      <c r="X12" s="67">
        <f>IF(Calc1!$D133-SUM($E12:W12)&lt;=0,0,IF(Calc1!$D133-SUM($E12:W12)&lt;W12,Calc1!$D133-SUM($E12:W12),Calc1!$D$133/12*X$6/X$5))</f>
        <v>0</v>
      </c>
      <c r="Y12" s="67">
        <f>IF(Calc1!$D133-SUM($E12:X12)&lt;=0,0,IF(Calc1!$D133-SUM($E12:X12)&lt;X12,Calc1!$D133-SUM($E12:X12),Calc1!$D$133/12*Y$6/Y$5))</f>
        <v>0</v>
      </c>
    </row>
    <row r="13" spans="1:25">
      <c r="A13" s="73" t="s">
        <v>65</v>
      </c>
      <c r="B13" s="74"/>
      <c r="C13" s="67"/>
      <c r="D13" s="67"/>
      <c r="E13" s="71">
        <f>Calc1!D138</f>
        <v>71.046407396004938</v>
      </c>
      <c r="F13" s="71">
        <f>Calc1!E138</f>
        <v>65.423293489312812</v>
      </c>
      <c r="G13" s="67">
        <f>Calc1!$D$134/12*G$6/G$5</f>
        <v>81.779116861641029</v>
      </c>
      <c r="H13" s="67">
        <f>Calc1!$D$134/12*H$6/H$5</f>
        <v>163.55823372328206</v>
      </c>
      <c r="I13" s="67">
        <f>Calc1!$D$134/12*I$6/I$5</f>
        <v>163.55823372328206</v>
      </c>
      <c r="J13" s="67">
        <f>Calc1!$D$134/12*J$6/J$5</f>
        <v>163.55823372328206</v>
      </c>
      <c r="K13" s="67">
        <f>Calc1!$D$134/12*K$6/K$5</f>
        <v>163.55823372328206</v>
      </c>
      <c r="L13" s="67">
        <f>Calc1!$D$134/12*L$6/L$5</f>
        <v>163.55823372328206</v>
      </c>
      <c r="M13" s="67">
        <f>IF(Calc1!$D134-SUM($E13:L13)&lt;=0,0,IF(Calc1!$D134-SUM($E13:L13)&lt;L13,Calc1!$D134-SUM($E13:L13),Calc1!$D134/12*M$6/M$5))</f>
        <v>261.6931739572513</v>
      </c>
      <c r="N13" s="67">
        <f>IF(Calc1!$D134-SUM($E13:M13)&lt;=0,0,IF(Calc1!$D134-SUM($E13:M13)&lt;M13,Calc1!$D134-SUM($E13:M13),Calc1!$D134/12*N$6/N$5))</f>
        <v>10.73270946563639</v>
      </c>
      <c r="O13" s="67">
        <f>IF(Calc1!$D134-SUM($E13:N13)&lt;=0,0,IF(Calc1!$D134-SUM($E13:N13)&lt;N13,Calc1!$D134-SUM($E13:N13),Calc1!$D134/12*O$6/O$5))</f>
        <v>0</v>
      </c>
      <c r="P13" s="67">
        <f>IF(Calc1!$D134-SUM($E13:O13)&lt;=0,0,IF(Calc1!$D134-SUM($E13:O13)&lt;O13,Calc1!$D134-SUM($E13:O13),Calc1!$D134/12*P$6/P$5))</f>
        <v>0</v>
      </c>
      <c r="Q13" s="67">
        <f>IF(Calc1!$D134-SUM($E13:P13)&lt;=0,0,IF(Calc1!$D134-SUM($E13:P13)&lt;P13,Calc1!$D134-SUM($E13:P13),Calc1!$D134/12*Q$6/Q$5))</f>
        <v>0</v>
      </c>
      <c r="R13" s="67">
        <f>IF(Calc1!$D134-SUM($E13:Q13)&lt;=0,0,IF(Calc1!$D134-SUM($E13:Q13)&lt;Q13,Calc1!$D134-SUM($E13:Q13),Calc1!$D134/12*R$6/R$5))</f>
        <v>0</v>
      </c>
      <c r="S13" s="67">
        <f>IF(Calc1!$D134-SUM($E13:R13)&lt;=0,0,IF(Calc1!$D134-SUM($E13:R13)&lt;R13,Calc1!$D134-SUM($E13:R13),Calc1!$D134/12*S$6/S$5))</f>
        <v>0</v>
      </c>
      <c r="T13" s="67">
        <f>IF(Calc1!$D134-SUM($E13:S13)&lt;=0,0,IF(Calc1!$D134-SUM($E13:S13)&lt;S13,Calc1!$D134-SUM($E13:S13),Calc1!$D134/12*T$6/T$5))</f>
        <v>0</v>
      </c>
      <c r="U13" s="67">
        <f>IF(Calc1!$D134-SUM($E13:T13)&lt;=0,0,IF(Calc1!$D134-SUM($E13:T13)&lt;T13,Calc1!$D134-SUM($E13:T13),Calc1!$D134/12*U$6/U$5))</f>
        <v>0</v>
      </c>
      <c r="V13" s="67">
        <f>IF(Calc1!$D134-SUM($E13:U13)&lt;=0,0,IF(Calc1!$D134-SUM($E13:U13)&lt;U13,Calc1!$D134-SUM($E13:U13),Calc1!$D134/12*V$6/V$5))</f>
        <v>0</v>
      </c>
      <c r="W13" s="67">
        <f>IF(Calc1!$D134-SUM($E13:V13)&lt;=0,0,IF(Calc1!$D134-SUM($E13:V13)&lt;V13,Calc1!$D134-SUM($E13:V13),Calc1!$D134/12*W$6/W$5))</f>
        <v>0</v>
      </c>
      <c r="X13" s="67">
        <f>IF(Calc1!$D134-SUM($E13:W13)&lt;=0,0,IF(Calc1!$D134-SUM($E13:W13)&lt;W13,Calc1!$D134-SUM($E13:W13),Calc1!$D134/12*X$6/X$5))</f>
        <v>0</v>
      </c>
      <c r="Y13" s="67">
        <f>IF(Calc1!$D134-SUM($E13:X13)&lt;=0,0,IF(Calc1!$D134-SUM($E13:X13)&lt;X13,Calc1!$D134-SUM($E13:X13),Calc1!$D134/12*Y$6/Y$5))</f>
        <v>0</v>
      </c>
    </row>
    <row r="14" spans="1:25">
      <c r="A14" s="72">
        <v>40268</v>
      </c>
      <c r="B14" s="68"/>
      <c r="C14" s="67"/>
      <c r="D14" s="67"/>
      <c r="E14" s="67"/>
      <c r="F14" s="67">
        <f>Calc1!$E$133/12*F$6/F$5</f>
        <v>73.315049144529596</v>
      </c>
      <c r="G14" s="67">
        <f>Calc1!$E$133/12*G$6/G$5</f>
        <v>91.643811430661998</v>
      </c>
      <c r="H14" s="67">
        <f>Calc1!$E$133/12*H$6/H$5</f>
        <v>183.287622861324</v>
      </c>
      <c r="I14" s="67">
        <f>Calc1!$E$133/12*I$6/I$5</f>
        <v>183.287622861324</v>
      </c>
      <c r="J14" s="67">
        <f>Calc1!$E$133/12*J$6/J$5</f>
        <v>183.287622861324</v>
      </c>
      <c r="K14" s="67">
        <f>Calc1!$E$133/12*K$6/K$5</f>
        <v>183.287622861324</v>
      </c>
      <c r="L14" s="67">
        <f>Calc1!$E$133/12*L$6/L$5</f>
        <v>183.287622861324</v>
      </c>
      <c r="M14" s="67">
        <f>IF(Calc1!$E133-SUM($E14:L14)&lt;=0,0,IF(Calc1!$E133-SUM($E14:L14)&lt;L14,Calc1!$E133-SUM($E14:L14),Calc1!$E133/12*M$6/M$5))</f>
        <v>293.26019657811838</v>
      </c>
      <c r="N14" s="67">
        <f>IF(Calc1!$E133-SUM($E14:M14)&lt;=0,0,IF(Calc1!$E133-SUM($E14:M14)&lt;M14,Calc1!$E133-SUM($E14:M14),Calc1!$E133/12*N$6/N$5))</f>
        <v>91.643811430661799</v>
      </c>
      <c r="O14" s="67">
        <f>IF(Calc1!$E133-SUM($E14:N14)&lt;=0,0,IF(Calc1!$E133-SUM($E14:N14)&lt;N14,Calc1!$E133-SUM($E14:N14),Calc1!$E133/12*O$6/O$5))</f>
        <v>0</v>
      </c>
      <c r="P14" s="67">
        <f>IF(Calc1!$E133-SUM($E14:O14)&lt;=0,0,IF(Calc1!$E133-SUM($E14:O14)&lt;O14,Calc1!$E133-SUM($E14:O14),Calc1!$E133/12*P$6/P$5))</f>
        <v>0</v>
      </c>
      <c r="Q14" s="67">
        <f>IF(Calc1!$E133-SUM($E14:P14)&lt;=0,0,IF(Calc1!$E133-SUM($E14:P14)&lt;P14,Calc1!$E133-SUM($E14:P14),Calc1!$E133/12*Q$6/Q$5))</f>
        <v>0</v>
      </c>
      <c r="R14" s="67">
        <f>IF(Calc1!$E133-SUM($E14:Q14)&lt;=0,0,IF(Calc1!$E133-SUM($E14:Q14)&lt;Q14,Calc1!$E133-SUM($E14:Q14),Calc1!$E133/12*R$6/R$5))</f>
        <v>0</v>
      </c>
      <c r="S14" s="67">
        <f>IF(Calc1!$E133-SUM($E14:R14)&lt;=0,0,IF(Calc1!$E133-SUM($E14:R14)&lt;R14,Calc1!$E133-SUM($E14:R14),Calc1!$E133/12*S$6/S$5))</f>
        <v>0</v>
      </c>
      <c r="T14" s="67">
        <f>IF(Calc1!$E133-SUM($E14:S14)&lt;=0,0,IF(Calc1!$E133-SUM($E14:S14)&lt;S14,Calc1!$E133-SUM($E14:S14),Calc1!$E133/12*T$6/T$5))</f>
        <v>0</v>
      </c>
      <c r="U14" s="67">
        <f>IF(Calc1!$E133-SUM($E14:T14)&lt;=0,0,IF(Calc1!$E133-SUM($E14:T14)&lt;T14,Calc1!$E133-SUM($E14:T14),Calc1!$E133/12*U$6/U$5))</f>
        <v>0</v>
      </c>
      <c r="V14" s="67">
        <f>IF(Calc1!$E133-SUM($E14:U14)&lt;=0,0,IF(Calc1!$E133-SUM($E14:U14)&lt;U14,Calc1!$E133-SUM($E14:U14),Calc1!$E133/12*V$6/V$5))</f>
        <v>0</v>
      </c>
      <c r="W14" s="67">
        <f>IF(Calc1!$E133-SUM($E14:V14)&lt;=0,0,IF(Calc1!$E133-SUM($E14:V14)&lt;V14,Calc1!$E133-SUM($E14:V14),Calc1!$E133/12*W$6/W$5))</f>
        <v>0</v>
      </c>
      <c r="X14" s="67">
        <f>IF(Calc1!$E133-SUM($E14:W14)&lt;=0,0,IF(Calc1!$E133-SUM($E14:W14)&lt;W14,Calc1!$E133-SUM($E14:W14),Calc1!$E133/12*X$6/X$5))</f>
        <v>0</v>
      </c>
      <c r="Y14" s="67">
        <f>IF(Calc1!$E133-SUM($E14:X14)&lt;=0,0,IF(Calc1!$E133-SUM($E14:X14)&lt;X14,Calc1!$E133-SUM($E14:X14),Calc1!$E133/12*Y$6/Y$5))</f>
        <v>0</v>
      </c>
    </row>
    <row r="15" spans="1:25">
      <c r="A15" s="73" t="s">
        <v>70</v>
      </c>
      <c r="B15" s="74"/>
      <c r="C15" s="67"/>
      <c r="D15" s="67"/>
      <c r="E15" s="67"/>
      <c r="F15" s="71">
        <f>Calc1!E139</f>
        <v>12.377105725354388</v>
      </c>
      <c r="G15" s="67">
        <f>Calc1!$E$134/12*G$6/G$5</f>
        <v>98.054527614252095</v>
      </c>
      <c r="H15" s="67">
        <f>Calc1!$E$134/12*H$6/H$5</f>
        <v>196.10905522850419</v>
      </c>
      <c r="I15" s="67">
        <f>Calc1!$E$134/12*I$6/I$5</f>
        <v>196.10905522850419</v>
      </c>
      <c r="J15" s="67">
        <f>Calc1!$E$134/12*J$6/J$5</f>
        <v>196.10905522850419</v>
      </c>
      <c r="K15" s="67">
        <f>Calc1!$E$134/12*K$6/K$5</f>
        <v>196.10905522850419</v>
      </c>
      <c r="L15" s="67">
        <f>Calc1!$E$134/12*L$6/L$5</f>
        <v>196.10905522850419</v>
      </c>
      <c r="M15" s="67">
        <f>IF(Calc1!$E134-SUM($E15:L15)&lt;=0,0,IF(Calc1!$E134-SUM($E15:L15)&lt;L15,Calc1!$E134-SUM($E15:L15),Calc1!$E134/12*M$6/M$5))</f>
        <v>313.77448836560671</v>
      </c>
      <c r="N15" s="67">
        <f>IF(Calc1!$E134-SUM($E15:M15)&lt;=0,0,IF(Calc1!$E134-SUM($E15:M15)&lt;M15,Calc1!$E134-SUM($E15:M15),Calc1!$E134/12*N$6/N$5))</f>
        <v>164.12104398029965</v>
      </c>
      <c r="O15" s="67">
        <f>IF(Calc1!$E134-SUM($E15:N15)&lt;=0,0,IF(Calc1!$E134-SUM($E15:N15)&lt;N15,Calc1!$E134-SUM($E15:N15),Calc1!$E134/12*O$6/O$5))</f>
        <v>0</v>
      </c>
      <c r="P15" s="67">
        <f>IF(Calc1!$E134-SUM($E15:O15)&lt;=0,0,IF(Calc1!$E134-SUM($E15:O15)&lt;O15,Calc1!$E134-SUM($E15:O15),Calc1!$E134/12*P$6/P$5))</f>
        <v>0</v>
      </c>
      <c r="Q15" s="67">
        <f>IF(Calc1!$E134-SUM($E15:P15)&lt;=0,0,IF(Calc1!$E134-SUM($E15:P15)&lt;P15,Calc1!$E134-SUM($E15:P15),Calc1!$E134/12*Q$6/Q$5))</f>
        <v>0</v>
      </c>
      <c r="R15" s="67">
        <f>IF(Calc1!$E134-SUM($E15:Q15)&lt;=0,0,IF(Calc1!$E134-SUM($E15:Q15)&lt;Q15,Calc1!$E134-SUM($E15:Q15),Calc1!$E134/12*R$6/R$5))</f>
        <v>0</v>
      </c>
      <c r="S15" s="67">
        <f>IF(Calc1!$E134-SUM($E15:R15)&lt;=0,0,IF(Calc1!$E134-SUM($E15:R15)&lt;R15,Calc1!$E134-SUM($E15:R15),Calc1!$E134/12*S$6/S$5))</f>
        <v>0</v>
      </c>
      <c r="T15" s="67">
        <f>IF(Calc1!$E134-SUM($E15:S15)&lt;=0,0,IF(Calc1!$E134-SUM($E15:S15)&lt;S15,Calc1!$E134-SUM($E15:S15),Calc1!$E134/12*T$6/T$5))</f>
        <v>0</v>
      </c>
      <c r="U15" s="67">
        <f>IF(Calc1!$E134-SUM($E15:T15)&lt;=0,0,IF(Calc1!$E134-SUM($E15:T15)&lt;T15,Calc1!$E134-SUM($E15:T15),Calc1!$E134/12*U$6/U$5))</f>
        <v>0</v>
      </c>
      <c r="V15" s="67">
        <f>IF(Calc1!$E134-SUM($E15:U15)&lt;=0,0,IF(Calc1!$E134-SUM($E15:U15)&lt;U15,Calc1!$E134-SUM($E15:U15),Calc1!$E134/12*V$6/V$5))</f>
        <v>0</v>
      </c>
      <c r="W15" s="67">
        <f>IF(Calc1!$E134-SUM($E15:V15)&lt;=0,0,IF(Calc1!$E134-SUM($E15:V15)&lt;V15,Calc1!$E134-SUM($E15:V15),Calc1!$E134/12*W$6/W$5))</f>
        <v>0</v>
      </c>
      <c r="X15" s="67">
        <f>IF(Calc1!$E134-SUM($E15:W15)&lt;=0,0,IF(Calc1!$E134-SUM($E15:W15)&lt;W15,Calc1!$E134-SUM($E15:W15),Calc1!$E134/12*X$6/X$5))</f>
        <v>0</v>
      </c>
      <c r="Y15" s="67">
        <f>IF(Calc1!$E134-SUM($E15:X15)&lt;=0,0,IF(Calc1!$E134-SUM($E15:X15)&lt;X15,Calc1!$E134-SUM($E15:X15),Calc1!$E134/12*Y$6/Y$5))</f>
        <v>0</v>
      </c>
    </row>
    <row r="16" spans="1:25">
      <c r="A16" s="72">
        <v>40451</v>
      </c>
      <c r="B16" s="68"/>
      <c r="C16" s="67"/>
      <c r="D16" s="67"/>
      <c r="E16" s="67"/>
      <c r="F16" s="67"/>
      <c r="G16" s="71">
        <f>Calc1!$F$136/12*G$6/G$5/2</f>
        <v>32.744347508976659</v>
      </c>
      <c r="H16" s="67">
        <f>Calc1!$F$136/12*H$6/H$5</f>
        <v>130.97739003590664</v>
      </c>
      <c r="I16" s="67">
        <f>Calc1!$F$136/12*I$6/I$5</f>
        <v>130.97739003590664</v>
      </c>
      <c r="J16" s="67">
        <f>Calc1!$F$136/12*J$6/J$5</f>
        <v>130.97739003590664</v>
      </c>
      <c r="K16" s="67">
        <f>Calc1!$F$136/12*K$6/K$5</f>
        <v>130.97739003590664</v>
      </c>
      <c r="L16" s="67">
        <f>Calc1!$F$136/12*L$6/L$5</f>
        <v>130.97739003590664</v>
      </c>
      <c r="M16" s="71">
        <f>IF(Calc1!$F136-SUM($E16:L16)&lt;=0,0,IF(Calc1!$F136-SUM($E16:L16)&lt;L16,Calc1!$F136-SUM($E16:L16),Calc1!$F136/12*M$6/M$5))</f>
        <v>209.56382405745063</v>
      </c>
      <c r="N16" s="71">
        <f>IF(Calc1!$F136-SUM($E16:M16)&lt;=0,0,IF(Calc1!$F136-SUM($E16:M16)&lt;M16,Calc1!$F136-SUM($E16:M16),$M$16))</f>
        <v>150.62399854129262</v>
      </c>
      <c r="O16" s="71">
        <f>IF(Calc1!$F136-SUM($E16:N16)&lt;=0,0,IF(Calc1!$F136-SUM($E16:N16)&lt;N16,Calc1!$F136-SUM($E16:N16),$M$16))</f>
        <v>0</v>
      </c>
      <c r="P16" s="71">
        <f>IF(Calc1!$F136-SUM($E16:O16)&lt;=0,0,IF(Calc1!$F136-SUM($E16:O16)&lt;O16,Calc1!$F136-SUM($E16:O16),$M$16))</f>
        <v>0</v>
      </c>
      <c r="Q16" s="71">
        <f>IF(Calc1!$F136-SUM($E16:P16)&lt;=0,0,IF(Calc1!$F136-SUM($E16:P16)&lt;P16,Calc1!$F136-SUM($E16:P16),$M$16))</f>
        <v>0</v>
      </c>
      <c r="R16" s="71">
        <f>IF(Calc1!$F136-SUM($E16:Q16)&lt;=0,0,IF(Calc1!$F136-SUM($E16:Q16)&lt;Q16,Calc1!$F136-SUM($E16:Q16),$M$16))</f>
        <v>0</v>
      </c>
      <c r="S16" s="71">
        <f>IF(Calc1!$F136-SUM($E16:R16)&lt;=0,0,IF(Calc1!$F136-SUM($E16:R16)&lt;R16,Calc1!$F136-SUM($E16:R16),$M$16))</f>
        <v>0</v>
      </c>
      <c r="T16" s="71">
        <f>IF(Calc1!$F136-SUM($E16:S16)&lt;=0,0,IF(Calc1!$F136-SUM($E16:S16)&lt;S16,Calc1!$F136-SUM($E16:S16),$M$16))</f>
        <v>0</v>
      </c>
      <c r="U16" s="71">
        <f>IF(Calc1!$F136-SUM($E16:T16)&lt;=0,0,IF(Calc1!$F136-SUM($E16:T16)&lt;T16,Calc1!$F136-SUM($E16:T16),$M$16))</f>
        <v>0</v>
      </c>
      <c r="V16" s="71">
        <f>IF(Calc1!$F136-SUM($E16:U16)&lt;=0,0,IF(Calc1!$F136-SUM($E16:U16)&lt;U16,Calc1!$F136-SUM($E16:U16),$M$16))</f>
        <v>0</v>
      </c>
      <c r="W16" s="71">
        <f>IF(Calc1!$F136-SUM($E16:V16)&lt;=0,0,IF(Calc1!$F136-SUM($E16:V16)&lt;V16,Calc1!$F136-SUM($E16:V16),$M$16))</f>
        <v>0</v>
      </c>
      <c r="X16" s="71">
        <f>IF(Calc1!$F136-SUM($E16:W16)&lt;=0,0,IF(Calc1!$F136-SUM($E16:W16)&lt;W16,Calc1!$F136-SUM($E16:W16),$M$16))</f>
        <v>0</v>
      </c>
      <c r="Y16" s="71">
        <f>IF(Calc1!$F136-SUM($E16:X16)&lt;=0,0,IF(Calc1!$F136-SUM($E16:X16)&lt;X16,Calc1!$F136-SUM($E16:X16),$M$16))</f>
        <v>0</v>
      </c>
    </row>
    <row r="17" spans="1:25">
      <c r="A17" s="72">
        <v>40816</v>
      </c>
      <c r="B17" s="68"/>
      <c r="C17" s="67"/>
      <c r="D17" s="67"/>
      <c r="E17" s="67"/>
      <c r="F17" s="67"/>
      <c r="G17" s="67"/>
      <c r="H17" s="71">
        <f>Calc1!$G$136/12*H$6/H$5/2</f>
        <v>63.336821140035894</v>
      </c>
      <c r="I17" s="67">
        <f>Calc1!$G$136/12*I$6/I$5</f>
        <v>126.67364228007179</v>
      </c>
      <c r="J17" s="67">
        <f>Calc1!$G$136/12*J$6/J$5</f>
        <v>126.67364228007179</v>
      </c>
      <c r="K17" s="67">
        <f>Calc1!$G$136/12*K$6/K$5</f>
        <v>126.67364228007179</v>
      </c>
      <c r="L17" s="67">
        <f>Calc1!$G$136/12*L$6/L$5</f>
        <v>126.67364228007179</v>
      </c>
      <c r="M17" s="71">
        <f>IF(Calc1!$G136-SUM($E17:L17)&lt;=0,0,IF(Calc1!$G136-SUM($E17:L17)&lt;L17,Calc1!$G136-SUM($E17:L17),Calc1!$G136/12*M$6/M$5))</f>
        <v>202.67782764811486</v>
      </c>
      <c r="N17" s="71">
        <f>IF(Calc1!$G136-SUM($E17:M17)&lt;=0,0,IF(Calc1!$G136-SUM($E17:M17)&lt;M17,Calc1!$G136-SUM($E17:M17),M17))</f>
        <v>202.67782764811486</v>
      </c>
      <c r="O17" s="71">
        <f>IF(Calc1!$G136-SUM($E17:N17)&lt;=0,0,IF(Calc1!$G136-SUM($E17:N17)&lt;N17,Calc1!$G136-SUM($E17:N17),N17))</f>
        <v>38.002092684021591</v>
      </c>
      <c r="P17" s="71">
        <f>IF(Calc1!$G136-SUM($E17:O17)&lt;=0,0,IF(Calc1!$G136-SUM($E17:O17)&lt;O17,Calc1!$G136-SUM($E17:O17),O17))</f>
        <v>0</v>
      </c>
      <c r="Q17" s="71">
        <f>IF(Calc1!$G136-SUM($E17:P17)&lt;=0,0,IF(Calc1!$G136-SUM($E17:P17)&lt;P17,Calc1!$G136-SUM($E17:P17),P17))</f>
        <v>0</v>
      </c>
      <c r="R17" s="71">
        <f>IF(Calc1!$G136-SUM($E17:Q17)&lt;=0,0,IF(Calc1!$G136-SUM($E17:Q17)&lt;Q17,Calc1!$G136-SUM($E17:Q17),Q17))</f>
        <v>0</v>
      </c>
      <c r="S17" s="71">
        <f>IF(Calc1!$G136-SUM($E17:R17)&lt;=0,0,IF(Calc1!$G136-SUM($E17:R17)&lt;R17,Calc1!$G136-SUM($E17:R17),R17))</f>
        <v>0</v>
      </c>
      <c r="T17" s="71">
        <f>IF(Calc1!$G136-SUM($E17:S17)&lt;=0,0,IF(Calc1!$G136-SUM($E17:S17)&lt;S17,Calc1!$G136-SUM($E17:S17),S17))</f>
        <v>0</v>
      </c>
      <c r="U17" s="71">
        <f>IF(Calc1!$G136-SUM($E17:T17)&lt;=0,0,IF(Calc1!$G136-SUM($E17:T17)&lt;T17,Calc1!$G136-SUM($E17:T17),T17))</f>
        <v>0</v>
      </c>
      <c r="V17" s="71">
        <f>IF(Calc1!$G136-SUM($E17:U17)&lt;=0,0,IF(Calc1!$G136-SUM($E17:U17)&lt;U17,Calc1!$G136-SUM($E17:U17),U17))</f>
        <v>0</v>
      </c>
      <c r="W17" s="71">
        <f>IF(Calc1!$G136-SUM($E17:V17)&lt;=0,0,IF(Calc1!$G136-SUM($E17:V17)&lt;V17,Calc1!$G136-SUM($E17:V17),V17))</f>
        <v>0</v>
      </c>
      <c r="X17" s="71">
        <f>IF(Calc1!$G136-SUM($E17:W17)&lt;=0,0,IF(Calc1!$G136-SUM($E17:W17)&lt;W17,Calc1!$G136-SUM($E17:W17),W17))</f>
        <v>0</v>
      </c>
      <c r="Y17" s="71">
        <f>IF(Calc1!$G136-SUM($E17:X17)&lt;=0,0,IF(Calc1!$G136-SUM($E17:X17)&lt;X17,Calc1!$G136-SUM($E17:X17),X17))</f>
        <v>0</v>
      </c>
    </row>
    <row r="18" spans="1:25">
      <c r="A18" s="72">
        <v>41182</v>
      </c>
      <c r="B18" s="68"/>
      <c r="C18" s="67"/>
      <c r="D18" s="67"/>
      <c r="E18" s="67"/>
      <c r="F18" s="67"/>
      <c r="G18" s="67"/>
      <c r="H18" s="67"/>
      <c r="I18" s="71">
        <f>Calc1!$H$135/12*I$6/I$5/2</f>
        <v>85.35766382405744</v>
      </c>
      <c r="J18" s="67">
        <f>Calc1!$H$135/12*J$6/J$5</f>
        <v>170.71532764811488</v>
      </c>
      <c r="K18" s="67">
        <f>Calc1!$H$135/12*K$6/K$5</f>
        <v>170.71532764811488</v>
      </c>
      <c r="L18" s="67">
        <f>Calc1!$H$135/12*L$6/L$5</f>
        <v>170.71532764811488</v>
      </c>
      <c r="M18" s="71">
        <f>IF(Calc1!$H136-SUM($E18:L18)&lt;=0,0,IF(Calc1!$H136-SUM($E18:L18)&lt;L18,Calc1!$H136-SUM($E18:L18),Calc1!$H136/12*M$6/M$5))</f>
        <v>273.14452423698378</v>
      </c>
      <c r="N18" s="71">
        <f>IF(Calc1!$H136-SUM($E18:M18)&lt;=0,0,IF(Calc1!$H136-SUM($E18:M18)&lt;M18,Calc1!$H136-SUM($E18:M18),M18))</f>
        <v>273.14452423698378</v>
      </c>
      <c r="O18" s="71">
        <f>IF(Calc1!$H136-SUM($E18:N18)&lt;=0,0,IF(Calc1!$H136-SUM($E18:N18)&lt;N18,Calc1!$H136-SUM($E18:N18),N18))</f>
        <v>221.92992594254952</v>
      </c>
      <c r="P18" s="71">
        <f>IF(Calc1!$H136-SUM($E18:O18)&lt;=0,0,IF(Calc1!$H136-SUM($E18:O18)&lt;O18,Calc1!$H136-SUM($E18:O18),O18))</f>
        <v>0</v>
      </c>
      <c r="Q18" s="71">
        <f>IF(Calc1!$H136-SUM($E18:P18)&lt;=0,0,IF(Calc1!$H136-SUM($E18:P18)&lt;P18,Calc1!$H136-SUM($E18:P18),P18))</f>
        <v>0</v>
      </c>
      <c r="R18" s="71">
        <f>IF(Calc1!$H136-SUM($E18:Q18)&lt;=0,0,IF(Calc1!$H136-SUM($E18:Q18)&lt;Q18,Calc1!$H136-SUM($E18:Q18),Q18))</f>
        <v>0</v>
      </c>
      <c r="S18" s="71">
        <f>IF(Calc1!$H136-SUM($E18:R18)&lt;=0,0,IF(Calc1!$H136-SUM($E18:R18)&lt;R18,Calc1!$H136-SUM($E18:R18),R18))</f>
        <v>0</v>
      </c>
      <c r="T18" s="71">
        <f>IF(Calc1!$H136-SUM($E18:S18)&lt;=0,0,IF(Calc1!$H136-SUM($E18:S18)&lt;S18,Calc1!$H136-SUM($E18:S18),S18))</f>
        <v>0</v>
      </c>
      <c r="U18" s="71">
        <f>IF(Calc1!$H136-SUM($E18:T18)&lt;=0,0,IF(Calc1!$H136-SUM($E18:T18)&lt;T18,Calc1!$H136-SUM($E18:T18),T18))</f>
        <v>0</v>
      </c>
      <c r="V18" s="71">
        <f>IF(Calc1!$H136-SUM($E18:U18)&lt;=0,0,IF(Calc1!$H136-SUM($E18:U18)&lt;U18,Calc1!$H136-SUM($E18:U18),U18))</f>
        <v>0</v>
      </c>
      <c r="W18" s="71">
        <f>IF(Calc1!$H136-SUM($E18:V18)&lt;=0,0,IF(Calc1!$H136-SUM($E18:V18)&lt;V18,Calc1!$H136-SUM($E18:V18),V18))</f>
        <v>0</v>
      </c>
      <c r="X18" s="71">
        <f>IF(Calc1!$H136-SUM($E18:W18)&lt;=0,0,IF(Calc1!$H136-SUM($E18:W18)&lt;W18,Calc1!$H136-SUM($E18:W18),W18))</f>
        <v>0</v>
      </c>
      <c r="Y18" s="71">
        <f>IF(Calc1!$H136-SUM($E18:X18)&lt;=0,0,IF(Calc1!$H136-SUM($E18:X18)&lt;X18,Calc1!$H136-SUM($E18:X18),X18))</f>
        <v>0</v>
      </c>
    </row>
    <row r="19" spans="1:25">
      <c r="A19" s="72">
        <v>41547</v>
      </c>
      <c r="B19" s="68"/>
      <c r="C19" s="67"/>
      <c r="D19" s="67"/>
      <c r="E19" s="67"/>
      <c r="F19" s="67"/>
      <c r="G19" s="67"/>
      <c r="H19" s="67"/>
      <c r="I19" s="67"/>
      <c r="J19" s="71">
        <f>Calc1!$I$136/12*J$6/J$5/2</f>
        <v>17.573636669658885</v>
      </c>
      <c r="K19" s="67">
        <f>Calc1!$I$136/12*K$6/K$5</f>
        <v>35.147273339317771</v>
      </c>
      <c r="L19" s="67">
        <f>Calc1!$I$136/12*L$6/L$5</f>
        <v>35.147273339317771</v>
      </c>
      <c r="M19" s="71">
        <f>IF(Calc1!$I136-SUM($E19:L19)&lt;=0,0,IF(Calc1!$I136-SUM($E19:L19)&lt;L19,Calc1!$I136-SUM($E19:L19),Calc1!$I136/12*M$6/M$5))</f>
        <v>56.235637342908433</v>
      </c>
      <c r="N19" s="71">
        <f>IF(Calc1!$I136-SUM($E19:M19)&lt;=0,0,IF(Calc1!$I136-SUM($E19:M19)&lt;M19,Calc1!$I136-SUM($E19:M19),M19))</f>
        <v>56.235637342908433</v>
      </c>
      <c r="O19" s="71">
        <f>IF(Calc1!$I136-SUM($E19:N19)&lt;=0,0,IF(Calc1!$I136-SUM($E19:N19)&lt;N19,Calc1!$I136-SUM($E19:N19),N19))</f>
        <v>56.235637342908433</v>
      </c>
      <c r="P19" s="71">
        <f>IF(Calc1!$I136-SUM($E19:O19)&lt;=0,0,IF(Calc1!$I136-SUM($E19:O19)&lt;O19,Calc1!$I136-SUM($E19:O19),O19))</f>
        <v>24.603091337522471</v>
      </c>
      <c r="Q19" s="71">
        <f>IF(Calc1!$I136-SUM($E19:P19)&lt;=0,0,IF(Calc1!$I136-SUM($E19:P19)&lt;P19,Calc1!$I136-SUM($E19:P19),P19))</f>
        <v>0</v>
      </c>
      <c r="R19" s="71">
        <f>IF(Calc1!$I136-SUM($E19:Q19)&lt;=0,0,IF(Calc1!$I136-SUM($E19:Q19)&lt;Q19,Calc1!$I136-SUM($E19:Q19),Q19))</f>
        <v>0</v>
      </c>
      <c r="S19" s="71">
        <f>IF(Calc1!$I136-SUM($E19:R19)&lt;=0,0,IF(Calc1!$I136-SUM($E19:R19)&lt;R19,Calc1!$I136-SUM($E19:R19),R19))</f>
        <v>0</v>
      </c>
      <c r="T19" s="71">
        <f>IF(Calc1!$I136-SUM($E19:S19)&lt;=0,0,IF(Calc1!$I136-SUM($E19:S19)&lt;S19,Calc1!$I136-SUM($E19:S19),S19))</f>
        <v>0</v>
      </c>
      <c r="U19" s="71">
        <f>IF(Calc1!$I136-SUM($E19:T19)&lt;=0,0,IF(Calc1!$I136-SUM($E19:T19)&lt;T19,Calc1!$I136-SUM($E19:T19),T19))</f>
        <v>0</v>
      </c>
      <c r="V19" s="71">
        <f>IF(Calc1!$I136-SUM($E19:U19)&lt;=0,0,IF(Calc1!$I136-SUM($E19:U19)&lt;U19,Calc1!$I136-SUM($E19:U19),U19))</f>
        <v>0</v>
      </c>
      <c r="W19" s="71">
        <f>IF(Calc1!$I136-SUM($E19:V19)&lt;=0,0,IF(Calc1!$I136-SUM($E19:V19)&lt;V19,Calc1!$I136-SUM($E19:V19),V19))</f>
        <v>0</v>
      </c>
      <c r="X19" s="71">
        <f>IF(Calc1!$I136-SUM($E19:W19)&lt;=0,0,IF(Calc1!$I136-SUM($E19:W19)&lt;W19,Calc1!$I136-SUM($E19:W19),W19))</f>
        <v>0</v>
      </c>
      <c r="Y19" s="71">
        <f>IF(Calc1!$I136-SUM($E19:X19)&lt;=0,0,IF(Calc1!$I136-SUM($E19:X19)&lt;X19,Calc1!$I136-SUM($E19:X19),X19))</f>
        <v>0</v>
      </c>
    </row>
    <row r="20" spans="1:25">
      <c r="A20" s="72">
        <v>41912</v>
      </c>
      <c r="B20" s="68"/>
      <c r="C20" s="67"/>
      <c r="D20" s="67"/>
      <c r="E20" s="67"/>
      <c r="F20" s="67"/>
      <c r="G20" s="67"/>
      <c r="H20" s="67"/>
      <c r="I20" s="67"/>
      <c r="J20" s="67"/>
      <c r="K20" s="71">
        <f>Calc1!$J$136/12*K$6/K$5/2</f>
        <v>99.344844030520619</v>
      </c>
      <c r="L20" s="67">
        <f>Calc1!$J$136/12*L$6/L$5</f>
        <v>198.68968806104124</v>
      </c>
      <c r="M20" s="71">
        <f>IF(Calc1!$J136-SUM($E20:L20)&lt;=0,0,IF(Calc1!$J136-SUM($E20:L20)&lt;L20,Calc1!$J136-SUM($E20:L20),Calc1!$J136/12*M$6/M$5))</f>
        <v>317.90350089766599</v>
      </c>
      <c r="N20" s="71">
        <f>IF(Calc1!$J136-SUM($E20:M20)&lt;=0,0,IF(Calc1!$J136-SUM($E20:M20)&lt;M20,Calc1!$J136-SUM($E20:M20),M20))</f>
        <v>317.90350089766599</v>
      </c>
      <c r="O20" s="71">
        <f>IF(Calc1!$J136-SUM($E20:N20)&lt;=0,0,IF(Calc1!$J136-SUM($E20:N20)&lt;N20,Calc1!$J136-SUM($E20:N20),N20))</f>
        <v>317.90350089766599</v>
      </c>
      <c r="P20" s="71">
        <f>IF(Calc1!$J136-SUM($E20:O20)&lt;=0,0,IF(Calc1!$J136-SUM($E20:O20)&lt;O20,Calc1!$J136-SUM($E20:O20),O20))</f>
        <v>317.90350089766599</v>
      </c>
      <c r="Q20" s="71">
        <f>IF(Calc1!$J136-SUM($E20:P20)&lt;=0,0,IF(Calc1!$J136-SUM($E20:P20)&lt;P20,Calc1!$J136-SUM($E20:P20),P20))</f>
        <v>19.868968806104476</v>
      </c>
      <c r="R20" s="71">
        <f>IF(Calc1!$J136-SUM($E20:Q20)&lt;=0,0,IF(Calc1!$J136-SUM($E20:Q20)&lt;Q20,Calc1!$J136-SUM($E20:Q20),Q20))</f>
        <v>0</v>
      </c>
      <c r="S20" s="71">
        <f>IF(Calc1!$J136-SUM($E20:R20)&lt;=0,0,IF(Calc1!$J136-SUM($E20:R20)&lt;R20,Calc1!$J136-SUM($E20:R20),R20))</f>
        <v>0</v>
      </c>
      <c r="T20" s="71">
        <f>IF(Calc1!$J136-SUM($E20:S20)&lt;=0,0,IF(Calc1!$J136-SUM($E20:S20)&lt;S20,Calc1!$J136-SUM($E20:S20),S20))</f>
        <v>0</v>
      </c>
      <c r="U20" s="71">
        <f>IF(Calc1!$J136-SUM($E20:T20)&lt;=0,0,IF(Calc1!$J136-SUM($E20:T20)&lt;T20,Calc1!$J136-SUM($E20:T20),T20))</f>
        <v>0</v>
      </c>
      <c r="V20" s="71">
        <f>IF(Calc1!$J136-SUM($E20:U20)&lt;=0,0,IF(Calc1!$J136-SUM($E20:U20)&lt;U20,Calc1!$J136-SUM($E20:U20),U20))</f>
        <v>0</v>
      </c>
      <c r="W20" s="71">
        <f>IF(Calc1!$J136-SUM($E20:V20)&lt;=0,0,IF(Calc1!$J136-SUM($E20:V20)&lt;V20,Calc1!$J136-SUM($E20:V20),V20))</f>
        <v>0</v>
      </c>
      <c r="X20" s="71">
        <f>IF(Calc1!$J136-SUM($E20:W20)&lt;=0,0,IF(Calc1!$J136-SUM($E20:W20)&lt;W20,Calc1!$J136-SUM($E20:W20),W20))</f>
        <v>0</v>
      </c>
      <c r="Y20" s="71">
        <f>IF(Calc1!$J136-SUM($E20:X20)&lt;=0,0,IF(Calc1!$J136-SUM($E20:X20)&lt;X20,Calc1!$J136-SUM($E20:X20),X20))</f>
        <v>0</v>
      </c>
    </row>
    <row r="21" spans="1:25">
      <c r="A21" s="72">
        <v>42277</v>
      </c>
      <c r="B21" s="68"/>
      <c r="C21" s="67"/>
      <c r="D21" s="67"/>
      <c r="E21" s="67"/>
      <c r="F21" s="67"/>
      <c r="G21" s="67"/>
      <c r="H21" s="67"/>
      <c r="I21" s="67"/>
      <c r="J21" s="67"/>
      <c r="K21" s="67"/>
      <c r="L21" s="71">
        <f>Calc1!$K$136/12*L$6/L$5/2</f>
        <v>26.181132181328543</v>
      </c>
      <c r="M21" s="71">
        <f>IF(Calc1!$K136-SUM($E21:L21)&lt;=0,0,IF(Calc1!$K136-SUM($E21:L21)&lt;L21,Calc1!$K136-SUM($E21:L21),Calc1!$K136/12*M$6/M$5))</f>
        <v>83.779622980251332</v>
      </c>
      <c r="N21" s="71">
        <f>IF(Calc1!$K136-SUM($E21:M21)&lt;=0,0,IF(Calc1!$K136-SUM($E21:M21)&lt;M21,Calc1!$K136-SUM($E21:M21),M21))</f>
        <v>83.779622980251332</v>
      </c>
      <c r="O21" s="71">
        <f>IF(Calc1!$K136-SUM($E21:N21)&lt;=0,0,IF(Calc1!$K136-SUM($E21:N21)&lt;N21,Calc1!$K136-SUM($E21:N21),N21))</f>
        <v>83.779622980251332</v>
      </c>
      <c r="P21" s="71">
        <f>IF(Calc1!$K136-SUM($E21:O21)&lt;=0,0,IF(Calc1!$K136-SUM($E21:O21)&lt;O21,Calc1!$K136-SUM($E21:O21),O21))</f>
        <v>83.779622980251332</v>
      </c>
      <c r="Q21" s="71">
        <f>IF(Calc1!$K136-SUM($E21:P21)&lt;=0,0,IF(Calc1!$K136-SUM($E21:P21)&lt;P21,Calc1!$K136-SUM($E21:P21),P21))</f>
        <v>57.598490798922853</v>
      </c>
      <c r="R21" s="71">
        <f>IF(Calc1!$K136-SUM($E21:Q21)&lt;=0,0,IF(Calc1!$K136-SUM($E21:Q21)&lt;Q21,Calc1!$K136-SUM($E21:Q21),Q21))</f>
        <v>0</v>
      </c>
      <c r="S21" s="71">
        <f>IF(Calc1!$K136-SUM($E21:R21)&lt;=0,0,IF(Calc1!$K136-SUM($E21:R21)&lt;R21,Calc1!$K136-SUM($E21:R21),R21))</f>
        <v>0</v>
      </c>
      <c r="T21" s="71">
        <f>IF(Calc1!$K136-SUM($E21:S21)&lt;=0,0,IF(Calc1!$K136-SUM($E21:S21)&lt;S21,Calc1!$K136-SUM($E21:S21),S21))</f>
        <v>0</v>
      </c>
      <c r="U21" s="71">
        <f>IF(Calc1!$K136-SUM($E21:T21)&lt;=0,0,IF(Calc1!$K136-SUM($E21:T21)&lt;T21,Calc1!$K136-SUM($E21:T21),T21))</f>
        <v>0</v>
      </c>
      <c r="V21" s="71">
        <f>IF(Calc1!$K136-SUM($E21:U21)&lt;=0,0,IF(Calc1!$K136-SUM($E21:U21)&lt;U21,Calc1!$K136-SUM($E21:U21),U21))</f>
        <v>0</v>
      </c>
      <c r="W21" s="71">
        <f>IF(Calc1!$K136-SUM($E21:V21)&lt;=0,0,IF(Calc1!$K136-SUM($E21:V21)&lt;V21,Calc1!$K136-SUM($E21:V21),V21))</f>
        <v>0</v>
      </c>
      <c r="X21" s="71">
        <f>IF(Calc1!$K136-SUM($E21:W21)&lt;=0,0,IF(Calc1!$K136-SUM($E21:W21)&lt;W21,Calc1!$K136-SUM($E21:W21),W21))</f>
        <v>0</v>
      </c>
      <c r="Y21" s="71">
        <f>IF(Calc1!$K136-SUM($E21:X21)&lt;=0,0,IF(Calc1!$K136-SUM($E21:X21)&lt;X21,Calc1!$K136-SUM($E21:X21),X21))</f>
        <v>0</v>
      </c>
    </row>
    <row r="22" spans="1:25">
      <c r="A22" s="72">
        <v>42643</v>
      </c>
      <c r="B22" s="67"/>
      <c r="C22" s="67"/>
      <c r="D22" s="67"/>
      <c r="E22" s="67"/>
      <c r="F22" s="67"/>
      <c r="G22" s="67"/>
      <c r="H22" s="67"/>
      <c r="I22" s="67"/>
      <c r="J22" s="67"/>
      <c r="K22" s="67"/>
      <c r="L22" s="67"/>
      <c r="M22" s="67">
        <f>0.5*IF(Calc1!$L140-SUM($L22:L22)&lt;=0,0,IF(Calc1!$L140-SUM($L22:L22)&lt;L22,Calc1!$L140-SUM($L22:L22),Calc1!$L140/12*M$6/M$5))</f>
        <v>151.05345585449032</v>
      </c>
      <c r="N22" s="67">
        <f>IF(Calc1!$L140-SUM($L22:M22)&lt;=0,0,IF(Calc1!$L140-SUM($L22:M22)&lt;M22,Calc1!$L140-SUM($L22:M22),Calc1!$L140/12*N$6/N$5))</f>
        <v>302.10691170898065</v>
      </c>
      <c r="O22" s="67">
        <f>IF(Calc1!$L140-SUM($L22:N22)&lt;=0,0,IF(Calc1!$L140-SUM($L22:N22)&lt;N22,Calc1!$L140-SUM($L22:N22),Calc1!$L140/12*O$6/O$5))</f>
        <v>302.10691170898065</v>
      </c>
      <c r="P22" s="67">
        <f>IF(Calc1!$L140-SUM($L22:O22)&lt;=0,0,IF(Calc1!$L140-SUM($L22:O22)&lt;O22,Calc1!$L140-SUM($L22:O22),Calc1!$L140/12*P$6/P$5))</f>
        <v>302.10691170898065</v>
      </c>
      <c r="Q22" s="67">
        <f>IF(Calc1!$L140-SUM($L22:P22)&lt;=0,0,IF(Calc1!$L140-SUM($L22:P22)&lt;P22,Calc1!$L140-SUM($L22:P22),Calc1!$L140/12*Q$6/Q$5))</f>
        <v>302.10691170898065</v>
      </c>
      <c r="R22" s="67">
        <f>IF(Calc1!$L140-SUM($L22:Q22)&lt;=0,0,IF(Calc1!$L140-SUM($L22:Q22)&lt;Q22,Calc1!$L140-SUM($L22:Q22),Calc1!$L140/12*R$6/R$5))</f>
        <v>151.05345585449072</v>
      </c>
      <c r="S22" s="67">
        <f>IF(Calc1!$L140-SUM($L22:R22)&lt;=0,0,IF(Calc1!$L140-SUM($L22:R22)&lt;R22,Calc1!$L140-SUM($L22:R22),Calc1!$L140/12*S$6/S$5))</f>
        <v>0</v>
      </c>
      <c r="T22" s="67">
        <f>IF(Calc1!$L140-SUM($L22:S22)&lt;=0,0,IF(Calc1!$L140-SUM($L22:S22)&lt;S22,Calc1!$L140-SUM($L22:S22),Calc1!$L140/12*T$6/T$5))</f>
        <v>0</v>
      </c>
      <c r="U22" s="67">
        <f>IF(Calc1!$L140-SUM($L22:T22)&lt;=0,0,IF(Calc1!$L140-SUM($L22:T22)&lt;T22,Calc1!$L140-SUM($L22:T22),Calc1!$L140/12*U$6/U$5))</f>
        <v>0</v>
      </c>
      <c r="V22" s="67">
        <f>IF(Calc1!$L140-SUM($L22:U22)&lt;=0,0,IF(Calc1!$L140-SUM($L22:U22)&lt;U22,Calc1!$L140-SUM($L22:U22),Calc1!$L140/12*V$6/V$5))</f>
        <v>0</v>
      </c>
      <c r="W22" s="67">
        <f>IF(Calc1!$L140-SUM($L22:V22)&lt;=0,0,IF(Calc1!$L140-SUM($L22:V22)&lt;V22,Calc1!$L140-SUM($L22:V22),Calc1!$L140/12*W$6/W$5))</f>
        <v>0</v>
      </c>
      <c r="X22" s="67">
        <f>IF(Calc1!$L140-SUM($L22:W22)&lt;=0,0,IF(Calc1!$L140-SUM($L22:W22)&lt;W22,Calc1!$L140-SUM($L22:W22),Calc1!$L140/12*X$6/X$5))</f>
        <v>0</v>
      </c>
      <c r="Y22" s="67">
        <f>IF(Calc1!$L140-SUM($L22:X22)&lt;=0,0,IF(Calc1!$L140-SUM($L22:X22)&lt;X22,Calc1!$L140-SUM($L22:X22),Calc1!$L140/12*Y$6/Y$5))</f>
        <v>0</v>
      </c>
    </row>
    <row r="23" spans="1:25">
      <c r="A23" s="72">
        <v>43008</v>
      </c>
      <c r="B23" s="67"/>
      <c r="C23" s="67"/>
      <c r="D23" s="67"/>
      <c r="E23" s="67"/>
      <c r="F23" s="67"/>
      <c r="G23" s="67"/>
      <c r="H23" s="67"/>
      <c r="I23" s="67"/>
      <c r="J23" s="67"/>
      <c r="K23" s="67"/>
      <c r="L23" s="67"/>
      <c r="M23" s="67"/>
      <c r="N23" s="67">
        <f>0.5*IF(Calc1!$M140-SUM($L23:M23)&lt;=0,0,IF(Calc1!$M140-SUM($L23:M23)&lt;M23,Calc1!$M140-SUM($L23:M23),Calc1!$M140/12*N$6/N$5))</f>
        <v>149.03785145888594</v>
      </c>
      <c r="O23" s="67">
        <f>IF(Calc1!$M140-SUM($L23:N23)&lt;=0,0,IF(Calc1!$M140-SUM($L23:N23)&lt;N23,Calc1!$M140-SUM($L23:N23),Calc1!$M140/12*O$6/O$5))</f>
        <v>298.07570291777188</v>
      </c>
      <c r="P23" s="67">
        <f>IF(Calc1!$M140-SUM($L23:O23)&lt;=0,0,IF(Calc1!$M140-SUM($L23:O23)&lt;O23,Calc1!$M140-SUM($L23:O23),Calc1!$M140/12*P$6/P$5))</f>
        <v>298.07570291777188</v>
      </c>
      <c r="Q23" s="67">
        <f>IF(Calc1!$M140-SUM($L23:P23)&lt;=0,0,IF(Calc1!$M140-SUM($L23:P23)&lt;P23,Calc1!$M140-SUM($L23:P23),Calc1!$M140/12*Q$6/Q$5))</f>
        <v>298.07570291777188</v>
      </c>
      <c r="R23" s="67">
        <f>IF(Calc1!$M140-SUM($L23:Q23)&lt;=0,0,IF(Calc1!$M140-SUM($L23:Q23)&lt;Q23,Calc1!$M140-SUM($L23:Q23),Calc1!$M140/12*R$6/R$5))</f>
        <v>298.07570291777188</v>
      </c>
      <c r="S23" s="67">
        <f>IF(Calc1!$M140-SUM($L23:R23)&lt;=0,0,IF(Calc1!$M140-SUM($L23:R23)&lt;R23,Calc1!$M140-SUM($L23:R23),Calc1!$M140/12*S$6/S$5))</f>
        <v>149.03785145888605</v>
      </c>
      <c r="T23" s="67">
        <f>IF(Calc1!$M140-SUM($L23:S23)&lt;=0,0,IF(Calc1!$M140-SUM($L23:S23)&lt;S23,Calc1!$M140-SUM($L23:S23),Calc1!$M140/12*T$6/T$5))</f>
        <v>0</v>
      </c>
      <c r="U23" s="67">
        <f>IF(Calc1!$M140-SUM($L23:T23)&lt;=0,0,IF(Calc1!$M140-SUM($L23:T23)&lt;T23,Calc1!$M140-SUM($L23:T23),Calc1!$M140/12*U$6/U$5))</f>
        <v>0</v>
      </c>
      <c r="V23" s="67">
        <f>IF(Calc1!$M140-SUM($L23:U23)&lt;=0,0,IF(Calc1!$M140-SUM($L23:U23)&lt;U23,Calc1!$M140-SUM($L23:U23),Calc1!$M140/12*V$6/V$5))</f>
        <v>0</v>
      </c>
      <c r="W23" s="67">
        <f>IF(Calc1!$M140-SUM($L23:V23)&lt;=0,0,IF(Calc1!$M140-SUM($L23:V23)&lt;V23,Calc1!$M140-SUM($L23:V23),Calc1!$M140/12*W$6/W$5))</f>
        <v>0</v>
      </c>
      <c r="X23" s="67">
        <f>IF(Calc1!$M140-SUM($L23:W23)&lt;=0,0,IF(Calc1!$M140-SUM($L23:W23)&lt;W23,Calc1!$M140-SUM($L23:W23),Calc1!$M140/12*X$6/X$5))</f>
        <v>0</v>
      </c>
      <c r="Y23" s="67">
        <f>IF(Calc1!$M140-SUM($L23:X23)&lt;=0,0,IF(Calc1!$M140-SUM($L23:X23)&lt;X23,Calc1!$M140-SUM($L23:X23),Calc1!$M140/12*Y$6/Y$5))</f>
        <v>0</v>
      </c>
    </row>
    <row r="24" spans="1:25">
      <c r="A24" s="72">
        <v>43373</v>
      </c>
      <c r="B24" s="67"/>
      <c r="C24" s="67"/>
      <c r="D24" s="67"/>
      <c r="E24" s="67"/>
      <c r="F24" s="67"/>
      <c r="G24" s="67"/>
      <c r="H24" s="67"/>
      <c r="I24" s="67"/>
      <c r="J24" s="67"/>
      <c r="K24" s="67"/>
      <c r="L24" s="67"/>
      <c r="M24" s="67"/>
      <c r="N24" s="67"/>
      <c r="O24" s="67">
        <f>0.5*IF(Calc1!$N$140-SUM($L24:N24)&lt;=0,0,IF(Calc1!$N$140-SUM($L24:N24)&lt;N24,Calc1!$N$140-SUM($L24:N24),Calc1!$N$140/12*O$6/O$5))</f>
        <v>1163.1440090943538</v>
      </c>
      <c r="P24" s="67">
        <f>IF(Calc1!$N$140-SUM($L24:O24)&lt;=0,0,IF(Calc1!$N$140-SUM($L24:O24)&lt;O24,Calc1!$N$140-SUM($L24:O24),Calc1!$N$140/12*P$6/P$5))</f>
        <v>2326.2880181887076</v>
      </c>
      <c r="Q24" s="67">
        <f>IF(Calc1!$N$140-SUM($L24:P24)&lt;=0,0,IF(Calc1!$N$140-SUM($L24:P24)&lt;P24,Calc1!$N$140-SUM($L24:P24),Calc1!$N$140/12*Q$6/Q$5))</f>
        <v>2326.2880181887076</v>
      </c>
      <c r="R24" s="67">
        <f>IF(Calc1!$N$140-SUM($L24:Q24)&lt;=0,0,IF(Calc1!$N$140-SUM($L24:Q24)&lt;Q24,Calc1!$N$140-SUM($L24:Q24),Calc1!$N$140/12*R$6/R$5))</f>
        <v>2326.2880181887076</v>
      </c>
      <c r="S24" s="67">
        <f>IF(Calc1!$N$140-SUM($L24:R24)&lt;=0,0,IF(Calc1!$N$140-SUM($L24:R24)&lt;R24,Calc1!$N$140-SUM($L24:R24),Calc1!$N$140/12*S$6/S$5))</f>
        <v>2326.2880181887076</v>
      </c>
      <c r="T24" s="67">
        <f>IF(Calc1!$N$140-SUM($L24:S24)&lt;=0,0,IF(Calc1!$N$140-SUM($L24:S24)&lt;S24,Calc1!$N$140-SUM($L24:S24),Calc1!$N$140/12*T$6/T$5))</f>
        <v>1163.1440090943543</v>
      </c>
      <c r="U24" s="67">
        <f>IF(Calc1!$N$140-SUM($L24:T24)&lt;=0,0,IF(Calc1!$N$140-SUM($L24:T24)&lt;T24,Calc1!$N$140-SUM($L24:T24),Calc1!$N$140/12*U$6/U$5))</f>
        <v>0</v>
      </c>
      <c r="V24" s="67">
        <f>IF(Calc1!$N$140-SUM($L24:U24)&lt;=0,0,IF(Calc1!$N$140-SUM($L24:U24)&lt;U24,Calc1!$N$140-SUM($L24:U24),Calc1!$N$140/12*V$6/V$5))</f>
        <v>0</v>
      </c>
      <c r="W24" s="67">
        <f>IF(Calc1!$N$140-SUM($L24:V24)&lt;=0,0,IF(Calc1!$N$140-SUM($L24:V24)&lt;V24,Calc1!$N$140-SUM($L24:V24),Calc1!$N$140/12*W$6/W$5))</f>
        <v>0</v>
      </c>
      <c r="X24" s="67">
        <f>IF(Calc1!$N$140-SUM($L24:W24)&lt;=0,0,IF(Calc1!$N$140-SUM($L24:W24)&lt;W24,Calc1!$N$140-SUM($L24:W24),Calc1!$N$140/12*X$6/X$5))</f>
        <v>0</v>
      </c>
      <c r="Y24" s="67">
        <f>IF(Calc1!$N$140-SUM($L24:X24)&lt;=0,0,IF(Calc1!$N$140-SUM($L24:X24)&lt;X24,Calc1!$N$140-SUM($L24:X24),Calc1!$N$140/12*Y$6/Y$5))</f>
        <v>0</v>
      </c>
    </row>
    <row r="25" spans="1:25">
      <c r="A25" s="72">
        <v>43738</v>
      </c>
      <c r="B25" s="67"/>
      <c r="C25" s="67"/>
      <c r="D25" s="67"/>
      <c r="E25" s="67"/>
      <c r="F25" s="67"/>
      <c r="G25" s="67"/>
      <c r="H25" s="67"/>
      <c r="I25" s="67"/>
      <c r="J25" s="67"/>
      <c r="K25" s="67"/>
      <c r="L25" s="67"/>
      <c r="M25" s="67"/>
      <c r="N25" s="67"/>
      <c r="O25" s="67"/>
      <c r="P25" s="67">
        <f>0.5*IF(Calc1!$O$140-SUM($L25:O25)&lt;=0,0,IF(Calc1!$O$140-SUM($L25:O25)&lt;O25,Calc1!$O$140-SUM($L25:O25),Calc1!$O$140/12*P$6/P$5))</f>
        <v>159.90370594922319</v>
      </c>
      <c r="Q25" s="67">
        <f>IF(Calc1!$O$140-SUM($L25:P25)&lt;=0,0,IF(Calc1!$O$140-SUM($L25:P25)&lt;P25,Calc1!$O$140-SUM($L25:P25),Calc1!$O$140/12*Q$6/Q$5))</f>
        <v>319.80741189844639</v>
      </c>
      <c r="R25" s="67">
        <f>IF(Calc1!$O$140-SUM($L25:Q25)&lt;=0,0,IF(Calc1!$O$140-SUM($L25:Q25)&lt;Q25,Calc1!$O$140-SUM($L25:Q25),Calc1!$O$140/12*R$6/R$5))</f>
        <v>319.80741189844639</v>
      </c>
      <c r="S25" s="67">
        <f>IF(Calc1!$O$140-SUM($L25:R25)&lt;=0,0,IF(Calc1!$O$140-SUM($L25:R25)&lt;R25,Calc1!$O$140-SUM($L25:R25),Calc1!$O$140/12*S$6/S$5))</f>
        <v>319.80741189844639</v>
      </c>
      <c r="T25" s="67">
        <f>IF(Calc1!$O$140-SUM($L25:S25)&lt;=0,0,IF(Calc1!$O$140-SUM($L25:S25)&lt;S25,Calc1!$O$140-SUM($L25:S25),Calc1!$O$140/12*T$6/T$5))</f>
        <v>319.80741189844639</v>
      </c>
      <c r="U25" s="67">
        <f>IF(Calc1!$O$140-SUM($L25:T25)&lt;=0,0,IF(Calc1!$O$140-SUM($L25:T25)&lt;T25,Calc1!$O$140-SUM($L25:T25),Calc1!$O$140/12*U$6/U$5))</f>
        <v>159.90370594922319</v>
      </c>
      <c r="V25" s="67">
        <f>IF(Calc1!$O$140-SUM($L25:U25)&lt;=0,0,IF(Calc1!$O$140-SUM($L25:U25)&lt;U25,Calc1!$O$140-SUM($L25:U25),Calc1!$O$140/12*V$6/V$5))</f>
        <v>0</v>
      </c>
      <c r="W25" s="67">
        <f>IF(Calc1!$O$140-SUM($L25:V25)&lt;=0,0,IF(Calc1!$O$140-SUM($L25:V25)&lt;V25,Calc1!$O$140-SUM($L25:V25),Calc1!$O$140/12*W$6/W$5))</f>
        <v>0</v>
      </c>
      <c r="X25" s="67">
        <f>IF(Calc1!$O$140-SUM($L25:W25)&lt;=0,0,IF(Calc1!$O$140-SUM($L25:W25)&lt;W25,Calc1!$O$140-SUM($L25:W25),Calc1!$O$140/12*X$6/X$5))</f>
        <v>0</v>
      </c>
      <c r="Y25" s="67">
        <f>IF(Calc1!$O$140-SUM($L25:X25)&lt;=0,0,IF(Calc1!$O$140-SUM($L25:X25)&lt;X25,Calc1!$O$140-SUM($L25:X25),Calc1!$O$140/12*Y$6/Y$5))</f>
        <v>0</v>
      </c>
    </row>
    <row r="26" spans="1:25">
      <c r="A26" s="72">
        <v>44104</v>
      </c>
      <c r="B26" s="67"/>
      <c r="C26" s="67"/>
      <c r="D26" s="67"/>
      <c r="E26" s="67"/>
      <c r="F26" s="67"/>
      <c r="G26" s="67"/>
      <c r="H26" s="67"/>
      <c r="I26" s="67"/>
      <c r="J26" s="67"/>
      <c r="K26" s="67"/>
      <c r="L26" s="67"/>
      <c r="M26" s="67"/>
      <c r="N26" s="67"/>
      <c r="O26" s="67"/>
      <c r="P26" s="67"/>
      <c r="Q26" s="67">
        <f>0.5*IF(Calc1!$P$140-SUM($L26:P26)&lt;=0,0,IF(Calc1!$P$140-SUM($L26:P26)&lt;P26,Calc1!$P$140-SUM($L26:P26),Calc1!$P$140/12*Q$6/Q$5))</f>
        <v>177.27425161045852</v>
      </c>
      <c r="R26" s="67">
        <f>IF(Calc1!$P$140-SUM($L26:Q26)&lt;=0,0,IF(Calc1!$P$140-SUM($L26:Q26)&lt;Q26,Calc1!$P$140-SUM($L26:Q26),Calc1!$P$140/12*R$6/R$5))</f>
        <v>354.54850322091704</v>
      </c>
      <c r="S26" s="67">
        <f>IF(Calc1!$P$140-SUM($L26:R26)&lt;=0,0,IF(Calc1!$P$140-SUM($L26:R26)&lt;R26,Calc1!$P$140-SUM($L26:R26),Calc1!$P$140/12*S$6/S$5))</f>
        <v>354.54850322091704</v>
      </c>
      <c r="T26" s="67">
        <f>IF(Calc1!$P$140-SUM($L26:S26)&lt;=0,0,IF(Calc1!$P$140-SUM($L26:S26)&lt;S26,Calc1!$P$140-SUM($L26:S26),Calc1!$P$140/12*T$6/T$5))</f>
        <v>354.54850322091704</v>
      </c>
      <c r="U26" s="67">
        <f>IF(Calc1!$P$140-SUM($L26:T26)&lt;=0,0,IF(Calc1!$P$140-SUM($L26:T26)&lt;T26,Calc1!$P$140-SUM($L26:T26),Calc1!$P$140/12*U$6/U$5))</f>
        <v>354.54850322091704</v>
      </c>
      <c r="V26" s="67">
        <f>IF(Calc1!$P$140-SUM($L26:U26)&lt;=0,0,IF(Calc1!$P$140-SUM($L26:U26)&lt;U26,Calc1!$P$140-SUM($L26:U26),Calc1!$P$140/12*V$6/V$5))</f>
        <v>177.27425161045835</v>
      </c>
      <c r="W26" s="67">
        <f>IF(Calc1!$P$140-SUM($L26:V26)&lt;=0,0,IF(Calc1!$P$140-SUM($L26:V26)&lt;V26,Calc1!$P$140-SUM($L26:V26),Calc1!$P$140/12*W$6/W$5))</f>
        <v>0</v>
      </c>
      <c r="X26" s="67">
        <f>IF(Calc1!$P$140-SUM($L26:W26)&lt;=0,0,IF(Calc1!$P$140-SUM($L26:W26)&lt;W26,Calc1!$P$140-SUM($L26:W26),Calc1!$P$140/12*X$6/X$5))</f>
        <v>0</v>
      </c>
      <c r="Y26" s="67">
        <f>IF(Calc1!$P$140-SUM($L26:X26)&lt;=0,0,IF(Calc1!$P$140-SUM($L26:X26)&lt;X26,Calc1!$P$140-SUM($L26:X26),Calc1!$P$140/12*Y$6/Y$5))</f>
        <v>0</v>
      </c>
    </row>
    <row r="27" spans="1:25">
      <c r="A27" s="5"/>
      <c r="B27" s="75"/>
      <c r="C27" s="75"/>
      <c r="D27" s="75"/>
      <c r="E27" s="75"/>
      <c r="F27" s="75"/>
      <c r="G27" s="75"/>
      <c r="H27" s="75"/>
      <c r="I27" s="75"/>
      <c r="J27" s="75"/>
      <c r="K27" s="75"/>
      <c r="L27" s="75"/>
      <c r="M27" s="75"/>
    </row>
    <row r="28" spans="1:25">
      <c r="A28" s="5"/>
    </row>
    <row r="29" spans="1:25">
      <c r="A29" s="4" t="s">
        <v>241</v>
      </c>
      <c r="B29" s="7">
        <v>39538</v>
      </c>
      <c r="C29" s="7">
        <v>39721</v>
      </c>
      <c r="D29" s="7">
        <v>40086</v>
      </c>
      <c r="E29" s="7">
        <v>40268</v>
      </c>
      <c r="F29" s="7">
        <v>40451</v>
      </c>
      <c r="G29" s="7">
        <v>40816</v>
      </c>
      <c r="H29" s="7">
        <v>41182</v>
      </c>
      <c r="I29" s="7">
        <v>41547</v>
      </c>
      <c r="J29" s="7">
        <v>41912</v>
      </c>
      <c r="K29" s="7">
        <v>42277</v>
      </c>
      <c r="L29" s="7">
        <v>42643</v>
      </c>
      <c r="M29" s="7">
        <v>43008</v>
      </c>
      <c r="N29" s="7">
        <v>43373</v>
      </c>
      <c r="O29" s="7">
        <v>43738</v>
      </c>
      <c r="P29" s="7">
        <v>44104</v>
      </c>
    </row>
    <row r="30" spans="1:25">
      <c r="A30" s="5" t="s">
        <v>34</v>
      </c>
      <c r="B30" s="57">
        <f>Calc1!B127</f>
        <v>16552.87475049901</v>
      </c>
      <c r="C30" s="57">
        <f t="shared" ref="C30:K30" si="1">B34</f>
        <v>17894.307474871937</v>
      </c>
      <c r="D30" s="57">
        <f t="shared" si="1"/>
        <v>18160.370710177893</v>
      </c>
      <c r="E30" s="57">
        <f t="shared" si="1"/>
        <v>19514.847844406802</v>
      </c>
      <c r="F30" s="57">
        <f t="shared" si="1"/>
        <v>21284.341637978705</v>
      </c>
      <c r="G30" s="57">
        <f t="shared" si="1"/>
        <v>20635.531193930885</v>
      </c>
      <c r="H30" s="57">
        <f t="shared" si="1"/>
        <v>18126.835687343329</v>
      </c>
      <c r="I30" s="57">
        <f t="shared" si="1"/>
        <v>15821.779178736026</v>
      </c>
      <c r="J30" s="57">
        <f t="shared" si="1"/>
        <v>12329.246935164629</v>
      </c>
      <c r="K30" s="57">
        <f t="shared" si="1"/>
        <v>10028.13552866684</v>
      </c>
      <c r="L30" s="57">
        <f>F30+SUM(F32:K32)-SUM(F33:K33)</f>
        <v>6430.8787563701262</v>
      </c>
      <c r="M30" s="57">
        <f>L34</f>
        <v>3843.9662574790809</v>
      </c>
      <c r="N30" s="57">
        <f>M34</f>
        <v>3532.3373323762589</v>
      </c>
      <c r="O30" s="57">
        <f>N34</f>
        <v>12682.600019751295</v>
      </c>
      <c r="P30" s="57">
        <f>O34</f>
        <v>10768.976525263402</v>
      </c>
    </row>
    <row r="31" spans="1:25">
      <c r="A31" s="5" t="s">
        <v>119</v>
      </c>
      <c r="B31" s="57">
        <f>Calc1!B133</f>
        <v>2116.7832446290081</v>
      </c>
      <c r="C31" s="57">
        <f>Calc1!C133</f>
        <v>1262.6801421709006</v>
      </c>
      <c r="D31" s="57">
        <f>Calc1!D133+Calc1!D134</f>
        <v>3654.6519071999674</v>
      </c>
      <c r="E31" s="57">
        <f>Calc1!E133+Calc1!E134</f>
        <v>3035.1734247186259</v>
      </c>
      <c r="F31" s="57">
        <f>Calc1!F135</f>
        <v>1047.8191202872531</v>
      </c>
      <c r="G31" s="57">
        <f>Calc1!G135</f>
        <v>1013.3891382405744</v>
      </c>
      <c r="H31" s="57">
        <f>Calc1!H135</f>
        <v>1365.722621184919</v>
      </c>
      <c r="I31" s="57">
        <f>Calc1!I135</f>
        <v>281.17818671454216</v>
      </c>
      <c r="J31" s="57">
        <f>Calc1!J135</f>
        <v>1589.5175044883301</v>
      </c>
      <c r="K31" s="57">
        <f>Calc1!K135</f>
        <v>418.89811490125669</v>
      </c>
      <c r="L31" s="57">
        <f>Calc1!L140</f>
        <v>1510.5345585449033</v>
      </c>
      <c r="M31" s="57">
        <f>Calc1!M140</f>
        <v>1490.3785145888594</v>
      </c>
      <c r="N31" s="57">
        <f>Calc1!N140</f>
        <v>11631.440090943539</v>
      </c>
      <c r="O31" s="57">
        <f>Calc1!O140</f>
        <v>1599.0370594922319</v>
      </c>
      <c r="P31" s="57">
        <f>Calc1!P140</f>
        <v>1772.7425161045851</v>
      </c>
    </row>
    <row r="32" spans="1:25">
      <c r="A32" s="5" t="s">
        <v>255</v>
      </c>
      <c r="B32" s="57"/>
      <c r="C32" s="57"/>
      <c r="D32" s="57"/>
      <c r="E32" s="57"/>
      <c r="F32" s="57">
        <f>Calc1!F136</f>
        <v>1047.8191202872531</v>
      </c>
      <c r="G32" s="57">
        <f>Calc1!G136</f>
        <v>1013.3891382405744</v>
      </c>
      <c r="H32" s="57">
        <f>Calc1!H136</f>
        <v>1365.722621184919</v>
      </c>
      <c r="I32" s="57">
        <f>Calc1!I136</f>
        <v>281.17818671454216</v>
      </c>
      <c r="J32" s="57">
        <f>Calc1!J136</f>
        <v>1589.5175044883301</v>
      </c>
      <c r="K32" s="57">
        <f>Calc1!K136</f>
        <v>418.89811490125669</v>
      </c>
      <c r="L32" s="57">
        <f>L31</f>
        <v>1510.5345585449033</v>
      </c>
      <c r="M32" s="57">
        <f>M31</f>
        <v>1490.3785145888594</v>
      </c>
      <c r="N32" s="57">
        <f>N31</f>
        <v>11631.440090943539</v>
      </c>
      <c r="O32" s="57">
        <f>O31</f>
        <v>1599.0370594922319</v>
      </c>
      <c r="P32" s="57">
        <f>P31</f>
        <v>1772.7425161045851</v>
      </c>
    </row>
    <row r="33" spans="1:42">
      <c r="A33" s="5" t="s">
        <v>1</v>
      </c>
      <c r="B33" s="57">
        <f t="shared" ref="B33:P33" si="2">SUM(C9:C26)</f>
        <v>775.35052025608229</v>
      </c>
      <c r="C33" s="57">
        <f t="shared" si="2"/>
        <v>996.61690686494535</v>
      </c>
      <c r="D33" s="57">
        <f t="shared" si="2"/>
        <v>2300.1747729710587</v>
      </c>
      <c r="E33" s="57">
        <f t="shared" si="2"/>
        <v>1265.6796311467238</v>
      </c>
      <c r="F33" s="57">
        <f t="shared" si="2"/>
        <v>1696.6295643350707</v>
      </c>
      <c r="G33" s="57">
        <f t="shared" si="2"/>
        <v>3522.08464482813</v>
      </c>
      <c r="H33" s="57">
        <f t="shared" si="2"/>
        <v>3670.7791297922236</v>
      </c>
      <c r="I33" s="57">
        <f t="shared" si="2"/>
        <v>3773.7104302859398</v>
      </c>
      <c r="J33" s="57">
        <f t="shared" si="2"/>
        <v>3890.6289109861195</v>
      </c>
      <c r="K33" s="57">
        <f t="shared" si="2"/>
        <v>4016.1548871979685</v>
      </c>
      <c r="L33" s="57">
        <f t="shared" si="2"/>
        <v>4097.4470574359484</v>
      </c>
      <c r="M33" s="57">
        <f t="shared" si="2"/>
        <v>1802.0074396916816</v>
      </c>
      <c r="N33" s="57">
        <f t="shared" si="2"/>
        <v>2481.177403568503</v>
      </c>
      <c r="O33" s="57">
        <f t="shared" si="2"/>
        <v>3512.660553980123</v>
      </c>
      <c r="P33" s="57">
        <f t="shared" si="2"/>
        <v>3501.0197559293924</v>
      </c>
    </row>
    <row r="34" spans="1:42">
      <c r="A34" s="5" t="s">
        <v>31</v>
      </c>
      <c r="B34" s="57">
        <f>B30+B31-B33</f>
        <v>17894.307474871937</v>
      </c>
      <c r="C34" s="57">
        <f>C30+C31-C33</f>
        <v>18160.370710177893</v>
      </c>
      <c r="D34" s="57">
        <f>D30+D31-D33</f>
        <v>19514.847844406802</v>
      </c>
      <c r="E34" s="57">
        <f>E30+E31-E33</f>
        <v>21284.341637978705</v>
      </c>
      <c r="F34" s="57">
        <f t="shared" ref="F34:P34" si="3">F30+F32-F33</f>
        <v>20635.531193930885</v>
      </c>
      <c r="G34" s="57">
        <f t="shared" si="3"/>
        <v>18126.835687343329</v>
      </c>
      <c r="H34" s="57">
        <f t="shared" si="3"/>
        <v>15821.779178736026</v>
      </c>
      <c r="I34" s="57">
        <f t="shared" si="3"/>
        <v>12329.246935164629</v>
      </c>
      <c r="J34" s="57">
        <f t="shared" si="3"/>
        <v>10028.13552866684</v>
      </c>
      <c r="K34" s="57">
        <f t="shared" si="3"/>
        <v>6430.878756370128</v>
      </c>
      <c r="L34" s="57">
        <f t="shared" si="3"/>
        <v>3843.9662574790809</v>
      </c>
      <c r="M34" s="57">
        <f t="shared" si="3"/>
        <v>3532.3373323762589</v>
      </c>
      <c r="N34" s="57">
        <f t="shared" si="3"/>
        <v>12682.600019751295</v>
      </c>
      <c r="O34" s="57">
        <f t="shared" si="3"/>
        <v>10768.976525263402</v>
      </c>
      <c r="P34" s="57">
        <f t="shared" si="3"/>
        <v>9040.6992854385953</v>
      </c>
    </row>
    <row r="35" spans="1:42">
      <c r="A35" s="5" t="s">
        <v>32</v>
      </c>
      <c r="B35" s="57">
        <f t="shared" ref="B35:P35" si="4">(B30+B34)/2</f>
        <v>17223.591112685473</v>
      </c>
      <c r="C35" s="57">
        <f t="shared" si="4"/>
        <v>18027.339092524915</v>
      </c>
      <c r="D35" s="57">
        <f t="shared" si="4"/>
        <v>18837.609277292348</v>
      </c>
      <c r="E35" s="57">
        <f t="shared" si="4"/>
        <v>20399.594741192755</v>
      </c>
      <c r="F35" s="57">
        <f t="shared" si="4"/>
        <v>20959.936415954795</v>
      </c>
      <c r="G35" s="57">
        <f t="shared" si="4"/>
        <v>19381.183440637105</v>
      </c>
      <c r="H35" s="57">
        <f t="shared" si="4"/>
        <v>16974.307433039678</v>
      </c>
      <c r="I35" s="57">
        <f t="shared" si="4"/>
        <v>14075.513056950327</v>
      </c>
      <c r="J35" s="57">
        <f t="shared" si="4"/>
        <v>11178.691231915735</v>
      </c>
      <c r="K35" s="57">
        <f t="shared" si="4"/>
        <v>8229.5071425184833</v>
      </c>
      <c r="L35" s="57">
        <f t="shared" si="4"/>
        <v>5137.422506924604</v>
      </c>
      <c r="M35" s="57">
        <f t="shared" si="4"/>
        <v>3688.1517949276699</v>
      </c>
      <c r="N35" s="57">
        <f t="shared" si="4"/>
        <v>8107.4686760637769</v>
      </c>
      <c r="O35" s="57">
        <f t="shared" si="4"/>
        <v>11725.788272507349</v>
      </c>
      <c r="P35" s="57">
        <f t="shared" si="4"/>
        <v>9904.8379053509998</v>
      </c>
    </row>
    <row r="38" spans="1:42" s="6" customFormat="1" ht="18.75">
      <c r="A38" s="6" t="s">
        <v>96</v>
      </c>
    </row>
    <row r="39" spans="1:42">
      <c r="A39" s="75"/>
    </row>
    <row r="40" spans="1:42">
      <c r="A40" s="1"/>
      <c r="B40" s="4" t="s">
        <v>67</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75"/>
      <c r="B41" s="7">
        <v>39386</v>
      </c>
      <c r="C41" s="7">
        <v>39538</v>
      </c>
      <c r="D41" s="7">
        <v>39721</v>
      </c>
      <c r="E41" s="7">
        <v>40086</v>
      </c>
      <c r="F41" s="7">
        <v>40268</v>
      </c>
      <c r="G41" s="7">
        <v>40451</v>
      </c>
      <c r="H41" s="7">
        <v>40816</v>
      </c>
      <c r="I41" s="7">
        <v>41182</v>
      </c>
      <c r="J41" s="7">
        <v>41547</v>
      </c>
      <c r="K41" s="7">
        <v>41912</v>
      </c>
      <c r="L41" s="7">
        <v>42277</v>
      </c>
      <c r="M41" s="7">
        <v>42643</v>
      </c>
      <c r="N41" s="7">
        <v>43008</v>
      </c>
      <c r="O41" s="7">
        <v>43373</v>
      </c>
      <c r="P41" s="7">
        <v>43738</v>
      </c>
      <c r="Q41" s="7">
        <v>44104</v>
      </c>
      <c r="R41" s="7">
        <v>44469</v>
      </c>
      <c r="S41" s="7">
        <v>44834</v>
      </c>
      <c r="T41" s="7">
        <v>45199</v>
      </c>
      <c r="U41" s="7">
        <v>45565</v>
      </c>
      <c r="V41" s="7">
        <v>45930</v>
      </c>
      <c r="W41" s="7">
        <v>46295</v>
      </c>
      <c r="X41" s="7">
        <v>46660</v>
      </c>
      <c r="Y41" s="7">
        <v>47026</v>
      </c>
      <c r="Z41" s="7">
        <v>47391</v>
      </c>
      <c r="AA41" s="7">
        <v>47756</v>
      </c>
      <c r="AB41" s="7">
        <v>48121</v>
      </c>
      <c r="AC41" s="7">
        <v>48487</v>
      </c>
      <c r="AD41" s="7">
        <v>48852</v>
      </c>
      <c r="AE41" s="7">
        <v>49217</v>
      </c>
      <c r="AF41" s="7">
        <v>49582</v>
      </c>
      <c r="AG41" s="7">
        <v>49948</v>
      </c>
      <c r="AH41" s="7">
        <v>50313</v>
      </c>
      <c r="AI41" s="7">
        <v>50678</v>
      </c>
      <c r="AJ41" s="7">
        <v>51043</v>
      </c>
      <c r="AK41" s="7">
        <v>51409</v>
      </c>
      <c r="AL41" s="7">
        <v>51774</v>
      </c>
      <c r="AM41" s="7">
        <v>52139</v>
      </c>
      <c r="AN41" s="7">
        <v>52504</v>
      </c>
      <c r="AO41" s="7">
        <v>52870</v>
      </c>
      <c r="AP41" s="7">
        <v>53235</v>
      </c>
    </row>
    <row r="42" spans="1:42">
      <c r="A42" s="4" t="s">
        <v>69</v>
      </c>
      <c r="B42" s="65"/>
      <c r="C42" s="66">
        <f>Calc1!$B$143</f>
        <v>25</v>
      </c>
      <c r="D42" s="66">
        <f>Calc1!$B$143</f>
        <v>25</v>
      </c>
      <c r="E42" s="66">
        <f>Calc1!$B$143</f>
        <v>25</v>
      </c>
      <c r="F42" s="66">
        <f>Calc1!$B$143</f>
        <v>25</v>
      </c>
      <c r="G42" s="66">
        <f>Calc1!$B$143</f>
        <v>25</v>
      </c>
      <c r="H42" s="66">
        <f>Calc1!$B$143</f>
        <v>25</v>
      </c>
      <c r="I42" s="66">
        <f>Calc1!$B$143</f>
        <v>25</v>
      </c>
      <c r="J42" s="66">
        <f>Calc1!$B$143</f>
        <v>25</v>
      </c>
      <c r="K42" s="66">
        <f>Calc1!$B$143</f>
        <v>25</v>
      </c>
      <c r="L42" s="66">
        <f>Calc1!$B$143</f>
        <v>25</v>
      </c>
      <c r="M42" s="66">
        <f>Calc1!$B$143</f>
        <v>25</v>
      </c>
      <c r="N42" s="66">
        <f>Calc1!$B$143</f>
        <v>25</v>
      </c>
      <c r="O42" s="66">
        <f>Calc1!$B$143</f>
        <v>25</v>
      </c>
      <c r="P42" s="66">
        <f>Calc1!$B$143</f>
        <v>25</v>
      </c>
      <c r="Q42" s="66">
        <f>Calc1!$B$143</f>
        <v>25</v>
      </c>
      <c r="R42" s="66">
        <f>Calc1!$B$143</f>
        <v>25</v>
      </c>
      <c r="S42" s="66">
        <f>Calc1!$B$143</f>
        <v>25</v>
      </c>
      <c r="T42" s="66">
        <f>Calc1!$B$143</f>
        <v>25</v>
      </c>
      <c r="U42" s="66">
        <f>Calc1!$B$143</f>
        <v>25</v>
      </c>
      <c r="V42" s="66">
        <f>Calc1!$B$143</f>
        <v>25</v>
      </c>
      <c r="W42" s="66">
        <f>Calc1!$B$143</f>
        <v>25</v>
      </c>
      <c r="X42" s="66">
        <f>Calc1!$B$143</f>
        <v>25</v>
      </c>
      <c r="Y42" s="66">
        <f>Calc1!$B$143</f>
        <v>25</v>
      </c>
      <c r="Z42" s="66">
        <f>Calc1!$B$143</f>
        <v>25</v>
      </c>
      <c r="AA42" s="66">
        <f>Calc1!$B$143</f>
        <v>25</v>
      </c>
      <c r="AB42" s="66">
        <f>Calc1!$B$143</f>
        <v>25</v>
      </c>
      <c r="AC42" s="66">
        <f>Calc1!$B$143</f>
        <v>25</v>
      </c>
      <c r="AD42" s="66">
        <f>Calc1!$B$143</f>
        <v>25</v>
      </c>
      <c r="AE42" s="66">
        <f>Calc1!$B$143</f>
        <v>25</v>
      </c>
      <c r="AF42" s="66">
        <f>Calc1!$B$143</f>
        <v>25</v>
      </c>
      <c r="AG42" s="66">
        <f>Calc1!$B$143</f>
        <v>25</v>
      </c>
      <c r="AH42" s="66">
        <f>Calc1!$B$143</f>
        <v>25</v>
      </c>
      <c r="AI42" s="66">
        <f>Calc1!$B$143</f>
        <v>25</v>
      </c>
      <c r="AJ42" s="66">
        <f>Calc1!$B$143</f>
        <v>25</v>
      </c>
      <c r="AK42" s="66">
        <f>Calc1!$B$143</f>
        <v>25</v>
      </c>
      <c r="AL42" s="66">
        <f>Calc1!$B$143</f>
        <v>25</v>
      </c>
      <c r="AM42" s="66">
        <f>Calc1!$B$143</f>
        <v>25</v>
      </c>
      <c r="AN42" s="66">
        <f>Calc1!$B$143</f>
        <v>25</v>
      </c>
      <c r="AO42" s="66">
        <f>Calc1!$B$143</f>
        <v>25</v>
      </c>
      <c r="AP42" s="66">
        <f>Calc1!$B$143</f>
        <v>25</v>
      </c>
    </row>
    <row r="43" spans="1:42">
      <c r="A43" s="4" t="s">
        <v>68</v>
      </c>
      <c r="B43" s="65"/>
      <c r="C43" s="67">
        <f t="shared" ref="C43:AP43" si="5">MAX(0,(YEAR(C41)-YEAR(B41))*12+(MONTH(C41)-MONTH(B41)))</f>
        <v>5</v>
      </c>
      <c r="D43" s="67">
        <f t="shared" si="5"/>
        <v>6</v>
      </c>
      <c r="E43" s="67">
        <f t="shared" si="5"/>
        <v>12</v>
      </c>
      <c r="F43" s="67">
        <f t="shared" si="5"/>
        <v>6</v>
      </c>
      <c r="G43" s="67">
        <f t="shared" si="5"/>
        <v>6</v>
      </c>
      <c r="H43" s="67">
        <f t="shared" si="5"/>
        <v>12</v>
      </c>
      <c r="I43" s="67">
        <f t="shared" si="5"/>
        <v>12</v>
      </c>
      <c r="J43" s="67">
        <f t="shared" si="5"/>
        <v>12</v>
      </c>
      <c r="K43" s="67">
        <f t="shared" si="5"/>
        <v>12</v>
      </c>
      <c r="L43" s="67">
        <f t="shared" si="5"/>
        <v>12</v>
      </c>
      <c r="M43" s="67">
        <f t="shared" si="5"/>
        <v>12</v>
      </c>
      <c r="N43" s="67">
        <f t="shared" si="5"/>
        <v>12</v>
      </c>
      <c r="O43" s="67">
        <f t="shared" si="5"/>
        <v>12</v>
      </c>
      <c r="P43" s="67">
        <f t="shared" si="5"/>
        <v>12</v>
      </c>
      <c r="Q43" s="67">
        <f t="shared" si="5"/>
        <v>12</v>
      </c>
      <c r="R43" s="67">
        <f t="shared" si="5"/>
        <v>12</v>
      </c>
      <c r="S43" s="67">
        <f t="shared" si="5"/>
        <v>12</v>
      </c>
      <c r="T43" s="67">
        <f t="shared" si="5"/>
        <v>12</v>
      </c>
      <c r="U43" s="67">
        <f t="shared" si="5"/>
        <v>12</v>
      </c>
      <c r="V43" s="67">
        <f t="shared" si="5"/>
        <v>12</v>
      </c>
      <c r="W43" s="67">
        <f t="shared" si="5"/>
        <v>12</v>
      </c>
      <c r="X43" s="67">
        <f t="shared" si="5"/>
        <v>12</v>
      </c>
      <c r="Y43" s="67">
        <f t="shared" si="5"/>
        <v>12</v>
      </c>
      <c r="Z43" s="67">
        <f t="shared" si="5"/>
        <v>12</v>
      </c>
      <c r="AA43" s="67">
        <f t="shared" si="5"/>
        <v>12</v>
      </c>
      <c r="AB43" s="67">
        <f t="shared" si="5"/>
        <v>12</v>
      </c>
      <c r="AC43" s="67">
        <f t="shared" si="5"/>
        <v>12</v>
      </c>
      <c r="AD43" s="67">
        <f t="shared" si="5"/>
        <v>12</v>
      </c>
      <c r="AE43" s="67">
        <f t="shared" si="5"/>
        <v>12</v>
      </c>
      <c r="AF43" s="67">
        <f t="shared" si="5"/>
        <v>12</v>
      </c>
      <c r="AG43" s="67">
        <f t="shared" si="5"/>
        <v>12</v>
      </c>
      <c r="AH43" s="67">
        <f t="shared" si="5"/>
        <v>12</v>
      </c>
      <c r="AI43" s="67">
        <f t="shared" si="5"/>
        <v>12</v>
      </c>
      <c r="AJ43" s="67">
        <f t="shared" si="5"/>
        <v>12</v>
      </c>
      <c r="AK43" s="67">
        <f t="shared" si="5"/>
        <v>12</v>
      </c>
      <c r="AL43" s="67">
        <f t="shared" si="5"/>
        <v>12</v>
      </c>
      <c r="AM43" s="67">
        <f t="shared" si="5"/>
        <v>12</v>
      </c>
      <c r="AN43" s="67">
        <f t="shared" si="5"/>
        <v>12</v>
      </c>
      <c r="AO43" s="67">
        <f t="shared" si="5"/>
        <v>12</v>
      </c>
      <c r="AP43" s="67">
        <f t="shared" si="5"/>
        <v>12</v>
      </c>
    </row>
    <row r="44" spans="1:42">
      <c r="A44" s="4" t="s">
        <v>242</v>
      </c>
      <c r="B44" s="65"/>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row>
    <row r="45" spans="1:42">
      <c r="A45" s="4" t="s">
        <v>66</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spans="1:42">
      <c r="A46" s="72">
        <v>40451</v>
      </c>
      <c r="B46" s="57"/>
      <c r="C46" s="57"/>
      <c r="D46" s="57"/>
      <c r="E46" s="57"/>
      <c r="F46" s="57"/>
      <c r="G46" s="57">
        <f>Calc1!$F$151/12*G$43/G$42</f>
        <v>0</v>
      </c>
      <c r="H46" s="57">
        <f>Calc1!$F$151/12*H$43/H$42</f>
        <v>0</v>
      </c>
      <c r="I46" s="57">
        <f>Calc1!$F$151/12*I$43/I$42</f>
        <v>0</v>
      </c>
      <c r="J46" s="57">
        <f>Calc1!$F$151/12*J$43/J$42</f>
        <v>0</v>
      </c>
      <c r="K46" s="57">
        <f>Calc1!$F$151/12*K$43/K$42</f>
        <v>0</v>
      </c>
      <c r="L46" s="57">
        <f>Calc1!$F$151/12*L$43/L$42</f>
        <v>0</v>
      </c>
      <c r="M46" s="71">
        <f>(Calc1!F151-SUM(G46:L46))/(M42-(YEAR(L41)-YEAR(G41))-(0.5*G43/12))</f>
        <v>0</v>
      </c>
      <c r="N46" s="71">
        <f t="shared" ref="N46:AE46" si="6">M46</f>
        <v>0</v>
      </c>
      <c r="O46" s="71">
        <f t="shared" si="6"/>
        <v>0</v>
      </c>
      <c r="P46" s="71">
        <f t="shared" si="6"/>
        <v>0</v>
      </c>
      <c r="Q46" s="71">
        <f t="shared" si="6"/>
        <v>0</v>
      </c>
      <c r="R46" s="71">
        <f t="shared" si="6"/>
        <v>0</v>
      </c>
      <c r="S46" s="71">
        <f t="shared" si="6"/>
        <v>0</v>
      </c>
      <c r="T46" s="71">
        <f t="shared" si="6"/>
        <v>0</v>
      </c>
      <c r="U46" s="71">
        <f t="shared" si="6"/>
        <v>0</v>
      </c>
      <c r="V46" s="71">
        <f t="shared" si="6"/>
        <v>0</v>
      </c>
      <c r="W46" s="71">
        <f t="shared" si="6"/>
        <v>0</v>
      </c>
      <c r="X46" s="71">
        <f t="shared" si="6"/>
        <v>0</v>
      </c>
      <c r="Y46" s="71">
        <f t="shared" si="6"/>
        <v>0</v>
      </c>
      <c r="Z46" s="71">
        <f t="shared" si="6"/>
        <v>0</v>
      </c>
      <c r="AA46" s="71">
        <f t="shared" si="6"/>
        <v>0</v>
      </c>
      <c r="AB46" s="71">
        <f t="shared" si="6"/>
        <v>0</v>
      </c>
      <c r="AC46" s="71">
        <f t="shared" si="6"/>
        <v>0</v>
      </c>
      <c r="AD46" s="71">
        <f t="shared" si="6"/>
        <v>0</v>
      </c>
      <c r="AE46" s="71">
        <f t="shared" si="6"/>
        <v>0</v>
      </c>
      <c r="AF46" s="71">
        <f>AE46*0.5</f>
        <v>0</v>
      </c>
      <c r="AG46" s="76"/>
      <c r="AH46" s="76"/>
      <c r="AI46" s="76"/>
      <c r="AJ46" s="76"/>
      <c r="AK46" s="76"/>
      <c r="AL46" s="76"/>
      <c r="AM46" s="76"/>
      <c r="AN46" s="76"/>
      <c r="AO46" s="76"/>
      <c r="AP46" s="76"/>
    </row>
    <row r="47" spans="1:42">
      <c r="A47" s="72">
        <v>40816</v>
      </c>
      <c r="B47" s="57"/>
      <c r="C47" s="57"/>
      <c r="D47" s="57"/>
      <c r="E47" s="57"/>
      <c r="F47" s="57"/>
      <c r="G47" s="57"/>
      <c r="H47" s="77">
        <f>Calc1!$G$151/12*H$43/H$42/2</f>
        <v>29.081858168761219</v>
      </c>
      <c r="I47" s="57">
        <f>Calc1!$G$151/12*I$43/I$42</f>
        <v>58.163716337522438</v>
      </c>
      <c r="J47" s="57">
        <f>Calc1!$G$151/12*J$43/J$42</f>
        <v>58.163716337522438</v>
      </c>
      <c r="K47" s="57">
        <f>Calc1!$G$151/12*K$43/K$42</f>
        <v>58.163716337522438</v>
      </c>
      <c r="L47" s="57">
        <f>Calc1!$G$151/12*L$43/L$42</f>
        <v>58.163716337522438</v>
      </c>
      <c r="M47" s="71">
        <f>(Calc1!G151-SUM(H47:L47))/(M42-(YEAR(L41)-YEAR(H41))-(0.5*H43/12))</f>
        <v>58.163716337522438</v>
      </c>
      <c r="N47" s="71">
        <f t="shared" ref="N47:AE47" si="7">M47</f>
        <v>58.163716337522438</v>
      </c>
      <c r="O47" s="71">
        <f t="shared" si="7"/>
        <v>58.163716337522438</v>
      </c>
      <c r="P47" s="71">
        <f t="shared" si="7"/>
        <v>58.163716337522438</v>
      </c>
      <c r="Q47" s="71">
        <f t="shared" si="7"/>
        <v>58.163716337522438</v>
      </c>
      <c r="R47" s="71">
        <f t="shared" si="7"/>
        <v>58.163716337522438</v>
      </c>
      <c r="S47" s="71">
        <f t="shared" si="7"/>
        <v>58.163716337522438</v>
      </c>
      <c r="T47" s="71">
        <f t="shared" si="7"/>
        <v>58.163716337522438</v>
      </c>
      <c r="U47" s="71">
        <f t="shared" si="7"/>
        <v>58.163716337522438</v>
      </c>
      <c r="V47" s="71">
        <f t="shared" si="7"/>
        <v>58.163716337522438</v>
      </c>
      <c r="W47" s="71">
        <f t="shared" si="7"/>
        <v>58.163716337522438</v>
      </c>
      <c r="X47" s="71">
        <f t="shared" si="7"/>
        <v>58.163716337522438</v>
      </c>
      <c r="Y47" s="71">
        <f t="shared" si="7"/>
        <v>58.163716337522438</v>
      </c>
      <c r="Z47" s="71">
        <f t="shared" si="7"/>
        <v>58.163716337522438</v>
      </c>
      <c r="AA47" s="71">
        <f t="shared" si="7"/>
        <v>58.163716337522438</v>
      </c>
      <c r="AB47" s="71">
        <f t="shared" si="7"/>
        <v>58.163716337522438</v>
      </c>
      <c r="AC47" s="71">
        <f t="shared" si="7"/>
        <v>58.163716337522438</v>
      </c>
      <c r="AD47" s="71">
        <f t="shared" si="7"/>
        <v>58.163716337522438</v>
      </c>
      <c r="AE47" s="71">
        <f t="shared" si="7"/>
        <v>58.163716337522438</v>
      </c>
      <c r="AF47" s="71">
        <f>AE47</f>
        <v>58.163716337522438</v>
      </c>
      <c r="AG47" s="71">
        <f>AF47*0.5</f>
        <v>29.081858168761219</v>
      </c>
      <c r="AH47" s="76"/>
      <c r="AI47" s="76"/>
      <c r="AJ47" s="76"/>
      <c r="AK47" s="76"/>
      <c r="AL47" s="76"/>
      <c r="AM47" s="76"/>
      <c r="AN47" s="76"/>
      <c r="AO47" s="76"/>
      <c r="AP47" s="76"/>
    </row>
    <row r="48" spans="1:42">
      <c r="A48" s="72">
        <v>41182</v>
      </c>
      <c r="B48" s="57"/>
      <c r="C48" s="57"/>
      <c r="D48" s="57"/>
      <c r="E48" s="57"/>
      <c r="F48" s="57"/>
      <c r="G48" s="57"/>
      <c r="H48" s="57"/>
      <c r="I48" s="77">
        <f>Calc1!$H$151/12*I$43/I$42/2</f>
        <v>29.081858168761219</v>
      </c>
      <c r="J48" s="57">
        <f>Calc1!$H$151/12*J$43/J$42</f>
        <v>58.163716337522438</v>
      </c>
      <c r="K48" s="57">
        <f>Calc1!$H$151/12*K$43/K$42</f>
        <v>58.163716337522438</v>
      </c>
      <c r="L48" s="57">
        <f>Calc1!$H$151/12*L$43/L$42</f>
        <v>58.163716337522438</v>
      </c>
      <c r="M48" s="71">
        <f>(Calc1!H151-SUM(I48:L48))/(M42-(YEAR(L41)-YEAR(I41))-(0.5*I43/12))</f>
        <v>58.16371633752243</v>
      </c>
      <c r="N48" s="71">
        <f t="shared" ref="N48:AE48" si="8">M48</f>
        <v>58.16371633752243</v>
      </c>
      <c r="O48" s="71">
        <f t="shared" si="8"/>
        <v>58.16371633752243</v>
      </c>
      <c r="P48" s="71">
        <f t="shared" si="8"/>
        <v>58.16371633752243</v>
      </c>
      <c r="Q48" s="71">
        <f t="shared" si="8"/>
        <v>58.16371633752243</v>
      </c>
      <c r="R48" s="71">
        <f t="shared" si="8"/>
        <v>58.16371633752243</v>
      </c>
      <c r="S48" s="71">
        <f t="shared" si="8"/>
        <v>58.16371633752243</v>
      </c>
      <c r="T48" s="71">
        <f t="shared" si="8"/>
        <v>58.16371633752243</v>
      </c>
      <c r="U48" s="71">
        <f t="shared" si="8"/>
        <v>58.16371633752243</v>
      </c>
      <c r="V48" s="71">
        <f t="shared" si="8"/>
        <v>58.16371633752243</v>
      </c>
      <c r="W48" s="71">
        <f t="shared" si="8"/>
        <v>58.16371633752243</v>
      </c>
      <c r="X48" s="71">
        <f t="shared" si="8"/>
        <v>58.16371633752243</v>
      </c>
      <c r="Y48" s="71">
        <f t="shared" si="8"/>
        <v>58.16371633752243</v>
      </c>
      <c r="Z48" s="71">
        <f t="shared" si="8"/>
        <v>58.16371633752243</v>
      </c>
      <c r="AA48" s="71">
        <f t="shared" si="8"/>
        <v>58.16371633752243</v>
      </c>
      <c r="AB48" s="71">
        <f t="shared" si="8"/>
        <v>58.16371633752243</v>
      </c>
      <c r="AC48" s="71">
        <f t="shared" si="8"/>
        <v>58.16371633752243</v>
      </c>
      <c r="AD48" s="71">
        <f t="shared" si="8"/>
        <v>58.16371633752243</v>
      </c>
      <c r="AE48" s="71">
        <f t="shared" si="8"/>
        <v>58.16371633752243</v>
      </c>
      <c r="AF48" s="71">
        <f>AE48</f>
        <v>58.16371633752243</v>
      </c>
      <c r="AG48" s="71">
        <f>AF48</f>
        <v>58.16371633752243</v>
      </c>
      <c r="AH48" s="71">
        <f>AG48*0.5</f>
        <v>29.081858168761215</v>
      </c>
      <c r="AI48" s="76"/>
      <c r="AJ48" s="76"/>
      <c r="AK48" s="76"/>
      <c r="AL48" s="76"/>
      <c r="AM48" s="76"/>
      <c r="AN48" s="76"/>
      <c r="AO48" s="76"/>
      <c r="AP48" s="76"/>
    </row>
    <row r="49" spans="1:42">
      <c r="A49" s="72">
        <v>41547</v>
      </c>
      <c r="B49" s="57"/>
      <c r="C49" s="57"/>
      <c r="D49" s="57"/>
      <c r="E49" s="57"/>
      <c r="F49" s="57"/>
      <c r="G49" s="57"/>
      <c r="H49" s="57"/>
      <c r="I49" s="57"/>
      <c r="J49" s="77">
        <f>Calc1!$I$151/12*J$43/J$42/2</f>
        <v>0</v>
      </c>
      <c r="K49" s="57">
        <f>Calc1!$I$151/12*K$43/K$42</f>
        <v>0</v>
      </c>
      <c r="L49" s="57">
        <f>Calc1!$I$151/12*L$43/L$42</f>
        <v>0</v>
      </c>
      <c r="M49" s="71">
        <f>(Calc1!I151-SUM(J49:L49))/(M42-(YEAR(L41)-YEAR(J41))-(0.5*J43/12))</f>
        <v>0</v>
      </c>
      <c r="N49" s="71">
        <f t="shared" ref="N49:AE49" si="9">M49</f>
        <v>0</v>
      </c>
      <c r="O49" s="71">
        <f t="shared" si="9"/>
        <v>0</v>
      </c>
      <c r="P49" s="71">
        <f t="shared" si="9"/>
        <v>0</v>
      </c>
      <c r="Q49" s="71">
        <f t="shared" si="9"/>
        <v>0</v>
      </c>
      <c r="R49" s="71">
        <f t="shared" si="9"/>
        <v>0</v>
      </c>
      <c r="S49" s="71">
        <f t="shared" si="9"/>
        <v>0</v>
      </c>
      <c r="T49" s="71">
        <f t="shared" si="9"/>
        <v>0</v>
      </c>
      <c r="U49" s="71">
        <f t="shared" si="9"/>
        <v>0</v>
      </c>
      <c r="V49" s="71">
        <f t="shared" si="9"/>
        <v>0</v>
      </c>
      <c r="W49" s="71">
        <f t="shared" si="9"/>
        <v>0</v>
      </c>
      <c r="X49" s="71">
        <f t="shared" si="9"/>
        <v>0</v>
      </c>
      <c r="Y49" s="71">
        <f t="shared" si="9"/>
        <v>0</v>
      </c>
      <c r="Z49" s="71">
        <f t="shared" si="9"/>
        <v>0</v>
      </c>
      <c r="AA49" s="71">
        <f t="shared" si="9"/>
        <v>0</v>
      </c>
      <c r="AB49" s="71">
        <f t="shared" si="9"/>
        <v>0</v>
      </c>
      <c r="AC49" s="71">
        <f t="shared" si="9"/>
        <v>0</v>
      </c>
      <c r="AD49" s="71">
        <f t="shared" si="9"/>
        <v>0</v>
      </c>
      <c r="AE49" s="71">
        <f t="shared" si="9"/>
        <v>0</v>
      </c>
      <c r="AF49" s="71">
        <f>AE49</f>
        <v>0</v>
      </c>
      <c r="AG49" s="71">
        <f>AF49</f>
        <v>0</v>
      </c>
      <c r="AH49" s="71">
        <f>AG49</f>
        <v>0</v>
      </c>
      <c r="AI49" s="71">
        <f>AH49*0.5</f>
        <v>0</v>
      </c>
      <c r="AJ49" s="76"/>
      <c r="AK49" s="76"/>
      <c r="AL49" s="76"/>
      <c r="AM49" s="76"/>
      <c r="AN49" s="76"/>
      <c r="AO49" s="76"/>
      <c r="AP49" s="76"/>
    </row>
    <row r="50" spans="1:42">
      <c r="A50" s="72">
        <v>41912</v>
      </c>
      <c r="B50" s="57"/>
      <c r="C50" s="57"/>
      <c r="D50" s="57"/>
      <c r="E50" s="57"/>
      <c r="F50" s="57"/>
      <c r="G50" s="57"/>
      <c r="H50" s="57"/>
      <c r="I50" s="57"/>
      <c r="J50" s="57"/>
      <c r="K50" s="77">
        <f>Calc1!$J$151/12*K$43/K$42/2</f>
        <v>0</v>
      </c>
      <c r="L50" s="57">
        <f>Calc1!$J$151/12*L$43/L$42</f>
        <v>0</v>
      </c>
      <c r="M50" s="71">
        <f>(Calc1!J151-SUM(K50:L50))/(M42-(YEAR(L41)-YEAR(K41))-(0.5*K43/12))</f>
        <v>0</v>
      </c>
      <c r="N50" s="71">
        <f t="shared" ref="N50:AE50" si="10">M50</f>
        <v>0</v>
      </c>
      <c r="O50" s="71">
        <f t="shared" si="10"/>
        <v>0</v>
      </c>
      <c r="P50" s="71">
        <f t="shared" si="10"/>
        <v>0</v>
      </c>
      <c r="Q50" s="71">
        <f t="shared" si="10"/>
        <v>0</v>
      </c>
      <c r="R50" s="71">
        <f t="shared" si="10"/>
        <v>0</v>
      </c>
      <c r="S50" s="71">
        <f t="shared" si="10"/>
        <v>0</v>
      </c>
      <c r="T50" s="71">
        <f t="shared" si="10"/>
        <v>0</v>
      </c>
      <c r="U50" s="71">
        <f t="shared" si="10"/>
        <v>0</v>
      </c>
      <c r="V50" s="71">
        <f t="shared" si="10"/>
        <v>0</v>
      </c>
      <c r="W50" s="71">
        <f t="shared" si="10"/>
        <v>0</v>
      </c>
      <c r="X50" s="71">
        <f t="shared" si="10"/>
        <v>0</v>
      </c>
      <c r="Y50" s="71">
        <f t="shared" si="10"/>
        <v>0</v>
      </c>
      <c r="Z50" s="71">
        <f t="shared" si="10"/>
        <v>0</v>
      </c>
      <c r="AA50" s="71">
        <f t="shared" si="10"/>
        <v>0</v>
      </c>
      <c r="AB50" s="71">
        <f t="shared" si="10"/>
        <v>0</v>
      </c>
      <c r="AC50" s="71">
        <f t="shared" si="10"/>
        <v>0</v>
      </c>
      <c r="AD50" s="71">
        <f t="shared" si="10"/>
        <v>0</v>
      </c>
      <c r="AE50" s="71">
        <f t="shared" si="10"/>
        <v>0</v>
      </c>
      <c r="AF50" s="71">
        <f>AE50</f>
        <v>0</v>
      </c>
      <c r="AG50" s="71">
        <f>AF50</f>
        <v>0</v>
      </c>
      <c r="AH50" s="71">
        <f>AG50</f>
        <v>0</v>
      </c>
      <c r="AI50" s="71">
        <f>AH50</f>
        <v>0</v>
      </c>
      <c r="AJ50" s="71">
        <f>AI50*0.5</f>
        <v>0</v>
      </c>
      <c r="AK50" s="76"/>
      <c r="AL50" s="76"/>
      <c r="AM50" s="76"/>
      <c r="AN50" s="76"/>
      <c r="AO50" s="76"/>
      <c r="AP50" s="76"/>
    </row>
    <row r="51" spans="1:42">
      <c r="A51" s="72">
        <v>42277</v>
      </c>
      <c r="B51" s="57"/>
      <c r="C51" s="57"/>
      <c r="D51" s="57"/>
      <c r="E51" s="57"/>
      <c r="F51" s="57"/>
      <c r="G51" s="57"/>
      <c r="H51" s="57"/>
      <c r="I51" s="57"/>
      <c r="J51" s="57"/>
      <c r="K51" s="57"/>
      <c r="L51" s="77">
        <f>Calc1!$K$151/12*L$43/L$42/2</f>
        <v>0</v>
      </c>
      <c r="M51" s="71">
        <f>(Calc1!K151-L51)/(M42-(YEAR(L41)-YEAR(L41))-(0.5*L43/12))</f>
        <v>0</v>
      </c>
      <c r="N51" s="71">
        <f t="shared" ref="N51:AE51" si="11">M51</f>
        <v>0</v>
      </c>
      <c r="O51" s="71">
        <f t="shared" si="11"/>
        <v>0</v>
      </c>
      <c r="P51" s="71">
        <f t="shared" si="11"/>
        <v>0</v>
      </c>
      <c r="Q51" s="71">
        <f t="shared" si="11"/>
        <v>0</v>
      </c>
      <c r="R51" s="71">
        <f t="shared" si="11"/>
        <v>0</v>
      </c>
      <c r="S51" s="71">
        <f t="shared" si="11"/>
        <v>0</v>
      </c>
      <c r="T51" s="71">
        <f t="shared" si="11"/>
        <v>0</v>
      </c>
      <c r="U51" s="71">
        <f t="shared" si="11"/>
        <v>0</v>
      </c>
      <c r="V51" s="71">
        <f t="shared" si="11"/>
        <v>0</v>
      </c>
      <c r="W51" s="71">
        <f t="shared" si="11"/>
        <v>0</v>
      </c>
      <c r="X51" s="71">
        <f t="shared" si="11"/>
        <v>0</v>
      </c>
      <c r="Y51" s="71">
        <f t="shared" si="11"/>
        <v>0</v>
      </c>
      <c r="Z51" s="71">
        <f t="shared" si="11"/>
        <v>0</v>
      </c>
      <c r="AA51" s="71">
        <f t="shared" si="11"/>
        <v>0</v>
      </c>
      <c r="AB51" s="71">
        <f t="shared" si="11"/>
        <v>0</v>
      </c>
      <c r="AC51" s="71">
        <f t="shared" si="11"/>
        <v>0</v>
      </c>
      <c r="AD51" s="71">
        <f t="shared" si="11"/>
        <v>0</v>
      </c>
      <c r="AE51" s="71">
        <f t="shared" si="11"/>
        <v>0</v>
      </c>
      <c r="AF51" s="71">
        <f>AE51</f>
        <v>0</v>
      </c>
      <c r="AG51" s="71">
        <f>AF51</f>
        <v>0</v>
      </c>
      <c r="AH51" s="71">
        <f>AG51</f>
        <v>0</v>
      </c>
      <c r="AI51" s="71">
        <f>AH51</f>
        <v>0</v>
      </c>
      <c r="AJ51" s="71">
        <f>AI51</f>
        <v>0</v>
      </c>
      <c r="AK51" s="71">
        <f>AJ51*0.5</f>
        <v>0</v>
      </c>
      <c r="AL51" s="76"/>
      <c r="AM51" s="76"/>
      <c r="AN51" s="76"/>
      <c r="AO51" s="76"/>
      <c r="AP51" s="76"/>
    </row>
    <row r="52" spans="1:42">
      <c r="A52" s="72">
        <v>42643</v>
      </c>
      <c r="B52" s="67"/>
      <c r="C52" s="67"/>
      <c r="D52" s="67"/>
      <c r="E52" s="67"/>
      <c r="F52" s="67"/>
      <c r="G52" s="67"/>
      <c r="H52" s="67"/>
      <c r="I52" s="67"/>
      <c r="J52" s="67"/>
      <c r="K52" s="67"/>
      <c r="L52" s="67"/>
      <c r="M52" s="71">
        <f>Calc1!$L$152/12*M$43/M$42/2</f>
        <v>0</v>
      </c>
      <c r="N52" s="67">
        <f>Calc1!$L$152/12*N$43/N$42</f>
        <v>0</v>
      </c>
      <c r="O52" s="67">
        <f>Calc1!$L$152/12*O$43/O$42</f>
        <v>0</v>
      </c>
      <c r="P52" s="67">
        <f>Calc1!$L$152/12*P$43/P$42</f>
        <v>0</v>
      </c>
      <c r="Q52" s="67">
        <f>Calc1!$L$152/12*Q$43/Q$42</f>
        <v>0</v>
      </c>
      <c r="R52" s="67">
        <f>Calc1!$L$152/12*R$43/R$42</f>
        <v>0</v>
      </c>
      <c r="S52" s="67">
        <f>Calc1!$L$152/12*S$43/S$42</f>
        <v>0</v>
      </c>
      <c r="T52" s="67">
        <f>Calc1!$L$152/12*T$43/T$42</f>
        <v>0</v>
      </c>
      <c r="U52" s="67">
        <f>Calc1!$L$152/12*U$43/U$42</f>
        <v>0</v>
      </c>
      <c r="V52" s="67">
        <f>Calc1!$L$152/12*V$43/V$42</f>
        <v>0</v>
      </c>
      <c r="W52" s="67">
        <f>Calc1!$L$152/12*W$43/W$42</f>
        <v>0</v>
      </c>
      <c r="X52" s="67">
        <f>Calc1!$L$152/12*X$43/X$42</f>
        <v>0</v>
      </c>
      <c r="Y52" s="67">
        <f>Calc1!$L$152/12*Y$43/Y$42</f>
        <v>0</v>
      </c>
      <c r="Z52" s="67">
        <f>Calc1!$L$152/12*Z$43/Z$42</f>
        <v>0</v>
      </c>
      <c r="AA52" s="67">
        <f>Calc1!$L$152/12*AA$43/AA$42</f>
        <v>0</v>
      </c>
      <c r="AB52" s="67">
        <f>Calc1!$L$152/12*AB$43/AB$42</f>
        <v>0</v>
      </c>
      <c r="AC52" s="67">
        <f>Calc1!$L$152/12*AC$43/AC$42</f>
        <v>0</v>
      </c>
      <c r="AD52" s="67">
        <f>Calc1!$L$152/12*AD$43/AD$42</f>
        <v>0</v>
      </c>
      <c r="AE52" s="67">
        <f>Calc1!$L$152/12*AE$43/AE$42</f>
        <v>0</v>
      </c>
      <c r="AF52" s="67">
        <f>Calc1!$L$152/12*AF$43/AF$42</f>
        <v>0</v>
      </c>
      <c r="AG52" s="67">
        <f>Calc1!$L$152/12*AG$43/AG$42</f>
        <v>0</v>
      </c>
      <c r="AH52" s="67">
        <f>Calc1!$L$152/12*AH$43/AH$42</f>
        <v>0</v>
      </c>
      <c r="AI52" s="67">
        <f>Calc1!$L$152/12*AI$43/AI$42</f>
        <v>0</v>
      </c>
      <c r="AJ52" s="67">
        <f>Calc1!$L$152/12*AJ$43/AJ$42</f>
        <v>0</v>
      </c>
      <c r="AK52" s="67">
        <f>Calc1!$L$152/12*AK$43/AK$42</f>
        <v>0</v>
      </c>
      <c r="AL52" s="71">
        <f>AK52/2</f>
        <v>0</v>
      </c>
      <c r="AM52" s="76"/>
      <c r="AN52" s="76"/>
      <c r="AO52" s="76"/>
      <c r="AP52" s="76"/>
    </row>
    <row r="53" spans="1:42">
      <c r="A53" s="72">
        <v>43008</v>
      </c>
      <c r="B53" s="67"/>
      <c r="C53" s="67"/>
      <c r="D53" s="67"/>
      <c r="E53" s="67"/>
      <c r="F53" s="67"/>
      <c r="G53" s="67"/>
      <c r="H53" s="67"/>
      <c r="I53" s="67"/>
      <c r="J53" s="67"/>
      <c r="K53" s="67"/>
      <c r="L53" s="67"/>
      <c r="M53" s="67"/>
      <c r="N53" s="71">
        <f>Calc1!$M$152/12*N$43/N$42/2</f>
        <v>0</v>
      </c>
      <c r="O53" s="67">
        <f>Calc1!$M$152/12*O$43/O$42</f>
        <v>0</v>
      </c>
      <c r="P53" s="67">
        <f>Calc1!$M$152/12*P$43/P$42</f>
        <v>0</v>
      </c>
      <c r="Q53" s="67">
        <f>Calc1!$M$152/12*Q$43/Q$42</f>
        <v>0</v>
      </c>
      <c r="R53" s="67">
        <f>Calc1!$M$152/12*R$43/R$42</f>
        <v>0</v>
      </c>
      <c r="S53" s="67">
        <f>Calc1!$M$152/12*S$43/S$42</f>
        <v>0</v>
      </c>
      <c r="T53" s="67">
        <f>Calc1!$M$152/12*T$43/T$42</f>
        <v>0</v>
      </c>
      <c r="U53" s="67">
        <f>Calc1!$M$152/12*U$43/U$42</f>
        <v>0</v>
      </c>
      <c r="V53" s="67">
        <f>Calc1!$M$152/12*V$43/V$42</f>
        <v>0</v>
      </c>
      <c r="W53" s="67">
        <f>Calc1!$M$152/12*W$43/W$42</f>
        <v>0</v>
      </c>
      <c r="X53" s="67">
        <f>Calc1!$M$152/12*X$43/X$42</f>
        <v>0</v>
      </c>
      <c r="Y53" s="67">
        <f>Calc1!$M$152/12*Y$43/Y$42</f>
        <v>0</v>
      </c>
      <c r="Z53" s="67">
        <f>Calc1!$M$152/12*Z$43/Z$42</f>
        <v>0</v>
      </c>
      <c r="AA53" s="67">
        <f>Calc1!$M$152/12*AA$43/AA$42</f>
        <v>0</v>
      </c>
      <c r="AB53" s="67">
        <f>Calc1!$M$152/12*AB$43/AB$42</f>
        <v>0</v>
      </c>
      <c r="AC53" s="67">
        <f>Calc1!$M$152/12*AC$43/AC$42</f>
        <v>0</v>
      </c>
      <c r="AD53" s="67">
        <f>Calc1!$M$152/12*AD$43/AD$42</f>
        <v>0</v>
      </c>
      <c r="AE53" s="67">
        <f>Calc1!$M$152/12*AE$43/AE$42</f>
        <v>0</v>
      </c>
      <c r="AF53" s="67">
        <f>Calc1!$M$152/12*AF$43/AF$42</f>
        <v>0</v>
      </c>
      <c r="AG53" s="67">
        <f>Calc1!$M$152/12*AG$43/AG$42</f>
        <v>0</v>
      </c>
      <c r="AH53" s="67">
        <f>Calc1!$M$152/12*AH$43/AH$42</f>
        <v>0</v>
      </c>
      <c r="AI53" s="67">
        <f>Calc1!$M$152/12*AI$43/AI$42</f>
        <v>0</v>
      </c>
      <c r="AJ53" s="67">
        <f>Calc1!$M$152/12*AJ$43/AJ$42</f>
        <v>0</v>
      </c>
      <c r="AK53" s="67">
        <f>Calc1!$M$152/12*AK$43/AK$42</f>
        <v>0</v>
      </c>
      <c r="AL53" s="67">
        <f>Calc1!$M$152/12*AL$43/AL$42</f>
        <v>0</v>
      </c>
      <c r="AM53" s="71">
        <f>AL53/2</f>
        <v>0</v>
      </c>
      <c r="AN53" s="76"/>
      <c r="AO53" s="76"/>
      <c r="AP53" s="76"/>
    </row>
    <row r="54" spans="1:42">
      <c r="A54" s="72">
        <v>43373</v>
      </c>
      <c r="B54" s="67"/>
      <c r="C54" s="67"/>
      <c r="D54" s="67"/>
      <c r="E54" s="67"/>
      <c r="F54" s="67"/>
      <c r="G54" s="67"/>
      <c r="H54" s="67"/>
      <c r="I54" s="67"/>
      <c r="J54" s="67"/>
      <c r="K54" s="67"/>
      <c r="L54" s="67"/>
      <c r="M54" s="67"/>
      <c r="N54" s="67"/>
      <c r="O54" s="71">
        <f>Calc1!$N$152/12*O$43/O$42/2</f>
        <v>0</v>
      </c>
      <c r="P54" s="67">
        <f>Calc1!$N$152/12*P$43/P$42</f>
        <v>0</v>
      </c>
      <c r="Q54" s="67">
        <f>Calc1!$N$152/12*Q$43/Q$42</f>
        <v>0</v>
      </c>
      <c r="R54" s="67">
        <f>Calc1!$N$152/12*R$43/R$42</f>
        <v>0</v>
      </c>
      <c r="S54" s="67">
        <f>Calc1!$N$152/12*S$43/S$42</f>
        <v>0</v>
      </c>
      <c r="T54" s="67">
        <f>Calc1!$N$152/12*T$43/T$42</f>
        <v>0</v>
      </c>
      <c r="U54" s="67">
        <f>Calc1!$N$152/12*U$43/U$42</f>
        <v>0</v>
      </c>
      <c r="V54" s="67">
        <f>Calc1!$N$152/12*V$43/V$42</f>
        <v>0</v>
      </c>
      <c r="W54" s="67">
        <f>Calc1!$N$152/12*W$43/W$42</f>
        <v>0</v>
      </c>
      <c r="X54" s="67">
        <f>Calc1!$N$152/12*X$43/X$42</f>
        <v>0</v>
      </c>
      <c r="Y54" s="67">
        <f>Calc1!$N$152/12*Y$43/Y$42</f>
        <v>0</v>
      </c>
      <c r="Z54" s="67">
        <f>Calc1!$N$152/12*Z$43/Z$42</f>
        <v>0</v>
      </c>
      <c r="AA54" s="67">
        <f>Calc1!$N$152/12*AA$43/AA$42</f>
        <v>0</v>
      </c>
      <c r="AB54" s="67">
        <f>Calc1!$N$152/12*AB$43/AB$42</f>
        <v>0</v>
      </c>
      <c r="AC54" s="67">
        <f>Calc1!$N$152/12*AC$43/AC$42</f>
        <v>0</v>
      </c>
      <c r="AD54" s="67">
        <f>Calc1!$N$152/12*AD$43/AD$42</f>
        <v>0</v>
      </c>
      <c r="AE54" s="67">
        <f>Calc1!$N$152/12*AE$43/AE$42</f>
        <v>0</v>
      </c>
      <c r="AF54" s="67">
        <f>Calc1!$N$152/12*AF$43/AF$42</f>
        <v>0</v>
      </c>
      <c r="AG54" s="67">
        <f>Calc1!$N$152/12*AG$43/AG$42</f>
        <v>0</v>
      </c>
      <c r="AH54" s="67">
        <f>Calc1!$N$152/12*AH$43/AH$42</f>
        <v>0</v>
      </c>
      <c r="AI54" s="67">
        <f>Calc1!$N$152/12*AI$43/AI$42</f>
        <v>0</v>
      </c>
      <c r="AJ54" s="67">
        <f>Calc1!$N$152/12*AJ$43/AJ$42</f>
        <v>0</v>
      </c>
      <c r="AK54" s="67">
        <f>Calc1!$N$152/12*AK$43/AK$42</f>
        <v>0</v>
      </c>
      <c r="AL54" s="67">
        <f>Calc1!$N$152/12*AL$43/AL$42</f>
        <v>0</v>
      </c>
      <c r="AM54" s="67">
        <f>Calc1!$N$152/12*AM$43/AM$42</f>
        <v>0</v>
      </c>
      <c r="AN54" s="71">
        <f>AM54/2</f>
        <v>0</v>
      </c>
      <c r="AO54" s="76"/>
      <c r="AP54" s="76"/>
    </row>
    <row r="55" spans="1:42">
      <c r="A55" s="72">
        <v>43738</v>
      </c>
      <c r="B55" s="67"/>
      <c r="C55" s="67"/>
      <c r="D55" s="67"/>
      <c r="E55" s="67"/>
      <c r="F55" s="67"/>
      <c r="G55" s="67"/>
      <c r="H55" s="67"/>
      <c r="I55" s="67"/>
      <c r="J55" s="67"/>
      <c r="K55" s="67"/>
      <c r="L55" s="67"/>
      <c r="M55" s="67"/>
      <c r="N55" s="67"/>
      <c r="O55" s="67"/>
      <c r="P55" s="71">
        <f>Calc1!$O$152/12*P$43/P$42/2</f>
        <v>0</v>
      </c>
      <c r="Q55" s="67">
        <f>Calc1!$O$152/12*Q$43/Q$42</f>
        <v>0</v>
      </c>
      <c r="R55" s="67">
        <f>Calc1!$O$152/12*R$43/R$42</f>
        <v>0</v>
      </c>
      <c r="S55" s="67">
        <f>Calc1!$O$152/12*S$43/S$42</f>
        <v>0</v>
      </c>
      <c r="T55" s="67">
        <f>Calc1!$O$152/12*T$43/T$42</f>
        <v>0</v>
      </c>
      <c r="U55" s="67">
        <f>Calc1!$O$152/12*U$43/U$42</f>
        <v>0</v>
      </c>
      <c r="V55" s="67">
        <f>Calc1!$O$152/12*V$43/V$42</f>
        <v>0</v>
      </c>
      <c r="W55" s="67">
        <f>Calc1!$O$152/12*W$43/W$42</f>
        <v>0</v>
      </c>
      <c r="X55" s="67">
        <f>Calc1!$O$152/12*X$43/X$42</f>
        <v>0</v>
      </c>
      <c r="Y55" s="67">
        <f>Calc1!$O$152/12*Y$43/Y$42</f>
        <v>0</v>
      </c>
      <c r="Z55" s="67">
        <f>Calc1!$O$152/12*Z$43/Z$42</f>
        <v>0</v>
      </c>
      <c r="AA55" s="67">
        <f>Calc1!$O$152/12*AA$43/AA$42</f>
        <v>0</v>
      </c>
      <c r="AB55" s="67">
        <f>Calc1!$O$152/12*AB$43/AB$42</f>
        <v>0</v>
      </c>
      <c r="AC55" s="67">
        <f>Calc1!$O$152/12*AC$43/AC$42</f>
        <v>0</v>
      </c>
      <c r="AD55" s="67">
        <f>Calc1!$O$152/12*AD$43/AD$42</f>
        <v>0</v>
      </c>
      <c r="AE55" s="67">
        <f>Calc1!$O$152/12*AE$43/AE$42</f>
        <v>0</v>
      </c>
      <c r="AF55" s="67">
        <f>Calc1!$O$152/12*AF$43/AF$42</f>
        <v>0</v>
      </c>
      <c r="AG55" s="67">
        <f>Calc1!$O$152/12*AG$43/AG$42</f>
        <v>0</v>
      </c>
      <c r="AH55" s="67">
        <f>Calc1!$O$152/12*AH$43/AH$42</f>
        <v>0</v>
      </c>
      <c r="AI55" s="67">
        <f>Calc1!$O$152/12*AI$43/AI$42</f>
        <v>0</v>
      </c>
      <c r="AJ55" s="67">
        <f>Calc1!$O$152/12*AJ$43/AJ$42</f>
        <v>0</v>
      </c>
      <c r="AK55" s="67">
        <f>Calc1!$O$152/12*AK$43/AK$42</f>
        <v>0</v>
      </c>
      <c r="AL55" s="67">
        <f>Calc1!$O$152/12*AL$43/AL$42</f>
        <v>0</v>
      </c>
      <c r="AM55" s="67">
        <f>Calc1!$O$152/12*AM$43/AM$42</f>
        <v>0</v>
      </c>
      <c r="AN55" s="67">
        <f>Calc1!$O$152/12*AN$43/AN$42</f>
        <v>0</v>
      </c>
      <c r="AO55" s="71">
        <f>AN55/2</f>
        <v>0</v>
      </c>
      <c r="AP55" s="76"/>
    </row>
    <row r="56" spans="1:42">
      <c r="A56" s="72">
        <v>44104</v>
      </c>
      <c r="B56" s="67"/>
      <c r="C56" s="67"/>
      <c r="D56" s="67"/>
      <c r="E56" s="67"/>
      <c r="F56" s="67"/>
      <c r="G56" s="67"/>
      <c r="H56" s="67"/>
      <c r="I56" s="67"/>
      <c r="J56" s="67"/>
      <c r="K56" s="67"/>
      <c r="L56" s="67"/>
      <c r="M56" s="67"/>
      <c r="N56" s="67"/>
      <c r="O56" s="67"/>
      <c r="P56" s="67"/>
      <c r="Q56" s="71">
        <f>Calc1!$P$152/12*Q$43/Q$42/2</f>
        <v>0</v>
      </c>
      <c r="R56" s="67">
        <f>Calc1!$P$152/12*R$43/R$42</f>
        <v>0</v>
      </c>
      <c r="S56" s="67">
        <f>Calc1!$P$152/12*S$43/S$42</f>
        <v>0</v>
      </c>
      <c r="T56" s="67">
        <f>Calc1!$P$152/12*T$43/T$42</f>
        <v>0</v>
      </c>
      <c r="U56" s="67">
        <f>Calc1!$P$152/12*U$43/U$42</f>
        <v>0</v>
      </c>
      <c r="V56" s="67">
        <f>Calc1!$P$152/12*V$43/V$42</f>
        <v>0</v>
      </c>
      <c r="W56" s="67">
        <f>Calc1!$P$152/12*W$43/W$42</f>
        <v>0</v>
      </c>
      <c r="X56" s="67">
        <f>Calc1!$P$152/12*X$43/X$42</f>
        <v>0</v>
      </c>
      <c r="Y56" s="67">
        <f>Calc1!$P$152/12*Y$43/Y$42</f>
        <v>0</v>
      </c>
      <c r="Z56" s="67">
        <f>Calc1!$P$152/12*Z$43/Z$42</f>
        <v>0</v>
      </c>
      <c r="AA56" s="67">
        <f>Calc1!$P$152/12*AA$43/AA$42</f>
        <v>0</v>
      </c>
      <c r="AB56" s="67">
        <f>Calc1!$P$152/12*AB$43/AB$42</f>
        <v>0</v>
      </c>
      <c r="AC56" s="67">
        <f>Calc1!$P$152/12*AC$43/AC$42</f>
        <v>0</v>
      </c>
      <c r="AD56" s="67">
        <f>Calc1!$P$152/12*AD$43/AD$42</f>
        <v>0</v>
      </c>
      <c r="AE56" s="67">
        <f>Calc1!$P$152/12*AE$43/AE$42</f>
        <v>0</v>
      </c>
      <c r="AF56" s="67">
        <f>Calc1!$P$152/12*AF$43/AF$42</f>
        <v>0</v>
      </c>
      <c r="AG56" s="67">
        <f>Calc1!$P$152/12*AG$43/AG$42</f>
        <v>0</v>
      </c>
      <c r="AH56" s="67">
        <f>Calc1!$P$152/12*AH$43/AH$42</f>
        <v>0</v>
      </c>
      <c r="AI56" s="67">
        <f>Calc1!$P$152/12*AI$43/AI$42</f>
        <v>0</v>
      </c>
      <c r="AJ56" s="67">
        <f>Calc1!$P$152/12*AJ$43/AJ$42</f>
        <v>0</v>
      </c>
      <c r="AK56" s="67">
        <f>Calc1!$P$152/12*AK$43/AK$42</f>
        <v>0</v>
      </c>
      <c r="AL56" s="67">
        <f>Calc1!$P$152/12*AL$43/AL$42</f>
        <v>0</v>
      </c>
      <c r="AM56" s="67">
        <f>Calc1!$P$152/12*AM$43/AM$42</f>
        <v>0</v>
      </c>
      <c r="AN56" s="67">
        <f>Calc1!$P$152/12*AN$43/AN$42</f>
        <v>0</v>
      </c>
      <c r="AO56" s="67">
        <f>Calc1!$P$152/12*AO$43/AO$42</f>
        <v>0</v>
      </c>
      <c r="AP56" s="71">
        <f>Calc1!$P$152/12*AP$43/AP$42/2</f>
        <v>0</v>
      </c>
    </row>
    <row r="57" spans="1:42">
      <c r="A57" s="75"/>
    </row>
    <row r="59" spans="1:42">
      <c r="A59" s="4" t="s">
        <v>241</v>
      </c>
      <c r="B59" s="7">
        <v>39538</v>
      </c>
      <c r="C59" s="7">
        <v>39721</v>
      </c>
      <c r="D59" s="7">
        <v>40086</v>
      </c>
      <c r="E59" s="7">
        <v>40268</v>
      </c>
      <c r="F59" s="7">
        <v>40451</v>
      </c>
      <c r="G59" s="7">
        <v>40816</v>
      </c>
      <c r="H59" s="7">
        <v>41182</v>
      </c>
      <c r="I59" s="7">
        <v>41547</v>
      </c>
      <c r="J59" s="7">
        <v>41912</v>
      </c>
      <c r="K59" s="7">
        <v>42277</v>
      </c>
      <c r="L59" s="7">
        <v>42643</v>
      </c>
      <c r="M59" s="7">
        <v>43008</v>
      </c>
      <c r="N59" s="7">
        <v>43373</v>
      </c>
      <c r="O59" s="7">
        <v>43738</v>
      </c>
      <c r="P59" s="7">
        <v>44104</v>
      </c>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c r="A60" s="5" t="s">
        <v>34</v>
      </c>
      <c r="B60" s="57"/>
      <c r="C60" s="57"/>
      <c r="D60" s="57"/>
      <c r="E60" s="57"/>
      <c r="F60" s="57">
        <f>Calc1!B144</f>
        <v>0</v>
      </c>
      <c r="G60" s="57">
        <f>F64</f>
        <v>0</v>
      </c>
      <c r="H60" s="57">
        <f>G64</f>
        <v>1425.0110502692996</v>
      </c>
      <c r="I60" s="57">
        <f>H64</f>
        <v>2791.8583842010771</v>
      </c>
      <c r="J60" s="57">
        <f>I64</f>
        <v>2675.5309515260324</v>
      </c>
      <c r="K60" s="57">
        <f>J64</f>
        <v>2559.2035188509876</v>
      </c>
      <c r="L60" s="57">
        <f>F60+SUM(F62:K62)-SUM(F63:K63)</f>
        <v>2442.8760861759424</v>
      </c>
      <c r="M60" s="57">
        <f>L64</f>
        <v>2326.5486535008977</v>
      </c>
      <c r="N60" s="57">
        <f>M64</f>
        <v>2210.2212208258529</v>
      </c>
      <c r="O60" s="57">
        <f>N64</f>
        <v>2093.8937881508082</v>
      </c>
      <c r="P60" s="57">
        <f>O64</f>
        <v>1977.5663554757634</v>
      </c>
    </row>
    <row r="61" spans="1:42">
      <c r="A61" s="5" t="s">
        <v>119</v>
      </c>
      <c r="B61" s="57"/>
      <c r="C61" s="57"/>
      <c r="D61" s="57"/>
      <c r="E61" s="57"/>
      <c r="F61" s="57">
        <f>Calc1!F150</f>
        <v>0</v>
      </c>
      <c r="G61" s="57">
        <f>Calc1!G150</f>
        <v>1454.0929084380609</v>
      </c>
      <c r="H61" s="57">
        <f>Calc1!H150</f>
        <v>1454.0929084380609</v>
      </c>
      <c r="I61" s="57">
        <f>Calc1!I150</f>
        <v>0</v>
      </c>
      <c r="J61" s="57">
        <f>Calc1!J150</f>
        <v>0</v>
      </c>
      <c r="K61" s="57">
        <f>Calc1!K150</f>
        <v>0</v>
      </c>
      <c r="L61" s="57">
        <f>Calc1!L152</f>
        <v>0</v>
      </c>
      <c r="M61" s="57">
        <f>Calc1!M152</f>
        <v>0</v>
      </c>
      <c r="N61" s="57">
        <f>Calc1!N152</f>
        <v>0</v>
      </c>
      <c r="O61" s="57">
        <f>Calc1!O152</f>
        <v>0</v>
      </c>
      <c r="P61" s="57">
        <f>Calc1!P152</f>
        <v>0</v>
      </c>
    </row>
    <row r="62" spans="1:42">
      <c r="A62" s="5" t="s">
        <v>255</v>
      </c>
      <c r="B62" s="57"/>
      <c r="C62" s="57"/>
      <c r="D62" s="57"/>
      <c r="E62" s="57"/>
      <c r="F62" s="57">
        <f>Calc1!F151</f>
        <v>0</v>
      </c>
      <c r="G62" s="57">
        <f>Calc1!G151</f>
        <v>1454.0929084380609</v>
      </c>
      <c r="H62" s="57">
        <f>Calc1!H151</f>
        <v>1454.0929084380609</v>
      </c>
      <c r="I62" s="57">
        <f>Calc1!I151</f>
        <v>0</v>
      </c>
      <c r="J62" s="57">
        <f>Calc1!J151</f>
        <v>0</v>
      </c>
      <c r="K62" s="57">
        <f>Calc1!K151</f>
        <v>0</v>
      </c>
      <c r="L62" s="57">
        <f>L61</f>
        <v>0</v>
      </c>
      <c r="M62" s="57">
        <f>M61</f>
        <v>0</v>
      </c>
      <c r="N62" s="57">
        <f>N61</f>
        <v>0</v>
      </c>
      <c r="O62" s="57">
        <f>O61</f>
        <v>0</v>
      </c>
      <c r="P62" s="57">
        <f>P61</f>
        <v>0</v>
      </c>
    </row>
    <row r="63" spans="1:42">
      <c r="A63" s="5" t="s">
        <v>1</v>
      </c>
      <c r="B63" s="57"/>
      <c r="C63" s="57"/>
      <c r="D63" s="57"/>
      <c r="E63" s="57"/>
      <c r="F63" s="57">
        <f t="shared" ref="F63:P63" si="12">SUM(G46:G56)</f>
        <v>0</v>
      </c>
      <c r="G63" s="57">
        <f t="shared" si="12"/>
        <v>29.081858168761219</v>
      </c>
      <c r="H63" s="57">
        <f t="shared" si="12"/>
        <v>87.24557450628366</v>
      </c>
      <c r="I63" s="57">
        <f t="shared" si="12"/>
        <v>116.32743267504488</v>
      </c>
      <c r="J63" s="57">
        <f t="shared" si="12"/>
        <v>116.32743267504488</v>
      </c>
      <c r="K63" s="57">
        <f t="shared" si="12"/>
        <v>116.32743267504488</v>
      </c>
      <c r="L63" s="57">
        <f t="shared" si="12"/>
        <v>116.32743267504486</v>
      </c>
      <c r="M63" s="57">
        <f t="shared" si="12"/>
        <v>116.32743267504486</v>
      </c>
      <c r="N63" s="57">
        <f t="shared" si="12"/>
        <v>116.32743267504486</v>
      </c>
      <c r="O63" s="57">
        <f t="shared" si="12"/>
        <v>116.32743267504486</v>
      </c>
      <c r="P63" s="57">
        <f t="shared" si="12"/>
        <v>116.32743267504486</v>
      </c>
    </row>
    <row r="64" spans="1:42">
      <c r="A64" s="5" t="s">
        <v>31</v>
      </c>
      <c r="B64" s="57"/>
      <c r="C64" s="57"/>
      <c r="D64" s="57"/>
      <c r="E64" s="57"/>
      <c r="F64" s="57">
        <f t="shared" ref="F64:P64" si="13">F60+F62-F63</f>
        <v>0</v>
      </c>
      <c r="G64" s="57">
        <f t="shared" si="13"/>
        <v>1425.0110502692996</v>
      </c>
      <c r="H64" s="57">
        <f t="shared" si="13"/>
        <v>2791.8583842010771</v>
      </c>
      <c r="I64" s="57">
        <f t="shared" si="13"/>
        <v>2675.5309515260324</v>
      </c>
      <c r="J64" s="57">
        <f t="shared" si="13"/>
        <v>2559.2035188509876</v>
      </c>
      <c r="K64" s="57">
        <f t="shared" si="13"/>
        <v>2442.8760861759429</v>
      </c>
      <c r="L64" s="57">
        <f t="shared" si="13"/>
        <v>2326.5486535008977</v>
      </c>
      <c r="M64" s="57">
        <f t="shared" si="13"/>
        <v>2210.2212208258529</v>
      </c>
      <c r="N64" s="57">
        <f t="shared" si="13"/>
        <v>2093.8937881508082</v>
      </c>
      <c r="O64" s="57">
        <f t="shared" si="13"/>
        <v>1977.5663554757634</v>
      </c>
      <c r="P64" s="57">
        <f t="shared" si="13"/>
        <v>1861.2389228007187</v>
      </c>
    </row>
    <row r="65" spans="1:16">
      <c r="A65" s="5" t="s">
        <v>32</v>
      </c>
      <c r="B65" s="57"/>
      <c r="C65" s="57"/>
      <c r="D65" s="57"/>
      <c r="E65" s="57"/>
      <c r="F65" s="57">
        <f t="shared" ref="F65:P65" si="14">(F60+F64)/2</f>
        <v>0</v>
      </c>
      <c r="G65" s="57">
        <f t="shared" si="14"/>
        <v>712.50552513464982</v>
      </c>
      <c r="H65" s="57">
        <f t="shared" si="14"/>
        <v>2108.4347172351881</v>
      </c>
      <c r="I65" s="57">
        <f t="shared" si="14"/>
        <v>2733.694667863555</v>
      </c>
      <c r="J65" s="57">
        <f t="shared" si="14"/>
        <v>2617.3672351885098</v>
      </c>
      <c r="K65" s="57">
        <f t="shared" si="14"/>
        <v>2501.0398025134655</v>
      </c>
      <c r="L65" s="57">
        <f t="shared" si="14"/>
        <v>2384.7123698384203</v>
      </c>
      <c r="M65" s="57">
        <f t="shared" si="14"/>
        <v>2268.3849371633751</v>
      </c>
      <c r="N65" s="57">
        <f t="shared" si="14"/>
        <v>2152.0575044883308</v>
      </c>
      <c r="O65" s="57">
        <f t="shared" si="14"/>
        <v>2035.7300718132858</v>
      </c>
      <c r="P65" s="57">
        <f t="shared" si="14"/>
        <v>1919.4026391382411</v>
      </c>
    </row>
    <row r="67" spans="1:16" ht="18.75">
      <c r="A67" s="6" t="s">
        <v>664</v>
      </c>
    </row>
    <row r="69" spans="1:16">
      <c r="A69" s="4" t="s">
        <v>241</v>
      </c>
      <c r="B69" s="7">
        <v>39538</v>
      </c>
      <c r="C69" s="7">
        <v>39721</v>
      </c>
      <c r="D69" s="7">
        <v>40086</v>
      </c>
      <c r="E69" s="7">
        <v>40268</v>
      </c>
      <c r="F69" s="7">
        <v>40451</v>
      </c>
      <c r="G69" s="7">
        <v>40816</v>
      </c>
      <c r="H69" s="7">
        <v>41182</v>
      </c>
      <c r="I69" s="7">
        <v>41547</v>
      </c>
      <c r="J69" s="7">
        <v>41912</v>
      </c>
      <c r="K69" s="7">
        <v>42277</v>
      </c>
      <c r="L69" s="7">
        <v>42643</v>
      </c>
      <c r="M69" s="7">
        <v>43008</v>
      </c>
      <c r="N69" s="7">
        <v>43373</v>
      </c>
      <c r="O69" s="7">
        <v>43738</v>
      </c>
      <c r="P69" s="7">
        <v>44104</v>
      </c>
    </row>
    <row r="70" spans="1:16">
      <c r="A70" s="5" t="s">
        <v>34</v>
      </c>
      <c r="B70" s="57">
        <v>0</v>
      </c>
      <c r="C70" s="57">
        <v>0</v>
      </c>
      <c r="D70" s="57">
        <v>0</v>
      </c>
      <c r="E70" s="57">
        <v>0</v>
      </c>
      <c r="F70" s="57">
        <v>0</v>
      </c>
      <c r="G70" s="57">
        <v>0</v>
      </c>
      <c r="H70" s="57">
        <v>0</v>
      </c>
      <c r="I70" s="57">
        <v>0</v>
      </c>
      <c r="J70" s="57">
        <v>0</v>
      </c>
      <c r="K70" s="57">
        <v>0</v>
      </c>
      <c r="L70" s="57">
        <f>Inputs!B153</f>
        <v>0</v>
      </c>
      <c r="M70" s="57">
        <f>L73</f>
        <v>5600</v>
      </c>
      <c r="N70" s="57">
        <f>M73</f>
        <v>11200</v>
      </c>
      <c r="O70" s="57">
        <f>N73</f>
        <v>11200</v>
      </c>
      <c r="P70" s="57">
        <f>O73</f>
        <v>11200</v>
      </c>
    </row>
    <row r="71" spans="1:16">
      <c r="A71" s="5" t="s">
        <v>255</v>
      </c>
      <c r="B71" s="57">
        <v>0</v>
      </c>
      <c r="C71" s="57">
        <v>0</v>
      </c>
      <c r="D71" s="57">
        <v>0</v>
      </c>
      <c r="E71" s="57">
        <v>0</v>
      </c>
      <c r="F71" s="57">
        <v>0</v>
      </c>
      <c r="G71" s="57">
        <v>0</v>
      </c>
      <c r="H71" s="57">
        <v>0</v>
      </c>
      <c r="I71" s="57">
        <v>0</v>
      </c>
      <c r="J71" s="57">
        <v>0</v>
      </c>
      <c r="K71" s="57">
        <v>0</v>
      </c>
      <c r="L71" s="57">
        <f>Inputs!B225</f>
        <v>5600</v>
      </c>
      <c r="M71" s="57">
        <f>Inputs!B226</f>
        <v>5600</v>
      </c>
      <c r="N71" s="57">
        <f>Inputs!B227</f>
        <v>5600</v>
      </c>
      <c r="O71" s="57">
        <f>Inputs!B228</f>
        <v>5600</v>
      </c>
      <c r="P71" s="57">
        <f>Inputs!B229</f>
        <v>5600</v>
      </c>
    </row>
    <row r="72" spans="1:16">
      <c r="A72" s="5" t="s">
        <v>666</v>
      </c>
      <c r="B72" s="57">
        <v>0</v>
      </c>
      <c r="C72" s="57">
        <v>0</v>
      </c>
      <c r="D72" s="57">
        <v>0</v>
      </c>
      <c r="E72" s="57">
        <v>0</v>
      </c>
      <c r="F72" s="57">
        <v>0</v>
      </c>
      <c r="G72" s="57">
        <v>0</v>
      </c>
      <c r="H72" s="57">
        <v>0</v>
      </c>
      <c r="I72" s="57">
        <v>0</v>
      </c>
      <c r="J72" s="57">
        <v>0</v>
      </c>
      <c r="K72" s="57">
        <v>0</v>
      </c>
      <c r="L72" s="57">
        <f>Inputs!B232</f>
        <v>0</v>
      </c>
      <c r="M72" s="57">
        <f>Inputs!B233</f>
        <v>0</v>
      </c>
      <c r="N72" s="57">
        <f>Inputs!B234</f>
        <v>5600</v>
      </c>
      <c r="O72" s="57">
        <f>Inputs!B235</f>
        <v>5600</v>
      </c>
      <c r="P72" s="57">
        <f>Inputs!B236</f>
        <v>5600</v>
      </c>
    </row>
    <row r="73" spans="1:16">
      <c r="A73" s="5" t="s">
        <v>31</v>
      </c>
      <c r="B73" s="57">
        <v>0</v>
      </c>
      <c r="C73" s="57">
        <v>0</v>
      </c>
      <c r="D73" s="57">
        <v>0</v>
      </c>
      <c r="E73" s="57">
        <v>0</v>
      </c>
      <c r="F73" s="57">
        <v>0</v>
      </c>
      <c r="G73" s="57">
        <v>0</v>
      </c>
      <c r="H73" s="57">
        <v>0</v>
      </c>
      <c r="I73" s="57">
        <v>0</v>
      </c>
      <c r="J73" s="57">
        <v>0</v>
      </c>
      <c r="K73" s="57">
        <v>0</v>
      </c>
      <c r="L73" s="57">
        <f>L70+L71-L72</f>
        <v>5600</v>
      </c>
      <c r="M73" s="57">
        <f>M70+M71-M72</f>
        <v>11200</v>
      </c>
      <c r="N73" s="57">
        <f>N70+N71-N72</f>
        <v>11200</v>
      </c>
      <c r="O73" s="57">
        <f>O70+O71-O72</f>
        <v>11200</v>
      </c>
      <c r="P73" s="57">
        <f>P70+P71-P72</f>
        <v>11200</v>
      </c>
    </row>
    <row r="74" spans="1:16">
      <c r="A74" s="5" t="s">
        <v>32</v>
      </c>
      <c r="B74" s="57">
        <v>0</v>
      </c>
      <c r="C74" s="57">
        <v>0</v>
      </c>
      <c r="D74" s="57">
        <v>0</v>
      </c>
      <c r="E74" s="57">
        <v>0</v>
      </c>
      <c r="F74" s="57">
        <v>0</v>
      </c>
      <c r="G74" s="57">
        <v>0</v>
      </c>
      <c r="H74" s="57">
        <v>0</v>
      </c>
      <c r="I74" s="57">
        <v>0</v>
      </c>
      <c r="J74" s="57">
        <v>0</v>
      </c>
      <c r="K74" s="57">
        <v>0</v>
      </c>
      <c r="L74" s="57">
        <f>(L70+L73)/2</f>
        <v>2800</v>
      </c>
      <c r="M74" s="57">
        <f>(M70+M73)/2</f>
        <v>8400</v>
      </c>
      <c r="N74" s="57">
        <f>(N70+N73)/2</f>
        <v>11200</v>
      </c>
      <c r="O74" s="57">
        <f>(O70+O73)/2</f>
        <v>11200</v>
      </c>
      <c r="P74" s="57">
        <f>(P70+P73)/2</f>
        <v>11200</v>
      </c>
    </row>
    <row r="76" spans="1:16" ht="18.75">
      <c r="A76" s="6" t="s">
        <v>675</v>
      </c>
    </row>
    <row r="78" spans="1:16">
      <c r="A78" s="4" t="s">
        <v>241</v>
      </c>
      <c r="B78" s="7">
        <v>39538</v>
      </c>
      <c r="C78" s="7">
        <v>39721</v>
      </c>
      <c r="D78" s="7">
        <v>40086</v>
      </c>
      <c r="E78" s="7">
        <v>40268</v>
      </c>
      <c r="F78" s="7">
        <v>40451</v>
      </c>
      <c r="G78" s="7">
        <v>40816</v>
      </c>
      <c r="H78" s="7">
        <v>41182</v>
      </c>
      <c r="I78" s="7">
        <v>41547</v>
      </c>
      <c r="J78" s="7">
        <v>41912</v>
      </c>
      <c r="K78" s="7">
        <v>42277</v>
      </c>
      <c r="L78" s="7">
        <v>42643</v>
      </c>
      <c r="M78" s="7">
        <v>43008</v>
      </c>
      <c r="N78" s="7">
        <v>43373</v>
      </c>
      <c r="O78" s="7">
        <v>43738</v>
      </c>
      <c r="P78" s="7">
        <v>44104</v>
      </c>
    </row>
    <row r="79" spans="1:16">
      <c r="A79" s="5" t="s">
        <v>34</v>
      </c>
      <c r="B79" s="57"/>
      <c r="C79" s="57"/>
      <c r="D79" s="57"/>
      <c r="E79" s="57"/>
      <c r="F79" s="57"/>
      <c r="G79" s="57"/>
      <c r="H79" s="57"/>
      <c r="I79" s="57"/>
      <c r="J79" s="57"/>
      <c r="K79" s="57"/>
      <c r="L79" s="57"/>
      <c r="M79" s="57"/>
      <c r="N79" s="57"/>
      <c r="O79" s="57">
        <f>Inputs!B156</f>
        <v>1700</v>
      </c>
      <c r="P79" s="57">
        <f>O81</f>
        <v>850</v>
      </c>
    </row>
    <row r="80" spans="1:16">
      <c r="A80" s="5" t="s">
        <v>1</v>
      </c>
      <c r="B80" s="57"/>
      <c r="C80" s="57"/>
      <c r="D80" s="57"/>
      <c r="E80" s="57"/>
      <c r="F80" s="57"/>
      <c r="G80" s="57"/>
      <c r="H80" s="57"/>
      <c r="I80" s="57"/>
      <c r="J80" s="57"/>
      <c r="K80" s="57"/>
      <c r="L80" s="57"/>
      <c r="M80" s="57"/>
      <c r="N80" s="57"/>
      <c r="O80" s="57">
        <f>O79*0.5</f>
        <v>850</v>
      </c>
      <c r="P80" s="57">
        <f>O80</f>
        <v>850</v>
      </c>
    </row>
    <row r="81" spans="1:16">
      <c r="A81" s="5" t="s">
        <v>31</v>
      </c>
      <c r="B81" s="57"/>
      <c r="C81" s="57"/>
      <c r="D81" s="57"/>
      <c r="E81" s="57"/>
      <c r="F81" s="57"/>
      <c r="G81" s="57"/>
      <c r="H81" s="57"/>
      <c r="I81" s="57"/>
      <c r="J81" s="57"/>
      <c r="K81" s="57"/>
      <c r="L81" s="57"/>
      <c r="M81" s="57"/>
      <c r="N81" s="57"/>
      <c r="O81" s="57">
        <f>O79-O80</f>
        <v>850</v>
      </c>
      <c r="P81" s="57">
        <f>P79-P80</f>
        <v>0</v>
      </c>
    </row>
    <row r="82" spans="1:16">
      <c r="A82" s="5" t="s">
        <v>32</v>
      </c>
      <c r="B82" s="57"/>
      <c r="C82" s="57"/>
      <c r="D82" s="57"/>
      <c r="E82" s="57"/>
      <c r="F82" s="57"/>
      <c r="G82" s="57"/>
      <c r="H82" s="57"/>
      <c r="I82" s="57"/>
      <c r="J82" s="57"/>
      <c r="K82" s="57"/>
      <c r="L82" s="57"/>
      <c r="M82" s="57"/>
      <c r="N82" s="57"/>
      <c r="O82" s="57">
        <f>(O79+O81)/2</f>
        <v>1275</v>
      </c>
      <c r="P82" s="57">
        <f>(P79+P81)/2</f>
        <v>425</v>
      </c>
    </row>
    <row r="84" spans="1:16" ht="18.75">
      <c r="A84" s="6" t="s">
        <v>311</v>
      </c>
    </row>
    <row r="85" spans="1:16">
      <c r="B85" s="94" t="s">
        <v>247</v>
      </c>
      <c r="C85" s="94"/>
      <c r="D85" s="94"/>
      <c r="E85" s="94"/>
      <c r="F85" s="94"/>
      <c r="G85" s="94"/>
      <c r="H85" s="94"/>
      <c r="I85" s="94"/>
      <c r="J85" s="94"/>
      <c r="K85" s="94"/>
    </row>
    <row r="86" spans="1:16">
      <c r="A86" s="4" t="s">
        <v>243</v>
      </c>
      <c r="B86" s="34" t="s">
        <v>10</v>
      </c>
      <c r="C86" s="34" t="s">
        <v>11</v>
      </c>
      <c r="D86" s="34" t="s">
        <v>9</v>
      </c>
      <c r="E86" s="34" t="s">
        <v>12</v>
      </c>
      <c r="F86" s="34" t="s">
        <v>13</v>
      </c>
      <c r="G86" s="34" t="s">
        <v>14</v>
      </c>
      <c r="H86" s="34" t="s">
        <v>15</v>
      </c>
      <c r="I86" s="34" t="s">
        <v>16</v>
      </c>
      <c r="J86" s="34" t="s">
        <v>17</v>
      </c>
      <c r="K86" s="34" t="s">
        <v>18</v>
      </c>
    </row>
    <row r="87" spans="1:16">
      <c r="A87" s="4" t="s">
        <v>71</v>
      </c>
      <c r="B87" s="57">
        <f t="shared" ref="B87:K87" si="15">G33</f>
        <v>3522.08464482813</v>
      </c>
      <c r="C87" s="57">
        <f t="shared" si="15"/>
        <v>3670.7791297922236</v>
      </c>
      <c r="D87" s="57">
        <f t="shared" si="15"/>
        <v>3773.7104302859398</v>
      </c>
      <c r="E87" s="57">
        <f t="shared" si="15"/>
        <v>3890.6289109861195</v>
      </c>
      <c r="F87" s="57">
        <f t="shared" si="15"/>
        <v>4016.1548871979685</v>
      </c>
      <c r="G87" s="57">
        <f t="shared" si="15"/>
        <v>4097.4470574359484</v>
      </c>
      <c r="H87" s="57">
        <f t="shared" si="15"/>
        <v>1802.0074396916816</v>
      </c>
      <c r="I87" s="57">
        <f t="shared" si="15"/>
        <v>2481.177403568503</v>
      </c>
      <c r="J87" s="57">
        <f t="shared" si="15"/>
        <v>3512.660553980123</v>
      </c>
      <c r="K87" s="57">
        <f t="shared" si="15"/>
        <v>3501.0197559293924</v>
      </c>
    </row>
    <row r="88" spans="1:16">
      <c r="A88" s="4" t="s">
        <v>98</v>
      </c>
      <c r="B88" s="57">
        <f t="shared" ref="B88:K88" si="16">G63</f>
        <v>29.081858168761219</v>
      </c>
      <c r="C88" s="57">
        <f t="shared" si="16"/>
        <v>87.24557450628366</v>
      </c>
      <c r="D88" s="57">
        <f t="shared" si="16"/>
        <v>116.32743267504488</v>
      </c>
      <c r="E88" s="57">
        <f t="shared" si="16"/>
        <v>116.32743267504488</v>
      </c>
      <c r="F88" s="57">
        <f t="shared" si="16"/>
        <v>116.32743267504488</v>
      </c>
      <c r="G88" s="57">
        <f t="shared" si="16"/>
        <v>116.32743267504486</v>
      </c>
      <c r="H88" s="57">
        <f t="shared" si="16"/>
        <v>116.32743267504486</v>
      </c>
      <c r="I88" s="57">
        <f t="shared" si="16"/>
        <v>116.32743267504486</v>
      </c>
      <c r="J88" s="57">
        <f t="shared" si="16"/>
        <v>116.32743267504486</v>
      </c>
      <c r="K88" s="57">
        <f t="shared" si="16"/>
        <v>116.32743267504486</v>
      </c>
    </row>
    <row r="89" spans="1:16">
      <c r="A89" s="4" t="s">
        <v>676</v>
      </c>
      <c r="B89" s="57">
        <f>G80</f>
        <v>0</v>
      </c>
      <c r="C89" s="57">
        <f t="shared" ref="C89:K89" si="17">H80</f>
        <v>0</v>
      </c>
      <c r="D89" s="57">
        <f t="shared" si="17"/>
        <v>0</v>
      </c>
      <c r="E89" s="57">
        <f t="shared" si="17"/>
        <v>0</v>
      </c>
      <c r="F89" s="57">
        <f t="shared" si="17"/>
        <v>0</v>
      </c>
      <c r="G89" s="57">
        <f t="shared" si="17"/>
        <v>0</v>
      </c>
      <c r="H89" s="57">
        <f t="shared" si="17"/>
        <v>0</v>
      </c>
      <c r="I89" s="57">
        <f t="shared" si="17"/>
        <v>0</v>
      </c>
      <c r="J89" s="57">
        <f t="shared" si="17"/>
        <v>850</v>
      </c>
      <c r="K89" s="57">
        <f t="shared" si="17"/>
        <v>850</v>
      </c>
    </row>
    <row r="90" spans="1:16">
      <c r="A90" s="4" t="s">
        <v>23</v>
      </c>
      <c r="B90" s="57">
        <f>SUM(B87:B89)</f>
        <v>3551.1665029968913</v>
      </c>
      <c r="C90" s="57">
        <f t="shared" ref="C90:K90" si="18">SUM(C87:C89)</f>
        <v>3758.024704298507</v>
      </c>
      <c r="D90" s="57">
        <f t="shared" si="18"/>
        <v>3890.0378629609845</v>
      </c>
      <c r="E90" s="57">
        <f t="shared" si="18"/>
        <v>4006.9563436611643</v>
      </c>
      <c r="F90" s="57">
        <f t="shared" si="18"/>
        <v>4132.4823198730137</v>
      </c>
      <c r="G90" s="57">
        <f t="shared" si="18"/>
        <v>4213.7744901109936</v>
      </c>
      <c r="H90" s="57">
        <f t="shared" si="18"/>
        <v>1918.3348723667264</v>
      </c>
      <c r="I90" s="57">
        <f t="shared" si="18"/>
        <v>2597.5048362435477</v>
      </c>
      <c r="J90" s="57">
        <f t="shared" si="18"/>
        <v>4478.9879866551673</v>
      </c>
      <c r="K90" s="57">
        <f t="shared" si="18"/>
        <v>4467.3471886044372</v>
      </c>
    </row>
    <row r="91" spans="1:16" ht="18.75">
      <c r="A91" s="6"/>
      <c r="B91" s="6"/>
      <c r="C91" s="6"/>
      <c r="D91" s="6"/>
      <c r="E91" s="6"/>
      <c r="F91" s="6"/>
    </row>
    <row r="92" spans="1:16" ht="18.75">
      <c r="A92" s="6" t="s">
        <v>308</v>
      </c>
    </row>
    <row r="93" spans="1:16">
      <c r="B93" s="94" t="s">
        <v>247</v>
      </c>
      <c r="C93" s="94"/>
      <c r="D93" s="94"/>
      <c r="E93" s="94"/>
      <c r="F93" s="94"/>
      <c r="G93" s="94"/>
      <c r="H93" s="94"/>
      <c r="I93" s="94"/>
      <c r="J93" s="94"/>
      <c r="K93" s="94"/>
    </row>
    <row r="94" spans="1:16">
      <c r="A94" s="4" t="s">
        <v>32</v>
      </c>
      <c r="B94" s="34" t="s">
        <v>10</v>
      </c>
      <c r="C94" s="34" t="s">
        <v>11</v>
      </c>
      <c r="D94" s="34" t="s">
        <v>9</v>
      </c>
      <c r="E94" s="34" t="s">
        <v>12</v>
      </c>
      <c r="F94" s="34" t="s">
        <v>13</v>
      </c>
      <c r="G94" s="34" t="s">
        <v>14</v>
      </c>
      <c r="H94" s="34" t="s">
        <v>15</v>
      </c>
      <c r="I94" s="34" t="s">
        <v>16</v>
      </c>
      <c r="J94" s="34" t="s">
        <v>17</v>
      </c>
      <c r="K94" s="34" t="s">
        <v>18</v>
      </c>
    </row>
    <row r="95" spans="1:16">
      <c r="A95" s="4" t="s">
        <v>71</v>
      </c>
      <c r="B95" s="57">
        <f t="shared" ref="B95:K95" si="19">G35</f>
        <v>19381.183440637105</v>
      </c>
      <c r="C95" s="57">
        <f t="shared" si="19"/>
        <v>16974.307433039678</v>
      </c>
      <c r="D95" s="57">
        <f t="shared" si="19"/>
        <v>14075.513056950327</v>
      </c>
      <c r="E95" s="57">
        <f t="shared" si="19"/>
        <v>11178.691231915735</v>
      </c>
      <c r="F95" s="57">
        <f t="shared" si="19"/>
        <v>8229.5071425184833</v>
      </c>
      <c r="G95" s="57">
        <f t="shared" si="19"/>
        <v>5137.422506924604</v>
      </c>
      <c r="H95" s="57">
        <f t="shared" si="19"/>
        <v>3688.1517949276699</v>
      </c>
      <c r="I95" s="57">
        <f t="shared" si="19"/>
        <v>8107.4686760637769</v>
      </c>
      <c r="J95" s="57">
        <f t="shared" si="19"/>
        <v>11725.788272507349</v>
      </c>
      <c r="K95" s="57">
        <f t="shared" si="19"/>
        <v>9904.8379053509998</v>
      </c>
    </row>
    <row r="96" spans="1:16">
      <c r="A96" s="4" t="s">
        <v>98</v>
      </c>
      <c r="B96" s="57">
        <f t="shared" ref="B96:K96" si="20">G65</f>
        <v>712.50552513464982</v>
      </c>
      <c r="C96" s="57">
        <f t="shared" si="20"/>
        <v>2108.4347172351881</v>
      </c>
      <c r="D96" s="57">
        <f t="shared" si="20"/>
        <v>2733.694667863555</v>
      </c>
      <c r="E96" s="57">
        <f t="shared" si="20"/>
        <v>2617.3672351885098</v>
      </c>
      <c r="F96" s="57">
        <f t="shared" si="20"/>
        <v>2501.0398025134655</v>
      </c>
      <c r="G96" s="57">
        <f t="shared" si="20"/>
        <v>2384.7123698384203</v>
      </c>
      <c r="H96" s="57">
        <f t="shared" si="20"/>
        <v>2268.3849371633751</v>
      </c>
      <c r="I96" s="57">
        <f t="shared" si="20"/>
        <v>2152.0575044883308</v>
      </c>
      <c r="J96" s="57">
        <f t="shared" si="20"/>
        <v>2035.7300718132858</v>
      </c>
      <c r="K96" s="57">
        <f t="shared" si="20"/>
        <v>1919.4026391382411</v>
      </c>
    </row>
    <row r="97" spans="1:11">
      <c r="A97" s="4" t="s">
        <v>296</v>
      </c>
      <c r="B97" s="57">
        <f>G74</f>
        <v>0</v>
      </c>
      <c r="C97" s="57">
        <f t="shared" ref="C97:K97" si="21">H74</f>
        <v>0</v>
      </c>
      <c r="D97" s="57">
        <f t="shared" si="21"/>
        <v>0</v>
      </c>
      <c r="E97" s="57">
        <f t="shared" si="21"/>
        <v>0</v>
      </c>
      <c r="F97" s="57">
        <f t="shared" si="21"/>
        <v>0</v>
      </c>
      <c r="G97" s="57">
        <f t="shared" si="21"/>
        <v>2800</v>
      </c>
      <c r="H97" s="57">
        <f t="shared" si="21"/>
        <v>8400</v>
      </c>
      <c r="I97" s="57">
        <f t="shared" si="21"/>
        <v>11200</v>
      </c>
      <c r="J97" s="57">
        <f t="shared" si="21"/>
        <v>11200</v>
      </c>
      <c r="K97" s="57">
        <f t="shared" si="21"/>
        <v>11200</v>
      </c>
    </row>
    <row r="98" spans="1:11">
      <c r="A98" s="4" t="s">
        <v>676</v>
      </c>
      <c r="B98" s="57">
        <f>G82</f>
        <v>0</v>
      </c>
      <c r="C98" s="57">
        <f t="shared" ref="C98:K98" si="22">H82</f>
        <v>0</v>
      </c>
      <c r="D98" s="57">
        <f t="shared" si="22"/>
        <v>0</v>
      </c>
      <c r="E98" s="57">
        <f t="shared" si="22"/>
        <v>0</v>
      </c>
      <c r="F98" s="57">
        <f t="shared" si="22"/>
        <v>0</v>
      </c>
      <c r="G98" s="57">
        <f t="shared" si="22"/>
        <v>0</v>
      </c>
      <c r="H98" s="57">
        <f t="shared" si="22"/>
        <v>0</v>
      </c>
      <c r="I98" s="57">
        <f t="shared" si="22"/>
        <v>0</v>
      </c>
      <c r="J98" s="57">
        <f t="shared" si="22"/>
        <v>1275</v>
      </c>
      <c r="K98" s="57">
        <f t="shared" si="22"/>
        <v>425</v>
      </c>
    </row>
    <row r="99" spans="1:11">
      <c r="A99" s="4" t="s">
        <v>23</v>
      </c>
      <c r="B99" s="57">
        <f>SUM(B95:B98)</f>
        <v>20093.688965771755</v>
      </c>
      <c r="C99" s="57">
        <f t="shared" ref="C99:G99" si="23">SUM(C95:C98)</f>
        <v>19082.742150274866</v>
      </c>
      <c r="D99" s="57">
        <f t="shared" si="23"/>
        <v>16809.207724813881</v>
      </c>
      <c r="E99" s="57">
        <f t="shared" si="23"/>
        <v>13796.058467104245</v>
      </c>
      <c r="F99" s="57">
        <f t="shared" si="23"/>
        <v>10730.546945031949</v>
      </c>
      <c r="G99" s="57">
        <f t="shared" si="23"/>
        <v>10322.134876763024</v>
      </c>
      <c r="H99" s="57">
        <f>SUM(H95:H98)</f>
        <v>14356.536732091045</v>
      </c>
      <c r="I99" s="57">
        <f>SUM(I95:I98)</f>
        <v>21459.526180552108</v>
      </c>
      <c r="J99" s="57">
        <f>SUM(J95:J98)</f>
        <v>26236.518344320633</v>
      </c>
      <c r="K99" s="57">
        <f>SUM(K95:K98)</f>
        <v>23449.240544489243</v>
      </c>
    </row>
    <row r="101" spans="1:11" ht="18.75">
      <c r="A101" s="6"/>
      <c r="B101" s="6"/>
      <c r="C101" s="6"/>
      <c r="D101" s="6"/>
      <c r="E101" s="6"/>
      <c r="F101" s="6"/>
    </row>
    <row r="102" spans="1:11">
      <c r="A102" s="1" t="s">
        <v>258</v>
      </c>
      <c r="B102" s="34" t="s">
        <v>10</v>
      </c>
      <c r="C102" s="34" t="s">
        <v>11</v>
      </c>
      <c r="D102" s="34" t="s">
        <v>9</v>
      </c>
      <c r="E102" s="34" t="s">
        <v>12</v>
      </c>
      <c r="F102" s="34" t="s">
        <v>13</v>
      </c>
      <c r="G102" s="34" t="s">
        <v>14</v>
      </c>
      <c r="H102" s="34" t="s">
        <v>15</v>
      </c>
      <c r="I102" s="34" t="s">
        <v>16</v>
      </c>
      <c r="J102" s="34" t="s">
        <v>17</v>
      </c>
      <c r="K102" s="34" t="s">
        <v>18</v>
      </c>
    </row>
    <row r="103" spans="1:11">
      <c r="A103" s="4" t="s">
        <v>678</v>
      </c>
      <c r="B103" s="20">
        <f>(Calc1!B119*Calc1!B120)+(1-Calc1!B120)*Calc1!B118/(1-Calc1!B121)</f>
        <v>5.6770270270270269E-2</v>
      </c>
      <c r="C103" s="20">
        <f>(Calc1!C119*Calc1!C120)+(1-Calc1!C120)*Calc1!C118/(1-Calc1!C121)</f>
        <v>5.6770270270270269E-2</v>
      </c>
      <c r="D103" s="20">
        <f>(Calc1!D119*Calc1!D120)+(1-Calc1!D120)*Calc1!D118/(1-Calc1!D121)</f>
        <v>5.5782894736842108E-2</v>
      </c>
      <c r="E103" s="20">
        <f>(Calc1!E119*Calc1!E120)+(1-Calc1!E120)*Calc1!E118/(1-Calc1!E121)</f>
        <v>5.5308441558441557E-2</v>
      </c>
      <c r="F103" s="20">
        <f>(Calc1!F119*Calc1!F120)+(1-Calc1!F120)*Calc1!F118/(1-Calc1!F121)</f>
        <v>5.4395569620253166E-2</v>
      </c>
      <c r="G103" s="20">
        <f>(Calc1!G119*Calc1!G120)+(1-Calc1!G120)*Calc1!G118/(1-Calc1!G121)</f>
        <v>5.9021874999999974E-2</v>
      </c>
      <c r="H103" s="20">
        <f>(Calc1!H119*Calc1!H120)+(1-Calc1!H120)*Calc1!H118/(1-Calc1!H121)</f>
        <v>5.9021874999999974E-2</v>
      </c>
      <c r="I103" s="20">
        <f>(Calc1!I119*Calc1!I120)+(1-Calc1!I120)*Calc1!I118/(1-Calc1!I121)</f>
        <v>5.8493518518518486E-2</v>
      </c>
      <c r="J103" s="20">
        <f>(Calc1!J119*Calc1!J120)+(1-Calc1!J120)*Calc1!J118/(1-Calc1!J121)</f>
        <v>5.8493518518518486E-2</v>
      </c>
      <c r="K103" s="20">
        <f>(Calc1!K119*Calc1!K120)+(1-Calc1!K120)*Calc1!K118/(1-Calc1!K121)</f>
        <v>5.8493518518518486E-2</v>
      </c>
    </row>
    <row r="104" spans="1:11">
      <c r="A104" s="4" t="s">
        <v>259</v>
      </c>
      <c r="B104" s="20">
        <f>((1+Calc1!B119)*(1+(Calc1!F2-Calc1!E2)/Calc1!E2))-1</f>
        <v>8.8886894075403955E-2</v>
      </c>
      <c r="C104" s="20">
        <f>((1+Calc1!C119)*(1+(Calc1!G2-Calc1!F2)/Calc1!F2))-1</f>
        <v>7.0765784982934843E-2</v>
      </c>
      <c r="D104" s="20">
        <f>((1+Calc1!D119)*(1+(Calc1!H2-Calc1!G2)/Calc1!G2))-1</f>
        <v>6.4876288659793557E-2</v>
      </c>
      <c r="E104" s="20">
        <f>((1+Calc1!E119)*(1+(Calc1!I2-Calc1!H2)/Calc1!H2))-1</f>
        <v>6.0719438877755216E-2</v>
      </c>
      <c r="F104" s="20">
        <f>((1+Calc1!F119)*(1+(Calc1!J2-Calc1!I2)/Calc1!I2))-1</f>
        <v>4.4309737974188357E-2</v>
      </c>
      <c r="G104" s="20">
        <f>((1+Calc1!G119)*(1+(Calc1!K2-Calc1!J2)/Calc1!J2))-1</f>
        <v>5.7399449999999907E-2</v>
      </c>
      <c r="H104" s="20">
        <f>((1+Calc1!H119)*(1+(Calc1!L2-Calc1!K2)/Calc1!K2))-1</f>
        <v>5.7399449999999907E-2</v>
      </c>
      <c r="I104" s="20">
        <f>((1+Calc1!I119)*(1+(Calc1!M2-Calc1!L2)/Calc1!L2))-1</f>
        <v>5.7399449999999907E-2</v>
      </c>
      <c r="J104" s="20">
        <f>((1+Calc1!J119)*(1+(Calc1!N2-Calc1!M2)/Calc1!M2))-1</f>
        <v>5.7399449999999907E-2</v>
      </c>
      <c r="K104" s="20">
        <f>((1+Calc1!K119)*(1+(Calc1!O2-Calc1!N2)/Calc1!N2))-1</f>
        <v>5.7399449999999907E-2</v>
      </c>
    </row>
    <row r="105" spans="1:11">
      <c r="A105" s="4" t="s">
        <v>261</v>
      </c>
      <c r="B105" s="57">
        <f>(B104*Calc1!B120*'RAB&amp;Return'!B99)</f>
        <v>982.33608147656707</v>
      </c>
      <c r="C105" s="57">
        <f>(C104*Calc1!C120*'RAB&amp;Return'!C99)</f>
        <v>742.72287534012639</v>
      </c>
      <c r="D105" s="57">
        <f>(D104*Calc1!D120*'RAB&amp;Return'!D99)</f>
        <v>599.78545687360145</v>
      </c>
      <c r="E105" s="57">
        <f>(E104*Calc1!E120*'RAB&amp;Return'!E99)</f>
        <v>460.72891086600049</v>
      </c>
      <c r="F105" s="57">
        <f>(F104*Calc1!F120*'RAB&amp;Return'!F99)</f>
        <v>261.50724789975118</v>
      </c>
      <c r="G105" s="57">
        <f>(G104*Calc1!G120*'RAB&amp;Return'!G99)</f>
        <v>325.86667561360798</v>
      </c>
      <c r="H105" s="57">
        <f>(H104*Calc1!H120*'RAB&amp;Return'!H99)</f>
        <v>453.23152177975214</v>
      </c>
      <c r="I105" s="57">
        <f>(I104*Calc1!I120*'RAB&amp;Return'!I99)</f>
        <v>677.47075001335941</v>
      </c>
      <c r="J105" s="57">
        <f>(J104*Calc1!J120*'RAB&amp;Return'!J99)</f>
        <v>828.27894758340199</v>
      </c>
      <c r="K105" s="57">
        <f>(K104*Calc1!K120*'RAB&amp;Return'!K99)</f>
        <v>740.28543059425954</v>
      </c>
    </row>
    <row r="106" spans="1:11">
      <c r="J106" s="39"/>
    </row>
    <row r="107" spans="1:11" ht="18.75">
      <c r="A107" s="6" t="s">
        <v>310</v>
      </c>
    </row>
    <row r="108" spans="1:11">
      <c r="B108" s="94" t="s">
        <v>247</v>
      </c>
      <c r="C108" s="94"/>
      <c r="D108" s="94"/>
      <c r="E108" s="94"/>
      <c r="F108" s="94"/>
      <c r="G108" s="94"/>
      <c r="H108" s="94"/>
      <c r="I108" s="94"/>
      <c r="J108" s="94"/>
      <c r="K108" s="94"/>
    </row>
    <row r="109" spans="1:11">
      <c r="A109" s="1" t="s">
        <v>309</v>
      </c>
      <c r="B109" s="34" t="s">
        <v>10</v>
      </c>
      <c r="C109" s="34" t="s">
        <v>11</v>
      </c>
      <c r="D109" s="34" t="s">
        <v>9</v>
      </c>
      <c r="E109" s="34" t="s">
        <v>12</v>
      </c>
      <c r="F109" s="34" t="s">
        <v>13</v>
      </c>
      <c r="G109" s="34" t="s">
        <v>14</v>
      </c>
      <c r="H109" s="34" t="s">
        <v>15</v>
      </c>
      <c r="I109" s="34" t="s">
        <v>16</v>
      </c>
      <c r="J109" s="34" t="s">
        <v>17</v>
      </c>
      <c r="K109" s="34" t="s">
        <v>18</v>
      </c>
    </row>
    <row r="110" spans="1:11">
      <c r="A110" s="4" t="s">
        <v>71</v>
      </c>
      <c r="B110" s="57">
        <f t="shared" ref="B110:K110" si="24">B95*B$103</f>
        <v>1100.2750220826551</v>
      </c>
      <c r="C110" s="57">
        <f t="shared" si="24"/>
        <v>963.63602062432005</v>
      </c>
      <c r="D110" s="57">
        <f t="shared" si="24"/>
        <v>785.17286322290681</v>
      </c>
      <c r="E110" s="57">
        <f t="shared" si="24"/>
        <v>618.27599070027441</v>
      </c>
      <c r="F110" s="57">
        <f t="shared" si="24"/>
        <v>447.64872871123487</v>
      </c>
      <c r="G110" s="57">
        <f t="shared" si="24"/>
        <v>303.22030902589046</v>
      </c>
      <c r="H110" s="57">
        <f t="shared" si="24"/>
        <v>217.68163422124647</v>
      </c>
      <c r="I110" s="57">
        <f t="shared" si="24"/>
        <v>474.23436914164512</v>
      </c>
      <c r="J110" s="57">
        <f t="shared" si="24"/>
        <v>685.88261346213551</v>
      </c>
      <c r="K110" s="57">
        <f t="shared" si="24"/>
        <v>579.36881943957258</v>
      </c>
    </row>
    <row r="111" spans="1:11">
      <c r="A111" s="4" t="s">
        <v>98</v>
      </c>
      <c r="B111" s="57">
        <f t="shared" ref="B111:K111" si="25">B96*B$103</f>
        <v>40.449131230954919</v>
      </c>
      <c r="C111" s="57">
        <f t="shared" si="25"/>
        <v>119.69640874466251</v>
      </c>
      <c r="D111" s="57">
        <f t="shared" si="25"/>
        <v>152.49340190009923</v>
      </c>
      <c r="E111" s="57">
        <f t="shared" si="25"/>
        <v>144.76250276440345</v>
      </c>
      <c r="F111" s="57">
        <f t="shared" si="25"/>
        <v>136.04548470064543</v>
      </c>
      <c r="G111" s="57">
        <f t="shared" si="25"/>
        <v>140.75019540355694</v>
      </c>
      <c r="H111" s="57">
        <f t="shared" si="25"/>
        <v>133.88433221313952</v>
      </c>
      <c r="I111" s="57">
        <f t="shared" si="25"/>
        <v>125.88141549170486</v>
      </c>
      <c r="J111" s="57">
        <f t="shared" si="25"/>
        <v>119.07701465431541</v>
      </c>
      <c r="K111" s="57">
        <f t="shared" si="25"/>
        <v>112.27261381692595</v>
      </c>
    </row>
    <row r="112" spans="1:11">
      <c r="A112" s="4" t="s">
        <v>296</v>
      </c>
      <c r="B112" s="57">
        <f t="shared" ref="B112:K112" si="26">B97*B$103</f>
        <v>0</v>
      </c>
      <c r="C112" s="57">
        <f t="shared" si="26"/>
        <v>0</v>
      </c>
      <c r="D112" s="57">
        <f t="shared" si="26"/>
        <v>0</v>
      </c>
      <c r="E112" s="57">
        <f t="shared" si="26"/>
        <v>0</v>
      </c>
      <c r="F112" s="57">
        <f t="shared" si="26"/>
        <v>0</v>
      </c>
      <c r="G112" s="57">
        <f t="shared" si="26"/>
        <v>165.26124999999993</v>
      </c>
      <c r="H112" s="57">
        <f t="shared" si="26"/>
        <v>495.78374999999977</v>
      </c>
      <c r="I112" s="57">
        <f t="shared" si="26"/>
        <v>655.12740740740708</v>
      </c>
      <c r="J112" s="57">
        <f t="shared" si="26"/>
        <v>655.12740740740708</v>
      </c>
      <c r="K112" s="57">
        <f t="shared" si="26"/>
        <v>655.12740740740708</v>
      </c>
    </row>
    <row r="113" spans="1:11">
      <c r="A113" s="4" t="s">
        <v>676</v>
      </c>
      <c r="B113" s="57">
        <f t="shared" ref="B113:K113" si="27">B98*B$103</f>
        <v>0</v>
      </c>
      <c r="C113" s="57">
        <f t="shared" si="27"/>
        <v>0</v>
      </c>
      <c r="D113" s="57">
        <f t="shared" si="27"/>
        <v>0</v>
      </c>
      <c r="E113" s="57">
        <f t="shared" si="27"/>
        <v>0</v>
      </c>
      <c r="F113" s="57">
        <f t="shared" si="27"/>
        <v>0</v>
      </c>
      <c r="G113" s="57">
        <f t="shared" si="27"/>
        <v>0</v>
      </c>
      <c r="H113" s="57">
        <f t="shared" si="27"/>
        <v>0</v>
      </c>
      <c r="I113" s="57">
        <f t="shared" si="27"/>
        <v>0</v>
      </c>
      <c r="J113" s="57">
        <f t="shared" si="27"/>
        <v>74.579236111111072</v>
      </c>
      <c r="K113" s="57">
        <f t="shared" si="27"/>
        <v>24.859745370370355</v>
      </c>
    </row>
    <row r="114" spans="1:11">
      <c r="A114" s="4" t="s">
        <v>23</v>
      </c>
      <c r="B114" s="57">
        <f t="shared" ref="B114:F114" si="28">SUM(B110:B112)</f>
        <v>1140.72415331361</v>
      </c>
      <c r="C114" s="57">
        <f t="shared" si="28"/>
        <v>1083.3324293689825</v>
      </c>
      <c r="D114" s="57">
        <f t="shared" si="28"/>
        <v>937.66626512300604</v>
      </c>
      <c r="E114" s="57">
        <f t="shared" si="28"/>
        <v>763.03849346467791</v>
      </c>
      <c r="F114" s="57">
        <f t="shared" si="28"/>
        <v>583.69421341188036</v>
      </c>
      <c r="G114" s="57">
        <f>SUM(G110:G113)</f>
        <v>609.23175442944728</v>
      </c>
      <c r="H114" s="57">
        <f>SUM(H110:H113)</f>
        <v>847.34971643438575</v>
      </c>
      <c r="I114" s="57">
        <f>SUM(I110:I113)</f>
        <v>1255.2431920407571</v>
      </c>
      <c r="J114" s="57">
        <f>SUM(J110:J113)</f>
        <v>1534.6662716349692</v>
      </c>
      <c r="K114" s="57">
        <f>SUM(K110:K113)</f>
        <v>1371.6285860342759</v>
      </c>
    </row>
    <row r="116" spans="1:11">
      <c r="B116" s="94" t="s">
        <v>247</v>
      </c>
      <c r="C116" s="94"/>
      <c r="D116" s="94"/>
      <c r="E116" s="94"/>
      <c r="F116" s="94"/>
      <c r="G116" s="94"/>
      <c r="H116" s="94"/>
      <c r="I116" s="94"/>
      <c r="J116" s="94"/>
      <c r="K116" s="94"/>
    </row>
    <row r="117" spans="1:11">
      <c r="A117" s="1"/>
      <c r="B117" s="34" t="s">
        <v>10</v>
      </c>
      <c r="C117" s="34" t="s">
        <v>11</v>
      </c>
      <c r="D117" s="34" t="s">
        <v>9</v>
      </c>
      <c r="E117" s="34" t="s">
        <v>12</v>
      </c>
      <c r="F117" s="34" t="s">
        <v>13</v>
      </c>
      <c r="G117" s="34" t="s">
        <v>14</v>
      </c>
      <c r="H117" s="34" t="s">
        <v>15</v>
      </c>
      <c r="I117" s="34" t="s">
        <v>16</v>
      </c>
      <c r="J117" s="34" t="s">
        <v>17</v>
      </c>
      <c r="K117" s="34" t="s">
        <v>18</v>
      </c>
    </row>
    <row r="118" spans="1:11">
      <c r="A118" s="4" t="s">
        <v>257</v>
      </c>
      <c r="B118" s="57">
        <f>((Calc1!B119*Calc1!B120*'RAB&amp;Return'!B99)-(B104*Calc1!B120*'RAB&amp;Return'!B99))*Calc1!B121/(1-Calc1!B121)</f>
        <v>-209.24117285164834</v>
      </c>
      <c r="C118" s="57">
        <f>((Calc1!C119*Calc1!C120*'RAB&amp;Return'!C99)-(C104*Calc1!C120*'RAB&amp;Return'!C99))*Calc1!C121/(1-Calc1!C121)</f>
        <v>-131.89030152203668</v>
      </c>
      <c r="D118" s="57">
        <f>((Calc1!D119*Calc1!D120*'RAB&amp;Return'!D99)-(D104*Calc1!D120*'RAB&amp;Return'!D99))*Calc1!D121/(1-Calc1!D121)</f>
        <v>-87.22364468555817</v>
      </c>
      <c r="E118" s="57">
        <f>((Calc1!E119*Calc1!E120*'RAB&amp;Return'!E99)-(E104*Calc1!E120*'RAB&amp;Return'!E99))*Calc1!E121/(1-Calc1!E121)</f>
        <v>-58.292987839059812</v>
      </c>
      <c r="F118" s="57">
        <f>((Calc1!F119*Calc1!F120*'RAB&amp;Return'!F99)-(F104*Calc1!F120*'RAB&amp;Return'!F99))*Calc1!F121/(1-Calc1!F121)</f>
        <v>-14.605425359058339</v>
      </c>
      <c r="G118" s="57">
        <f>((Calc1!G119*Calc1!G120*'RAB&amp;Return'!G99)-(G104*Calc1!G120*'RAB&amp;Return'!G99))*Calc1!G121/(1-Calc1!G121)</f>
        <v>-39.597509309531979</v>
      </c>
      <c r="H118" s="57">
        <f>((Calc1!H119*Calc1!H120*'RAB&amp;Return'!H99)-(H104*Calc1!H120*'RAB&amp;Return'!H99))*Calc1!H121/(1-Calc1!H121)</f>
        <v>-55.074178325393746</v>
      </c>
      <c r="I118" s="57">
        <f>((Calc1!I119*Calc1!I120*'RAB&amp;Return'!I99)-(I104*Calc1!I120*'RAB&amp;Return'!I99))*Calc1!I121/(1-Calc1!I121)</f>
        <v>-77.240849591902816</v>
      </c>
      <c r="J118" s="57">
        <f>((Calc1!J119*Calc1!J120*'RAB&amp;Return'!J99)-(J104*Calc1!J120*'RAB&amp;Return'!J99))*Calc1!J121/(1-Calc1!J121)</f>
        <v>-94.43502853690363</v>
      </c>
      <c r="K118" s="57">
        <f>((Calc1!K119*Calc1!K120*'RAB&amp;Return'!K99)-(K104*Calc1!K120*'RAB&amp;Return'!K99))*Calc1!K121/(1-Calc1!K121)</f>
        <v>-84.402574721463083</v>
      </c>
    </row>
  </sheetData>
  <mergeCells count="4">
    <mergeCell ref="B85:K85"/>
    <mergeCell ref="B93:K93"/>
    <mergeCell ref="B108:K108"/>
    <mergeCell ref="B116:K116"/>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79998168889431442"/>
  </sheetPr>
  <dimension ref="A1:M35"/>
  <sheetViews>
    <sheetView showGridLines="0" zoomScale="75" zoomScaleNormal="75" workbookViewId="0">
      <selection activeCell="A34" sqref="A34"/>
    </sheetView>
  </sheetViews>
  <sheetFormatPr defaultRowHeight="15"/>
  <cols>
    <col min="1" max="1" width="47" style="45" customWidth="1"/>
    <col min="2" max="6" width="12.42578125" style="45" customWidth="1"/>
    <col min="7" max="11" width="13.140625" style="45" customWidth="1"/>
    <col min="12" max="12" width="14.28515625" style="45" customWidth="1"/>
    <col min="13" max="16384" width="9.140625" style="45"/>
  </cols>
  <sheetData>
    <row r="1" spans="1:11" ht="18.75">
      <c r="A1" s="6" t="s">
        <v>717</v>
      </c>
      <c r="B1" s="94" t="s">
        <v>247</v>
      </c>
      <c r="C1" s="94"/>
      <c r="D1" s="94"/>
      <c r="E1" s="94"/>
      <c r="F1" s="94"/>
      <c r="G1" s="94"/>
      <c r="H1" s="94"/>
      <c r="I1" s="94"/>
      <c r="J1" s="94"/>
      <c r="K1" s="94"/>
    </row>
    <row r="2" spans="1:11">
      <c r="B2" s="34" t="s">
        <v>10</v>
      </c>
      <c r="C2" s="34" t="s">
        <v>11</v>
      </c>
      <c r="D2" s="34" t="s">
        <v>9</v>
      </c>
      <c r="E2" s="34" t="s">
        <v>12</v>
      </c>
      <c r="F2" s="34" t="s">
        <v>13</v>
      </c>
      <c r="G2" s="34" t="s">
        <v>14</v>
      </c>
      <c r="H2" s="34" t="s">
        <v>15</v>
      </c>
      <c r="I2" s="34" t="s">
        <v>16</v>
      </c>
      <c r="J2" s="34" t="s">
        <v>17</v>
      </c>
      <c r="K2" s="34" t="s">
        <v>18</v>
      </c>
    </row>
    <row r="3" spans="1:11">
      <c r="A3" s="8" t="s">
        <v>46</v>
      </c>
      <c r="B3" s="18">
        <f>-Calc2!B4/Calc1!F7</f>
        <v>4500.2635583703068</v>
      </c>
      <c r="C3" s="18">
        <f>-Calc2!C4/Calc1!G7</f>
        <v>5067.2508382226797</v>
      </c>
      <c r="D3" s="18">
        <f>-Calc2!D4/Calc1!H7</f>
        <v>5435.8722186813629</v>
      </c>
      <c r="E3" s="18">
        <f>-Calc2!E4/Calc1!I7</f>
        <v>5432.6901999999991</v>
      </c>
      <c r="F3" s="18">
        <f>-Calc2!F4/Calc1!J7</f>
        <v>6436.2189946008557</v>
      </c>
      <c r="G3" s="18">
        <f>-Calc2!G4/Calc1!K7</f>
        <v>6458.2168654375309</v>
      </c>
      <c r="H3" s="18">
        <f>-Calc2!H4/Calc1!L7</f>
        <v>6458.2168654375291</v>
      </c>
      <c r="I3" s="18">
        <f>-Calc2!I4/Calc1!M7</f>
        <v>6458.21686543753</v>
      </c>
      <c r="J3" s="18">
        <f>-Calc2!J4/Calc1!N7</f>
        <v>6458.2168654375291</v>
      </c>
      <c r="K3" s="18">
        <f>-Calc2!K4/Calc1!O7</f>
        <v>6458.21686543753</v>
      </c>
    </row>
    <row r="4" spans="1:11">
      <c r="A4" s="8" t="s">
        <v>47</v>
      </c>
      <c r="B4" s="18">
        <f>-Calc2!B8/Calc1!F7</f>
        <v>1570.588073566553</v>
      </c>
      <c r="C4" s="18">
        <f>-Calc2!C8/Calc1!G7</f>
        <v>1582.7449876907217</v>
      </c>
      <c r="D4" s="18">
        <f>-Calc2!D8/Calc1!H7</f>
        <v>1638.7717996432866</v>
      </c>
      <c r="E4" s="18">
        <f>-Calc2!E8/Calc1!I7</f>
        <v>1429.4160000000002</v>
      </c>
      <c r="F4" s="18">
        <f>-Calc2!F8/Calc1!J7</f>
        <v>1766.9483333333328</v>
      </c>
      <c r="G4" s="18">
        <f>-Calc2!G8/Calc1!K7</f>
        <v>1782.5239999999999</v>
      </c>
      <c r="H4" s="18">
        <f>-Calc2!H8/Calc1!L7</f>
        <v>1849.6389999999999</v>
      </c>
      <c r="I4" s="18">
        <f>-Calc2!I8/Calc1!M7</f>
        <v>1924.1030000000001</v>
      </c>
      <c r="J4" s="18">
        <f>-Calc2!J8/Calc1!N7</f>
        <v>1947.8530000000001</v>
      </c>
      <c r="K4" s="18">
        <f>-Calc2!K8/Calc1!O7</f>
        <v>1997.019</v>
      </c>
    </row>
    <row r="5" spans="1:11">
      <c r="A5" s="8" t="s">
        <v>42</v>
      </c>
      <c r="B5" s="61"/>
      <c r="C5" s="61"/>
      <c r="D5" s="61"/>
      <c r="E5" s="61"/>
      <c r="F5" s="61"/>
      <c r="G5" s="61"/>
      <c r="H5" s="61"/>
      <c r="I5" s="61"/>
      <c r="J5" s="61"/>
      <c r="K5" s="61"/>
    </row>
    <row r="6" spans="1:11">
      <c r="A6" s="8" t="s">
        <v>43</v>
      </c>
      <c r="B6" s="18">
        <f>-Calc2!B11/Calc1!F7</f>
        <v>163.20112497866893</v>
      </c>
      <c r="C6" s="18">
        <f>-Calc2!C11/Calc1!G7</f>
        <v>238.43144548453606</v>
      </c>
      <c r="D6" s="18">
        <f>-Calc2!D11/Calc1!H7</f>
        <v>313.60400801603203</v>
      </c>
      <c r="E6" s="18">
        <f>-Calc2!E11/Calc1!I7</f>
        <v>133.47548</v>
      </c>
      <c r="F6" s="18">
        <f>-Calc2!F11/Calc1!J7</f>
        <v>499.05427514047074</v>
      </c>
      <c r="G6" s="18">
        <f>-Calc2!G11/Calc1!K7</f>
        <v>642.626423690205</v>
      </c>
      <c r="H6" s="18">
        <f>-Calc2!H11/Calc1!L7</f>
        <v>642.626423690205</v>
      </c>
      <c r="I6" s="18">
        <f>-Calc2!I11/Calc1!M7</f>
        <v>517.626423690205</v>
      </c>
      <c r="J6" s="18">
        <f>-Calc2!J11/Calc1!N7</f>
        <v>226.00000000000003</v>
      </c>
      <c r="K6" s="18">
        <f>-Calc2!K11/Calc1!O7</f>
        <v>226</v>
      </c>
    </row>
    <row r="7" spans="1:11">
      <c r="A7" s="9" t="s">
        <v>44</v>
      </c>
      <c r="B7" s="18">
        <f>-Calc2!B14/Calc1!F7</f>
        <v>293.13612721416382</v>
      </c>
      <c r="C7" s="18">
        <f>-Calc2!C14/Calc1!G7</f>
        <v>289.58828477938141</v>
      </c>
      <c r="D7" s="18">
        <f>-Calc2!D14/Calc1!H7</f>
        <v>324.84098279358716</v>
      </c>
      <c r="E7" s="18">
        <f>-Calc2!E14/Calc1!I7</f>
        <v>371.71755000000002</v>
      </c>
      <c r="F7" s="18">
        <f>-Calc2!F14/Calc1!J7</f>
        <v>367.18566666666698</v>
      </c>
      <c r="G7" s="18">
        <f>-Calc2!G14/Calc1!K7</f>
        <v>564</v>
      </c>
      <c r="H7" s="18">
        <f>-Calc2!H14/Calc1!L7</f>
        <v>564</v>
      </c>
      <c r="I7" s="18">
        <f>-Calc2!I14/Calc1!M7</f>
        <v>564</v>
      </c>
      <c r="J7" s="18">
        <f>-Calc2!J14/Calc1!N7</f>
        <v>564</v>
      </c>
      <c r="K7" s="18">
        <f>-Calc2!K14/Calc1!O7</f>
        <v>564</v>
      </c>
    </row>
    <row r="8" spans="1:11">
      <c r="A8" s="9" t="s">
        <v>50</v>
      </c>
      <c r="B8" s="18">
        <f>-Calc2!B17/Calc1!F7</f>
        <v>-57.146473724402732</v>
      </c>
      <c r="C8" s="18">
        <f>-Calc2!C17/Calc1!G7</f>
        <v>-72.733237612371127</v>
      </c>
      <c r="D8" s="18">
        <f>-Calc2!D17/Calc1!H7</f>
        <v>-73.092987707414821</v>
      </c>
      <c r="E8" s="18">
        <f>-Calc2!E17/Calc1!I7</f>
        <v>-571.02900999999997</v>
      </c>
      <c r="F8" s="18">
        <f>-Calc2!F17/Calc1!J7</f>
        <v>-566.66666666666663</v>
      </c>
      <c r="G8" s="18">
        <f>-Calc2!G17/Calc1!K7</f>
        <v>0</v>
      </c>
      <c r="H8" s="18">
        <f>-Calc2!H17/Calc1!L7</f>
        <v>0</v>
      </c>
      <c r="I8" s="18">
        <f>-Calc2!I17/Calc1!M7</f>
        <v>0</v>
      </c>
      <c r="J8" s="18">
        <f>-Calc2!J17/Calc1!N7</f>
        <v>0</v>
      </c>
      <c r="K8" s="18">
        <f>-Calc2!K17/Calc1!O7</f>
        <v>0</v>
      </c>
    </row>
    <row r="9" spans="1:11">
      <c r="A9" s="9" t="s">
        <v>51</v>
      </c>
      <c r="B9" s="18">
        <f>-Calc2!B20/Calc1!F7</f>
        <v>289.77987926621159</v>
      </c>
      <c r="C9" s="18">
        <f>-Calc2!C20/Calc1!G7</f>
        <v>410.26809827216493</v>
      </c>
      <c r="D9" s="18">
        <f>-Calc2!D20/Calc1!H7</f>
        <v>395.87581609218438</v>
      </c>
      <c r="E9" s="18">
        <f>-Calc2!E20/Calc1!I7</f>
        <v>1365.6666666666667</v>
      </c>
      <c r="F9" s="18">
        <f>-Calc2!F20/Calc1!J7</f>
        <v>1525</v>
      </c>
      <c r="G9" s="18">
        <f>-Calc2!G20/Calc1!K7</f>
        <v>0</v>
      </c>
      <c r="H9" s="18">
        <f>-Calc2!H20/Calc1!L7</f>
        <v>0</v>
      </c>
      <c r="I9" s="18">
        <f>-Calc2!I20/Calc1!M7</f>
        <v>0</v>
      </c>
      <c r="J9" s="18">
        <f>-Calc2!J20/Calc1!N7</f>
        <v>0</v>
      </c>
      <c r="K9" s="18">
        <f>-Calc2!K20/Calc1!O7</f>
        <v>0</v>
      </c>
    </row>
    <row r="10" spans="1:11">
      <c r="A10" s="9" t="s">
        <v>282</v>
      </c>
      <c r="B10" s="18">
        <f>-Calc2!B23/Calc1!F7</f>
        <v>25.803806232935155</v>
      </c>
      <c r="C10" s="18">
        <f>-Calc2!C23/Calc1!G7</f>
        <v>27.082004185567008</v>
      </c>
      <c r="D10" s="18">
        <f>-Calc2!D23/Calc1!H7</f>
        <v>22.16037629258517</v>
      </c>
      <c r="E10" s="18">
        <f>-Calc2!E23/Calc1!I7</f>
        <v>39.606859999999998</v>
      </c>
      <c r="F10" s="18">
        <f>-Calc2!F23/Calc1!J7</f>
        <v>50</v>
      </c>
      <c r="G10" s="18">
        <f>-Calc2!G23/Calc1!K7</f>
        <v>0</v>
      </c>
      <c r="H10" s="18">
        <f>-Calc2!H23/Calc1!L7</f>
        <v>0</v>
      </c>
      <c r="I10" s="18">
        <f>-Calc2!I23/Calc1!M7</f>
        <v>0</v>
      </c>
      <c r="J10" s="18">
        <f>-Calc2!J23/Calc1!N7</f>
        <v>0</v>
      </c>
      <c r="K10" s="18">
        <f>-Calc2!K23/Calc1!O7</f>
        <v>0</v>
      </c>
    </row>
    <row r="11" spans="1:11">
      <c r="A11" s="9" t="s">
        <v>659</v>
      </c>
      <c r="B11" s="18">
        <f>-Calc2!B26/Calc1!F7</f>
        <v>319.25746397610914</v>
      </c>
      <c r="C11" s="18">
        <f>-Calc2!C26/Calc1!G7</f>
        <v>388.65843259381444</v>
      </c>
      <c r="D11" s="18">
        <f>-Calc2!D26/Calc1!H7</f>
        <v>412.92351444088183</v>
      </c>
      <c r="E11" s="18">
        <f>-Calc2!E26/Calc1!I7</f>
        <v>478.35872999999998</v>
      </c>
      <c r="F11" s="18">
        <f>-Calc2!F26/Calc1!J7</f>
        <v>524.89078728449067</v>
      </c>
      <c r="G11" s="18">
        <f>-Calc2!G26/Calc1!K7</f>
        <v>407.46333654200566</v>
      </c>
      <c r="H11" s="18">
        <f>-Calc2!H26/Calc1!L7</f>
        <v>407.46333654200566</v>
      </c>
      <c r="I11" s="18">
        <f>-Calc2!I26/Calc1!M7</f>
        <v>407.46333654200566</v>
      </c>
      <c r="J11" s="18">
        <f>-Calc2!J26/Calc1!N7</f>
        <v>407.46333654200566</v>
      </c>
      <c r="K11" s="18">
        <f>-Calc2!K26/Calc1!O7</f>
        <v>407.46333654200566</v>
      </c>
    </row>
    <row r="12" spans="1:11">
      <c r="A12" s="9" t="s">
        <v>660</v>
      </c>
      <c r="B12" s="18">
        <f>-Calc2!B29/Calc1!F7</f>
        <v>171.721422056314</v>
      </c>
      <c r="C12" s="18">
        <f>-Calc2!C29/Calc1!G7</f>
        <v>127.71487441237112</v>
      </c>
      <c r="D12" s="18">
        <f>-Calc2!D29/Calc1!H7</f>
        <v>189.27077975951903</v>
      </c>
      <c r="E12" s="18">
        <f>-Calc2!E29/Calc1!I7</f>
        <v>100.47192999999997</v>
      </c>
      <c r="F12" s="18">
        <f>-Calc2!F29/Calc1!J7</f>
        <v>106.02883500000002</v>
      </c>
      <c r="G12" s="18">
        <f>-Calc2!G29/Calc1!K7</f>
        <v>214.02883500000002</v>
      </c>
      <c r="H12" s="18">
        <f>-Calc2!H29/Calc1!L7</f>
        <v>214.02883500000002</v>
      </c>
      <c r="I12" s="18">
        <f>-Calc2!I29/Calc1!M7</f>
        <v>214.02883500000002</v>
      </c>
      <c r="J12" s="18">
        <f>-Calc2!J29/Calc1!N7</f>
        <v>214.02883500000002</v>
      </c>
      <c r="K12" s="18">
        <f>-Calc2!K29/Calc1!O7</f>
        <v>214.02883500000002</v>
      </c>
    </row>
    <row r="13" spans="1:11">
      <c r="A13" s="8" t="s">
        <v>45</v>
      </c>
      <c r="B13" s="18">
        <f>-Calc2!B5/Calc1!F7</f>
        <v>790.50319340017063</v>
      </c>
      <c r="C13" s="18">
        <f>-Calc2!C5/Calc1!G7</f>
        <v>654.98023168247414</v>
      </c>
      <c r="D13" s="18">
        <f>-Calc2!D5/Calc1!H7</f>
        <v>755.65916212024047</v>
      </c>
      <c r="E13" s="18">
        <f>-Calc2!E5/Calc1!I7</f>
        <v>885.84759000000008</v>
      </c>
      <c r="F13" s="18">
        <f>-Calc2!F5/Calc1!J7</f>
        <v>1259.2493966378886</v>
      </c>
      <c r="G13" s="18">
        <f>-Calc2!G5/Calc1!K7</f>
        <v>758.30617879514978</v>
      </c>
      <c r="H13" s="18">
        <f>-Calc2!H5/Calc1!L7</f>
        <v>758.30617879514989</v>
      </c>
      <c r="I13" s="18">
        <f>-Calc2!I5/Calc1!M7</f>
        <v>758.30617879514978</v>
      </c>
      <c r="J13" s="18">
        <f>-Calc2!J5/Calc1!N7</f>
        <v>758.30617879514978</v>
      </c>
      <c r="K13" s="18">
        <f>-Calc2!K5/Calc1!O7</f>
        <v>758.30617879514989</v>
      </c>
    </row>
    <row r="14" spans="1:11">
      <c r="A14" s="8" t="s">
        <v>25</v>
      </c>
      <c r="B14" s="18">
        <f>-Calc2!B32/Calc1!F7</f>
        <v>32.726109215017061</v>
      </c>
      <c r="C14" s="18">
        <f>-Calc2!C32/Calc1!G7</f>
        <v>31.632989690721647</v>
      </c>
      <c r="D14" s="18">
        <f>-Calc2!D32/Calc1!H7</f>
        <v>30.745490981963925</v>
      </c>
      <c r="E14" s="18">
        <f>-Calc2!E32/Calc1!I7</f>
        <v>148</v>
      </c>
      <c r="F14" s="18">
        <f>-Calc2!F32/Calc1!J7</f>
        <v>648</v>
      </c>
      <c r="G14" s="18">
        <f>-Calc2!G32/Calc1!K7</f>
        <v>188.5</v>
      </c>
      <c r="H14" s="18">
        <f>-Calc2!H32/Calc1!L7</f>
        <v>188.5</v>
      </c>
      <c r="I14" s="18">
        <f>-Calc2!I32/Calc1!M7</f>
        <v>188.5</v>
      </c>
      <c r="J14" s="18">
        <f>-Calc2!J32/Calc1!N7</f>
        <v>188.5</v>
      </c>
      <c r="K14" s="18">
        <f>-Calc2!K32/Calc1!O7</f>
        <v>188.5</v>
      </c>
    </row>
    <row r="15" spans="1:11">
      <c r="A15" s="8" t="s">
        <v>307</v>
      </c>
      <c r="B15" s="17">
        <f>SUM(B3:B4)+SUM(B6:B14)</f>
        <v>8099.8342845520474</v>
      </c>
      <c r="C15" s="17">
        <f t="shared" ref="C15:K15" si="0">SUM(C3:C4)+SUM(C6:C14)</f>
        <v>8745.6189494020618</v>
      </c>
      <c r="D15" s="17">
        <f t="shared" si="0"/>
        <v>9446.6311611142282</v>
      </c>
      <c r="E15" s="17">
        <f t="shared" si="0"/>
        <v>9814.2219966666671</v>
      </c>
      <c r="F15" s="17">
        <f t="shared" si="0"/>
        <v>12615.909621997038</v>
      </c>
      <c r="G15" s="17">
        <f t="shared" si="0"/>
        <v>11015.665639464891</v>
      </c>
      <c r="H15" s="17">
        <f t="shared" si="0"/>
        <v>11082.780639464889</v>
      </c>
      <c r="I15" s="17">
        <f t="shared" si="0"/>
        <v>11032.24463946489</v>
      </c>
      <c r="J15" s="17">
        <f t="shared" si="0"/>
        <v>10764.368215774686</v>
      </c>
      <c r="K15" s="17">
        <f t="shared" si="0"/>
        <v>10813.534215774685</v>
      </c>
    </row>
    <row r="16" spans="1:11">
      <c r="A16" s="8" t="s">
        <v>38</v>
      </c>
      <c r="B16" s="18">
        <f>-Calc2!B35/Calc1!F7</f>
        <v>0</v>
      </c>
      <c r="C16" s="18">
        <f>Calc2!C35/Calc1!G7</f>
        <v>0</v>
      </c>
      <c r="D16" s="18">
        <f>Calc2!D35/Calc1!H7</f>
        <v>0</v>
      </c>
      <c r="E16" s="18">
        <f>Calc2!E35/Calc1!I7</f>
        <v>0</v>
      </c>
      <c r="F16" s="18">
        <f>Calc2!F35/Calc1!J7</f>
        <v>0</v>
      </c>
      <c r="G16" s="18">
        <f>Calc2!G35/Calc1!K7</f>
        <v>0</v>
      </c>
      <c r="H16" s="18">
        <f>Calc2!H35/Calc1!L7</f>
        <v>0</v>
      </c>
      <c r="I16" s="18">
        <f>Calc2!I35/Calc1!M7</f>
        <v>0</v>
      </c>
      <c r="J16" s="18">
        <f>Calc2!J35/Calc1!N7</f>
        <v>0</v>
      </c>
      <c r="K16" s="18">
        <f>Calc2!K35/Calc1!O7</f>
        <v>0</v>
      </c>
    </row>
    <row r="17" spans="1:13">
      <c r="A17" s="8" t="s">
        <v>57</v>
      </c>
      <c r="B17" s="18">
        <f>-Calc2!B38/Calc1!F7</f>
        <v>0</v>
      </c>
      <c r="C17" s="18">
        <f>-Calc2!C38/Calc1!G7</f>
        <v>0</v>
      </c>
      <c r="D17" s="18">
        <f>-Calc2!D38/Calc1!H7</f>
        <v>0</v>
      </c>
      <c r="E17" s="18">
        <f>-Calc2!E38/Calc1!I7</f>
        <v>0</v>
      </c>
      <c r="F17" s="18">
        <f>-Calc2!F38/Calc1!J7</f>
        <v>0</v>
      </c>
      <c r="G17" s="18">
        <f>-Calc2!G38/Calc1!K7</f>
        <v>152.1108500688396</v>
      </c>
      <c r="H17" s="18">
        <f>-Calc2!H38/Calc1!L7</f>
        <v>230.38508942101839</v>
      </c>
      <c r="I17" s="18">
        <f>-Calc2!I38/Calc1!M7</f>
        <v>306.8278144824904</v>
      </c>
      <c r="J17" s="18">
        <f>-Calc2!J38/Calc1!N7</f>
        <v>375.37396534686479</v>
      </c>
      <c r="K17" s="18">
        <f>-Calc2!K38/Calc1!O7</f>
        <v>454.1341086791507</v>
      </c>
    </row>
    <row r="18" spans="1:13">
      <c r="A18" s="8" t="s">
        <v>1</v>
      </c>
      <c r="B18" s="61"/>
      <c r="C18" s="61"/>
      <c r="D18" s="61"/>
      <c r="E18" s="61"/>
      <c r="F18" s="61"/>
      <c r="G18" s="61"/>
      <c r="H18" s="61"/>
      <c r="I18" s="61"/>
      <c r="J18" s="61"/>
      <c r="K18" s="61"/>
    </row>
    <row r="19" spans="1:13">
      <c r="A19" s="9" t="s">
        <v>55</v>
      </c>
      <c r="B19" s="18">
        <f>'RAB&amp;Return'!B87</f>
        <v>3522.08464482813</v>
      </c>
      <c r="C19" s="18">
        <f>'RAB&amp;Return'!C87</f>
        <v>3670.7791297922236</v>
      </c>
      <c r="D19" s="18">
        <f>'RAB&amp;Return'!D87</f>
        <v>3773.7104302859398</v>
      </c>
      <c r="E19" s="18">
        <f>'RAB&amp;Return'!E87</f>
        <v>3890.6289109861195</v>
      </c>
      <c r="F19" s="18">
        <f>'RAB&amp;Return'!F87</f>
        <v>4016.1548871979685</v>
      </c>
      <c r="G19" s="18">
        <f>'RAB&amp;Return'!G87</f>
        <v>4097.4470574359484</v>
      </c>
      <c r="H19" s="18">
        <f>'RAB&amp;Return'!H87</f>
        <v>1802.0074396916816</v>
      </c>
      <c r="I19" s="18">
        <f>'RAB&amp;Return'!I87</f>
        <v>2481.177403568503</v>
      </c>
      <c r="J19" s="18">
        <f>'RAB&amp;Return'!J87</f>
        <v>3512.660553980123</v>
      </c>
      <c r="K19" s="18">
        <f>'RAB&amp;Return'!K87</f>
        <v>3501.0197559293924</v>
      </c>
    </row>
    <row r="20" spans="1:13">
      <c r="A20" s="9" t="s">
        <v>56</v>
      </c>
      <c r="B20" s="18">
        <f>'RAB&amp;Return'!B88</f>
        <v>29.081858168761219</v>
      </c>
      <c r="C20" s="18">
        <f>'RAB&amp;Return'!C88</f>
        <v>87.24557450628366</v>
      </c>
      <c r="D20" s="18">
        <f>'RAB&amp;Return'!D88</f>
        <v>116.32743267504488</v>
      </c>
      <c r="E20" s="18">
        <f>'RAB&amp;Return'!E88</f>
        <v>116.32743267504488</v>
      </c>
      <c r="F20" s="18">
        <f>'RAB&amp;Return'!F88</f>
        <v>116.32743267504488</v>
      </c>
      <c r="G20" s="18">
        <f>'RAB&amp;Return'!G88</f>
        <v>116.32743267504486</v>
      </c>
      <c r="H20" s="18">
        <f>'RAB&amp;Return'!H88</f>
        <v>116.32743267504486</v>
      </c>
      <c r="I20" s="18">
        <f>'RAB&amp;Return'!I88</f>
        <v>116.32743267504486</v>
      </c>
      <c r="J20" s="18">
        <f>'RAB&amp;Return'!J88</f>
        <v>116.32743267504486</v>
      </c>
      <c r="K20" s="18">
        <f>'RAB&amp;Return'!K88</f>
        <v>116.32743267504486</v>
      </c>
    </row>
    <row r="21" spans="1:13">
      <c r="A21" s="9" t="s">
        <v>677</v>
      </c>
      <c r="B21" s="18">
        <f>'RAB&amp;Return'!B89</f>
        <v>0</v>
      </c>
      <c r="C21" s="18">
        <f>'RAB&amp;Return'!C89</f>
        <v>0</v>
      </c>
      <c r="D21" s="18">
        <f>'RAB&amp;Return'!D89</f>
        <v>0</v>
      </c>
      <c r="E21" s="18">
        <f>'RAB&amp;Return'!E89</f>
        <v>0</v>
      </c>
      <c r="F21" s="18">
        <f>'RAB&amp;Return'!F89</f>
        <v>0</v>
      </c>
      <c r="G21" s="18">
        <f>'RAB&amp;Return'!G89</f>
        <v>0</v>
      </c>
      <c r="H21" s="18">
        <f>'RAB&amp;Return'!H89</f>
        <v>0</v>
      </c>
      <c r="I21" s="18">
        <f>'RAB&amp;Return'!I89</f>
        <v>0</v>
      </c>
      <c r="J21" s="18">
        <f>'RAB&amp;Return'!J89</f>
        <v>850</v>
      </c>
      <c r="K21" s="18">
        <f>'RAB&amp;Return'!K89</f>
        <v>850</v>
      </c>
    </row>
    <row r="22" spans="1:13">
      <c r="A22" s="9" t="s">
        <v>100</v>
      </c>
      <c r="B22" s="17">
        <f>SUM(B19:B21)</f>
        <v>3551.1665029968913</v>
      </c>
      <c r="C22" s="17">
        <f t="shared" ref="C22:I22" si="1">SUM(C19:C21)</f>
        <v>3758.024704298507</v>
      </c>
      <c r="D22" s="17">
        <f t="shared" si="1"/>
        <v>3890.0378629609845</v>
      </c>
      <c r="E22" s="17">
        <f t="shared" si="1"/>
        <v>4006.9563436611643</v>
      </c>
      <c r="F22" s="17">
        <f t="shared" si="1"/>
        <v>4132.4823198730137</v>
      </c>
      <c r="G22" s="17">
        <f t="shared" si="1"/>
        <v>4213.7744901109936</v>
      </c>
      <c r="H22" s="17">
        <f t="shared" si="1"/>
        <v>1918.3348723667264</v>
      </c>
      <c r="I22" s="17">
        <f t="shared" si="1"/>
        <v>2597.5048362435477</v>
      </c>
      <c r="J22" s="17">
        <f>SUM(J19:J21)</f>
        <v>4478.9879866551673</v>
      </c>
      <c r="K22" s="17">
        <f>SUM(K19:K21)</f>
        <v>4467.3471886044372</v>
      </c>
      <c r="M22" s="63"/>
    </row>
    <row r="23" spans="1:13">
      <c r="A23" s="8" t="s">
        <v>99</v>
      </c>
      <c r="B23" s="61"/>
      <c r="C23" s="61"/>
      <c r="D23" s="61"/>
      <c r="E23" s="61"/>
      <c r="F23" s="61"/>
      <c r="G23" s="61"/>
      <c r="H23" s="61"/>
      <c r="I23" s="61"/>
      <c r="J23" s="61"/>
      <c r="K23" s="61"/>
    </row>
    <row r="24" spans="1:13">
      <c r="A24" s="9" t="s">
        <v>55</v>
      </c>
      <c r="B24" s="18">
        <f>'RAB&amp;Return'!B110</f>
        <v>1100.2750220826551</v>
      </c>
      <c r="C24" s="18">
        <f>'RAB&amp;Return'!C110</f>
        <v>963.63602062432005</v>
      </c>
      <c r="D24" s="18">
        <f>'RAB&amp;Return'!D110</f>
        <v>785.17286322290681</v>
      </c>
      <c r="E24" s="18">
        <f>'RAB&amp;Return'!E110</f>
        <v>618.27599070027441</v>
      </c>
      <c r="F24" s="18">
        <f>'RAB&amp;Return'!F110</f>
        <v>447.64872871123487</v>
      </c>
      <c r="G24" s="18">
        <f>'RAB&amp;Return'!G110</f>
        <v>303.22030902589046</v>
      </c>
      <c r="H24" s="18">
        <f>'RAB&amp;Return'!H110</f>
        <v>217.68163422124647</v>
      </c>
      <c r="I24" s="18">
        <f>'RAB&amp;Return'!I110</f>
        <v>474.23436914164512</v>
      </c>
      <c r="J24" s="18">
        <f>'RAB&amp;Return'!J110</f>
        <v>685.88261346213551</v>
      </c>
      <c r="K24" s="18">
        <f>'RAB&amp;Return'!K110</f>
        <v>579.36881943957258</v>
      </c>
    </row>
    <row r="25" spans="1:13">
      <c r="A25" s="9" t="s">
        <v>56</v>
      </c>
      <c r="B25" s="18">
        <f>'RAB&amp;Return'!B111</f>
        <v>40.449131230954919</v>
      </c>
      <c r="C25" s="18">
        <f>'RAB&amp;Return'!C111</f>
        <v>119.69640874466251</v>
      </c>
      <c r="D25" s="18">
        <f>'RAB&amp;Return'!D111</f>
        <v>152.49340190009923</v>
      </c>
      <c r="E25" s="18">
        <f>'RAB&amp;Return'!E111</f>
        <v>144.76250276440345</v>
      </c>
      <c r="F25" s="18">
        <f>'RAB&amp;Return'!F111</f>
        <v>136.04548470064543</v>
      </c>
      <c r="G25" s="18">
        <f>'RAB&amp;Return'!G111</f>
        <v>140.75019540355694</v>
      </c>
      <c r="H25" s="18">
        <f>'RAB&amp;Return'!H111</f>
        <v>133.88433221313952</v>
      </c>
      <c r="I25" s="18">
        <f>'RAB&amp;Return'!I111</f>
        <v>125.88141549170486</v>
      </c>
      <c r="J25" s="18">
        <f>'RAB&amp;Return'!J111</f>
        <v>119.07701465431541</v>
      </c>
      <c r="K25" s="18">
        <f>'RAB&amp;Return'!K111</f>
        <v>112.27261381692595</v>
      </c>
    </row>
    <row r="26" spans="1:13">
      <c r="A26" s="9" t="s">
        <v>297</v>
      </c>
      <c r="B26" s="18">
        <f>'RAB&amp;Return'!B112</f>
        <v>0</v>
      </c>
      <c r="C26" s="18">
        <f>'RAB&amp;Return'!C112</f>
        <v>0</v>
      </c>
      <c r="D26" s="18">
        <f>'RAB&amp;Return'!D112</f>
        <v>0</v>
      </c>
      <c r="E26" s="18">
        <f>'RAB&amp;Return'!E112</f>
        <v>0</v>
      </c>
      <c r="F26" s="18">
        <f>'RAB&amp;Return'!F112</f>
        <v>0</v>
      </c>
      <c r="G26" s="18">
        <f>'RAB&amp;Return'!G112</f>
        <v>165.26124999999993</v>
      </c>
      <c r="H26" s="18">
        <f>'RAB&amp;Return'!H112</f>
        <v>495.78374999999977</v>
      </c>
      <c r="I26" s="18">
        <f>'RAB&amp;Return'!I112</f>
        <v>655.12740740740708</v>
      </c>
      <c r="J26" s="18">
        <f>'RAB&amp;Return'!J112</f>
        <v>655.12740740740708</v>
      </c>
      <c r="K26" s="18">
        <f>'RAB&amp;Return'!K112</f>
        <v>655.12740740740708</v>
      </c>
    </row>
    <row r="27" spans="1:13">
      <c r="A27" s="9" t="s">
        <v>677</v>
      </c>
      <c r="B27" s="18">
        <f>'[1]RAB&amp;Return'!B113</f>
        <v>0</v>
      </c>
      <c r="C27" s="18">
        <f>'[1]RAB&amp;Return'!C113</f>
        <v>0</v>
      </c>
      <c r="D27" s="18">
        <f>'[1]RAB&amp;Return'!D113</f>
        <v>0</v>
      </c>
      <c r="E27" s="18">
        <f>'[1]RAB&amp;Return'!E113</f>
        <v>0</v>
      </c>
      <c r="F27" s="18">
        <f>'[1]RAB&amp;Return'!F113</f>
        <v>0</v>
      </c>
      <c r="G27" s="18">
        <f>'[1]RAB&amp;Return'!G113</f>
        <v>0</v>
      </c>
      <c r="H27" s="18">
        <f>'[1]RAB&amp;Return'!H113</f>
        <v>0</v>
      </c>
      <c r="I27" s="18">
        <f>'[1]RAB&amp;Return'!I113</f>
        <v>0</v>
      </c>
      <c r="J27" s="18">
        <f>'RAB&amp;Return'!J113</f>
        <v>74.579236111111072</v>
      </c>
      <c r="K27" s="18">
        <f>'RAB&amp;Return'!K113</f>
        <v>24.859745370370355</v>
      </c>
    </row>
    <row r="28" spans="1:13">
      <c r="A28" s="9" t="s">
        <v>100</v>
      </c>
      <c r="B28" s="18">
        <f>SUM(B24:B26)</f>
        <v>1140.72415331361</v>
      </c>
      <c r="C28" s="18">
        <f t="shared" ref="C28:K28" si="2">SUM(C24:C26)</f>
        <v>1083.3324293689825</v>
      </c>
      <c r="D28" s="18">
        <f t="shared" si="2"/>
        <v>937.66626512300604</v>
      </c>
      <c r="E28" s="18">
        <f t="shared" si="2"/>
        <v>763.03849346467791</v>
      </c>
      <c r="F28" s="18">
        <f t="shared" si="2"/>
        <v>583.69421341188036</v>
      </c>
      <c r="G28" s="18">
        <f t="shared" si="2"/>
        <v>609.23175442944728</v>
      </c>
      <c r="H28" s="18">
        <f t="shared" si="2"/>
        <v>847.34971643438575</v>
      </c>
      <c r="I28" s="18">
        <f t="shared" si="2"/>
        <v>1255.2431920407571</v>
      </c>
      <c r="J28" s="18">
        <f>SUM(J24:J27)</f>
        <v>1534.6662716349692</v>
      </c>
      <c r="K28" s="18">
        <f>SUM(K24:K27)</f>
        <v>1371.6285860342759</v>
      </c>
      <c r="M28" s="63"/>
    </row>
    <row r="29" spans="1:13">
      <c r="A29" s="4" t="s">
        <v>257</v>
      </c>
      <c r="B29" s="18">
        <f>'RAB&amp;Return'!B118</f>
        <v>-209.24117285164834</v>
      </c>
      <c r="C29" s="18">
        <f>'RAB&amp;Return'!C118</f>
        <v>-131.89030152203668</v>
      </c>
      <c r="D29" s="18">
        <f>'RAB&amp;Return'!D118</f>
        <v>-87.22364468555817</v>
      </c>
      <c r="E29" s="18">
        <f>'RAB&amp;Return'!E118</f>
        <v>-58.292987839059812</v>
      </c>
      <c r="F29" s="18">
        <f>'RAB&amp;Return'!F118</f>
        <v>-14.605425359058339</v>
      </c>
      <c r="G29" s="18">
        <f>'RAB&amp;Return'!G118</f>
        <v>-39.597509309531979</v>
      </c>
      <c r="H29" s="18">
        <f>'RAB&amp;Return'!H118</f>
        <v>-55.074178325393746</v>
      </c>
      <c r="I29" s="18">
        <f>'RAB&amp;Return'!I118</f>
        <v>-77.240849591902816</v>
      </c>
      <c r="J29" s="18">
        <f>'RAB&amp;Return'!J118</f>
        <v>-94.43502853690363</v>
      </c>
      <c r="K29" s="18">
        <f>'RAB&amp;Return'!K118</f>
        <v>-84.402574721463083</v>
      </c>
    </row>
    <row r="30" spans="1:13">
      <c r="A30" s="8" t="s">
        <v>101</v>
      </c>
      <c r="B30" s="17">
        <f t="shared" ref="B30:K30" si="3">B15+B16+B17+B22+B28+B29</f>
        <v>12582.483768010899</v>
      </c>
      <c r="C30" s="17">
        <f t="shared" si="3"/>
        <v>13455.085781547514</v>
      </c>
      <c r="D30" s="17">
        <f t="shared" si="3"/>
        <v>14187.111644512659</v>
      </c>
      <c r="E30" s="17">
        <f t="shared" si="3"/>
        <v>14525.923845953448</v>
      </c>
      <c r="F30" s="17">
        <f t="shared" si="3"/>
        <v>17317.480729922874</v>
      </c>
      <c r="G30" s="17">
        <f t="shared" si="3"/>
        <v>15951.185224764638</v>
      </c>
      <c r="H30" s="17">
        <f t="shared" si="3"/>
        <v>14023.776139361626</v>
      </c>
      <c r="I30" s="17">
        <f t="shared" si="3"/>
        <v>15114.579632639785</v>
      </c>
      <c r="J30" s="17">
        <f t="shared" si="3"/>
        <v>17058.961410874785</v>
      </c>
      <c r="K30" s="17">
        <f t="shared" si="3"/>
        <v>17022.241524371086</v>
      </c>
    </row>
    <row r="35" spans="2:11">
      <c r="B35" s="64"/>
      <c r="C35" s="64"/>
      <c r="D35" s="64"/>
      <c r="E35" s="64"/>
      <c r="F35" s="64"/>
      <c r="G35" s="64"/>
      <c r="H35" s="64"/>
      <c r="I35" s="64"/>
      <c r="J35" s="64"/>
      <c r="K35" s="64"/>
    </row>
  </sheetData>
  <mergeCells count="1">
    <mergeCell ref="B1:K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6" tint="0.79998168889431442"/>
  </sheetPr>
  <dimension ref="A1:M33"/>
  <sheetViews>
    <sheetView showGridLines="0" zoomScale="75" zoomScaleNormal="75" workbookViewId="0"/>
  </sheetViews>
  <sheetFormatPr defaultRowHeight="15"/>
  <cols>
    <col min="1" max="1" width="47.7109375" style="3" customWidth="1"/>
    <col min="2" max="12" width="13" style="3" customWidth="1"/>
    <col min="13" max="16384" width="9.140625" style="3"/>
  </cols>
  <sheetData>
    <row r="1" spans="1:13" ht="18.75">
      <c r="A1" s="6" t="s">
        <v>249</v>
      </c>
    </row>
    <row r="2" spans="1:13">
      <c r="B2" s="94" t="s">
        <v>250</v>
      </c>
      <c r="C2" s="94"/>
      <c r="D2" s="94"/>
      <c r="E2" s="94"/>
      <c r="F2" s="94"/>
      <c r="G2" s="94"/>
      <c r="H2" s="94"/>
      <c r="I2" s="94"/>
      <c r="J2" s="94"/>
      <c r="K2" s="94"/>
    </row>
    <row r="3" spans="1:13">
      <c r="A3" s="45"/>
      <c r="B3" s="34" t="s">
        <v>10</v>
      </c>
      <c r="C3" s="34" t="s">
        <v>11</v>
      </c>
      <c r="D3" s="34" t="s">
        <v>9</v>
      </c>
      <c r="E3" s="34" t="s">
        <v>12</v>
      </c>
      <c r="F3" s="34" t="s">
        <v>13</v>
      </c>
      <c r="G3" s="34" t="s">
        <v>14</v>
      </c>
      <c r="H3" s="34" t="s">
        <v>15</v>
      </c>
      <c r="I3" s="34" t="s">
        <v>16</v>
      </c>
      <c r="J3" s="34" t="s">
        <v>17</v>
      </c>
      <c r="K3" s="34" t="s">
        <v>18</v>
      </c>
    </row>
    <row r="4" spans="1:13">
      <c r="A4" s="13" t="s">
        <v>262</v>
      </c>
      <c r="B4" s="18">
        <f>Calc1!B67</f>
        <v>58917</v>
      </c>
      <c r="C4" s="18">
        <f>Calc1!C67</f>
        <v>62665</v>
      </c>
      <c r="D4" s="18">
        <f>Calc1!D67</f>
        <v>92294</v>
      </c>
      <c r="E4" s="18">
        <f>Calc1!E67</f>
        <v>90782</v>
      </c>
      <c r="F4" s="18">
        <f>-SUM(Calc2!F44:F47)+(Bt!F30*Calc1!J7)</f>
        <v>88523.64327794651</v>
      </c>
      <c r="G4" s="18">
        <f>-SUM(Calc2!G44:G47)+(Bt!G30*Calc1!K7)</f>
        <v>109700.70141148294</v>
      </c>
      <c r="H4" s="18">
        <f>-SUM(Calc2!H44:H47)+(Bt!H30*Calc1!L7)</f>
        <v>124459.51591142252</v>
      </c>
      <c r="I4" s="18">
        <f>-SUM(Calc2!I44:I47)+(Bt!I30*Calc1!M7)</f>
        <v>137771.06545489933</v>
      </c>
      <c r="J4" s="18">
        <f>-SUM(Calc2!J44:J47)+(Bt!J30*Calc1!N7)</f>
        <v>152671.17710699496</v>
      </c>
      <c r="K4" s="18">
        <f>-SUM(Calc2!K44:K47)+(Bt!K30*Calc1!O7)</f>
        <v>165848.6695259127</v>
      </c>
      <c r="L4" s="39"/>
      <c r="M4" s="39"/>
    </row>
    <row r="5" spans="1:13">
      <c r="A5" s="13" t="s">
        <v>263</v>
      </c>
      <c r="B5" s="18">
        <f>Calc1!B68</f>
        <v>457</v>
      </c>
      <c r="C5" s="18">
        <f>Calc1!C68</f>
        <v>9367</v>
      </c>
      <c r="D5" s="18">
        <f>Calc1!D68</f>
        <v>-10166</v>
      </c>
      <c r="E5" s="18">
        <f>Calc1!E68</f>
        <v>5169</v>
      </c>
      <c r="F5" s="18">
        <f>Calc1!F87</f>
        <v>0</v>
      </c>
      <c r="G5" s="18">
        <f>Calc1!G87</f>
        <v>0</v>
      </c>
      <c r="H5" s="18">
        <f>Calc1!H87</f>
        <v>0</v>
      </c>
      <c r="I5" s="18">
        <f>Calc1!I87</f>
        <v>0</v>
      </c>
      <c r="J5" s="18">
        <f>Calc1!J87</f>
        <v>0</v>
      </c>
      <c r="K5" s="18">
        <f>Calc1!K87</f>
        <v>0</v>
      </c>
      <c r="L5" s="39"/>
      <c r="M5" s="39"/>
    </row>
    <row r="6" spans="1:13">
      <c r="A6" s="13" t="s">
        <v>293</v>
      </c>
      <c r="B6" s="18">
        <f>Calc1!B81</f>
        <v>0</v>
      </c>
      <c r="C6" s="18">
        <f>Calc1!C81</f>
        <v>0</v>
      </c>
      <c r="D6" s="18">
        <f>Calc1!D81</f>
        <v>0</v>
      </c>
      <c r="E6" s="18">
        <f>Calc1!E81</f>
        <v>0</v>
      </c>
      <c r="F6" s="18">
        <f>Calc1!F81</f>
        <v>504.49745795854517</v>
      </c>
      <c r="G6" s="18">
        <f>Calc1!G81</f>
        <v>586.03737789340528</v>
      </c>
      <c r="H6" s="18">
        <f>Calc1!H81</f>
        <v>122.92843549211874</v>
      </c>
      <c r="I6" s="18">
        <f>Calc1!I81</f>
        <v>126.25979609395513</v>
      </c>
      <c r="J6" s="18">
        <f>Calc1!J81</f>
        <v>129.6814365681013</v>
      </c>
      <c r="K6" s="18">
        <f>Calc1!K81</f>
        <v>133.19580349909683</v>
      </c>
      <c r="L6" s="39"/>
      <c r="M6" s="39"/>
    </row>
    <row r="7" spans="1:13">
      <c r="A7" s="11" t="s">
        <v>166</v>
      </c>
      <c r="B7" s="18">
        <f t="shared" ref="B7:K7" si="0">SUM(B4:B6)</f>
        <v>59374</v>
      </c>
      <c r="C7" s="18">
        <f t="shared" si="0"/>
        <v>72032</v>
      </c>
      <c r="D7" s="18">
        <f t="shared" si="0"/>
        <v>82128</v>
      </c>
      <c r="E7" s="18">
        <f t="shared" si="0"/>
        <v>95951</v>
      </c>
      <c r="F7" s="18">
        <f t="shared" si="0"/>
        <v>89028.14073590505</v>
      </c>
      <c r="G7" s="18">
        <f t="shared" si="0"/>
        <v>110286.73878937634</v>
      </c>
      <c r="H7" s="18">
        <f t="shared" si="0"/>
        <v>124582.44434691465</v>
      </c>
      <c r="I7" s="18">
        <f t="shared" si="0"/>
        <v>137897.32525099328</v>
      </c>
      <c r="J7" s="18">
        <f t="shared" si="0"/>
        <v>152800.85854356305</v>
      </c>
      <c r="K7" s="18">
        <f t="shared" si="0"/>
        <v>165981.86532941181</v>
      </c>
      <c r="L7" s="39"/>
      <c r="M7" s="39"/>
    </row>
    <row r="8" spans="1:13">
      <c r="A8" s="11" t="s">
        <v>121</v>
      </c>
      <c r="B8" s="61"/>
      <c r="C8" s="61"/>
      <c r="D8" s="61"/>
      <c r="E8" s="61"/>
      <c r="F8" s="61"/>
      <c r="G8" s="61"/>
      <c r="H8" s="61"/>
      <c r="I8" s="61"/>
      <c r="J8" s="61"/>
      <c r="K8" s="61"/>
      <c r="L8" s="39"/>
      <c r="M8" s="39"/>
    </row>
    <row r="9" spans="1:13">
      <c r="A9" s="13" t="s">
        <v>149</v>
      </c>
      <c r="B9" s="18"/>
      <c r="C9" s="18"/>
      <c r="D9" s="18"/>
      <c r="E9" s="18"/>
      <c r="F9" s="18">
        <f>Calc2!F44</f>
        <v>-45430.181024054851</v>
      </c>
      <c r="G9" s="18">
        <f>Calc2!G44</f>
        <v>-66956.926907472036</v>
      </c>
      <c r="H9" s="18">
        <f>Calc2!H44</f>
        <v>-82608.964558772452</v>
      </c>
      <c r="I9" s="18">
        <f>Calc2!I44</f>
        <v>-93593.822154172449</v>
      </c>
      <c r="J9" s="18">
        <f>Calc2!J44</f>
        <v>-105113.39018158149</v>
      </c>
      <c r="K9" s="18">
        <f>Calc2!K44</f>
        <v>-117044.41662743466</v>
      </c>
      <c r="L9" s="39"/>
      <c r="M9" s="39"/>
    </row>
    <row r="10" spans="1:13">
      <c r="A10" s="13" t="s">
        <v>639</v>
      </c>
      <c r="B10" s="18"/>
      <c r="C10" s="18"/>
      <c r="D10" s="18"/>
      <c r="E10" s="18"/>
      <c r="F10" s="18">
        <f>-(Bt!F15+Bt!F16+Bt!F17)*Calc1!J7</f>
        <v>-12729.388668264512</v>
      </c>
      <c r="G10" s="18">
        <f>-(Bt!G15+Bt!G16+Bt!G17)*Calc1!K7</f>
        <v>-11573.59872490897</v>
      </c>
      <c r="H10" s="18">
        <f>-(Bt!H15+Bt!H16+Bt!H17)*Calc1!L7</f>
        <v>-12041.998967016401</v>
      </c>
      <c r="I10" s="18">
        <f>-(Bt!I15+Bt!I16+Bt!I17)*Calc1!M7</f>
        <v>-12396.660167024347</v>
      </c>
      <c r="J10" s="18">
        <f>-(Bt!J15+Bt!J16+Bt!J17)*Calc1!N7</f>
        <v>-12508.782305963332</v>
      </c>
      <c r="K10" s="18">
        <f>-(Bt!K15+Bt!K16+Bt!K17)*Calc1!O7</f>
        <v>-12995.311037559932</v>
      </c>
      <c r="L10" s="39"/>
      <c r="M10" s="39"/>
    </row>
    <row r="11" spans="1:13">
      <c r="A11" s="13" t="s">
        <v>154</v>
      </c>
      <c r="B11" s="18"/>
      <c r="C11" s="18"/>
      <c r="D11" s="18"/>
      <c r="E11" s="18"/>
      <c r="F11" s="18">
        <f>Calc2!F45</f>
        <v>-1440.1535784122018</v>
      </c>
      <c r="G11" s="18">
        <f>Calc2!G45</f>
        <v>-1340.8160181141961</v>
      </c>
      <c r="H11" s="18">
        <f>Calc2!H45</f>
        <v>-1377.1521322050908</v>
      </c>
      <c r="I11" s="18">
        <f>Calc2!I45</f>
        <v>-1414.4729549878484</v>
      </c>
      <c r="J11" s="18">
        <f>Calc2!J45</f>
        <v>-1452.8051720680189</v>
      </c>
      <c r="K11" s="18">
        <f>Calc2!K45</f>
        <v>-1492.176192231062</v>
      </c>
      <c r="L11" s="39"/>
      <c r="M11" s="39"/>
    </row>
    <row r="12" spans="1:13">
      <c r="A12" s="13" t="s">
        <v>163</v>
      </c>
      <c r="B12" s="18"/>
      <c r="C12" s="18"/>
      <c r="D12" s="18"/>
      <c r="E12" s="18"/>
      <c r="F12" s="18">
        <f>Calc2!F46</f>
        <v>-24180.058662495103</v>
      </c>
      <c r="G12" s="18">
        <f>Calc2!G46</f>
        <v>-24872.128275322641</v>
      </c>
      <c r="H12" s="18">
        <f>Calc2!H46</f>
        <v>-25546.162951583883</v>
      </c>
      <c r="I12" s="18">
        <f>Calc2!I46</f>
        <v>-26238.463967571803</v>
      </c>
      <c r="J12" s="18">
        <f>Calc2!J46</f>
        <v>-26949.526341092995</v>
      </c>
      <c r="K12" s="18">
        <f>Calc2!K46</f>
        <v>-27679.858504936612</v>
      </c>
      <c r="L12" s="39"/>
      <c r="M12" s="39"/>
    </row>
    <row r="13" spans="1:13">
      <c r="A13" s="13" t="s">
        <v>169</v>
      </c>
      <c r="B13" s="18"/>
      <c r="C13" s="18"/>
      <c r="D13" s="18"/>
      <c r="E13" s="18"/>
      <c r="F13" s="18">
        <f>Calc2!F47</f>
        <v>0</v>
      </c>
      <c r="G13" s="18">
        <f>Calc2!G47</f>
        <v>0</v>
      </c>
      <c r="H13" s="18">
        <f>Calc2!H47</f>
        <v>0</v>
      </c>
      <c r="I13" s="18">
        <f>Calc2!I47</f>
        <v>0</v>
      </c>
      <c r="J13" s="18">
        <f>Calc2!J47</f>
        <v>0</v>
      </c>
      <c r="K13" s="18">
        <f>Calc2!K47</f>
        <v>0</v>
      </c>
      <c r="L13" s="39"/>
      <c r="M13" s="39"/>
    </row>
    <row r="14" spans="1:13">
      <c r="A14" s="13" t="s">
        <v>168</v>
      </c>
      <c r="B14" s="18">
        <f>Calc1!B75</f>
        <v>-1595</v>
      </c>
      <c r="C14" s="18">
        <f>Calc1!C75</f>
        <v>-1730</v>
      </c>
      <c r="D14" s="18">
        <f>Calc1!D75</f>
        <v>-1891</v>
      </c>
      <c r="E14" s="18">
        <f>Calc1!E75</f>
        <v>-1893</v>
      </c>
      <c r="F14" s="18">
        <f>-'Acct depreciation'!F158</f>
        <v>-1897.4332234696963</v>
      </c>
      <c r="G14" s="18">
        <f>-'Acct depreciation'!G158</f>
        <v>-1835.2718385207961</v>
      </c>
      <c r="H14" s="18">
        <f>-'Acct depreciation'!H158</f>
        <v>-1800.3718799016476</v>
      </c>
      <c r="I14" s="18">
        <f>-'Acct depreciation'!I158</f>
        <v>-2658.6571449632615</v>
      </c>
      <c r="J14" s="18">
        <f>-'Acct depreciation'!J158</f>
        <v>-3971.2199973094421</v>
      </c>
      <c r="K14" s="18">
        <f>-'Acct depreciation'!K158</f>
        <v>-4312.5223888995679</v>
      </c>
      <c r="L14" s="39"/>
      <c r="M14" s="39"/>
    </row>
    <row r="15" spans="1:13">
      <c r="A15" s="13" t="s">
        <v>636</v>
      </c>
      <c r="B15" s="18">
        <f>SUM(Calc1!B69:B70)</f>
        <v>-53597</v>
      </c>
      <c r="C15" s="18">
        <f>SUM(Calc1!C69:C70)</f>
        <v>-66444</v>
      </c>
      <c r="D15" s="18">
        <f>SUM(Calc1!D69:D70)</f>
        <v>-77184</v>
      </c>
      <c r="E15" s="18">
        <f>SUM(Calc1!E69:E70)</f>
        <v>-91649</v>
      </c>
      <c r="F15" s="18">
        <f>SUM(F9:F14)</f>
        <v>-85677.215156696358</v>
      </c>
      <c r="G15" s="18">
        <f t="shared" ref="G15:K15" si="1">SUM(G9:G14)</f>
        <v>-106578.74176433864</v>
      </c>
      <c r="H15" s="18">
        <f t="shared" si="1"/>
        <v>-123374.65048947949</v>
      </c>
      <c r="I15" s="18">
        <f t="shared" si="1"/>
        <v>-136302.07638871972</v>
      </c>
      <c r="J15" s="18">
        <f t="shared" si="1"/>
        <v>-149995.72399801528</v>
      </c>
      <c r="K15" s="18">
        <f t="shared" si="1"/>
        <v>-163524.28475106187</v>
      </c>
      <c r="L15" s="39"/>
      <c r="M15" s="39"/>
    </row>
    <row r="16" spans="1:13">
      <c r="A16" s="11" t="s">
        <v>113</v>
      </c>
      <c r="B16" s="18">
        <f>B7+B15</f>
        <v>5777</v>
      </c>
      <c r="C16" s="18">
        <f t="shared" ref="C16:K16" si="2">C7+C15</f>
        <v>5588</v>
      </c>
      <c r="D16" s="18">
        <f t="shared" si="2"/>
        <v>4944</v>
      </c>
      <c r="E16" s="18">
        <f t="shared" si="2"/>
        <v>4302</v>
      </c>
      <c r="F16" s="18">
        <f t="shared" si="2"/>
        <v>3350.9255792086915</v>
      </c>
      <c r="G16" s="18">
        <f t="shared" si="2"/>
        <v>3707.9970250376937</v>
      </c>
      <c r="H16" s="18">
        <f t="shared" si="2"/>
        <v>1207.7938574351574</v>
      </c>
      <c r="I16" s="18">
        <f t="shared" si="2"/>
        <v>1595.2488622735546</v>
      </c>
      <c r="J16" s="18">
        <f t="shared" si="2"/>
        <v>2805.1345455477713</v>
      </c>
      <c r="K16" s="18">
        <f t="shared" si="2"/>
        <v>2457.5805783499382</v>
      </c>
      <c r="L16" s="39"/>
      <c r="M16" s="39"/>
    </row>
    <row r="17" spans="1:13">
      <c r="A17" s="11" t="s">
        <v>171</v>
      </c>
      <c r="B17" s="61"/>
      <c r="C17" s="61"/>
      <c r="D17" s="61"/>
      <c r="E17" s="61"/>
      <c r="F17" s="61"/>
      <c r="G17" s="61"/>
      <c r="H17" s="61"/>
      <c r="I17" s="61"/>
      <c r="J17" s="61"/>
      <c r="K17" s="61"/>
      <c r="L17" s="39"/>
      <c r="M17" s="39"/>
    </row>
    <row r="18" spans="1:13">
      <c r="A18" s="5" t="s">
        <v>248</v>
      </c>
      <c r="B18" s="18">
        <f>Calc1!B72</f>
        <v>150</v>
      </c>
      <c r="C18" s="18">
        <f>Calc1!C72</f>
        <v>386</v>
      </c>
      <c r="D18" s="18">
        <f>Calc1!D72</f>
        <v>555</v>
      </c>
      <c r="E18" s="18">
        <f>Calc1!E72</f>
        <v>722</v>
      </c>
      <c r="F18" s="18">
        <f>Calc2!F62</f>
        <v>456.76516582607206</v>
      </c>
      <c r="G18" s="18">
        <f>Calc1!G112</f>
        <v>0</v>
      </c>
      <c r="H18" s="18">
        <f>Calc1!H112</f>
        <v>0</v>
      </c>
      <c r="I18" s="18">
        <f>Calc1!I112</f>
        <v>0</v>
      </c>
      <c r="J18" s="18">
        <f>Calc1!J112</f>
        <v>0</v>
      </c>
      <c r="K18" s="18">
        <f>Calc1!K112</f>
        <v>0</v>
      </c>
      <c r="L18" s="39"/>
      <c r="M18" s="39"/>
    </row>
    <row r="19" spans="1:13">
      <c r="A19" s="5" t="s">
        <v>635</v>
      </c>
      <c r="B19" s="18">
        <f>Calc1!B71+Calc1!B73</f>
        <v>-925</v>
      </c>
      <c r="C19" s="18">
        <f>Calc1!C71+Calc1!C73</f>
        <v>-1512</v>
      </c>
      <c r="D19" s="18">
        <f>Calc1!D71+Calc1!D73</f>
        <v>-1096</v>
      </c>
      <c r="E19" s="18">
        <f>Calc1!E71+Calc1!E73</f>
        <v>-1032</v>
      </c>
      <c r="F19" s="18">
        <f>Calc2!F63</f>
        <v>-267.94063259999956</v>
      </c>
      <c r="G19" s="18">
        <f>Calc2!G63</f>
        <v>-86.09917499999986</v>
      </c>
      <c r="H19" s="18">
        <f>Calc2!H63</f>
        <v>-315.6969749999995</v>
      </c>
      <c r="I19" s="18">
        <f>Calc2!I63</f>
        <v>-746.19284999999877</v>
      </c>
      <c r="J19" s="18">
        <f>Calc2!J63</f>
        <v>-947.09092499999849</v>
      </c>
      <c r="K19" s="18">
        <f>Calc2!K63</f>
        <v>-746.19284999999877</v>
      </c>
      <c r="L19" s="39"/>
      <c r="M19" s="39"/>
    </row>
    <row r="20" spans="1:13">
      <c r="A20" s="4" t="s">
        <v>120</v>
      </c>
      <c r="B20" s="61"/>
      <c r="C20" s="61"/>
      <c r="D20" s="61"/>
      <c r="E20" s="61"/>
      <c r="F20" s="61"/>
      <c r="G20" s="61"/>
      <c r="H20" s="61"/>
      <c r="I20" s="61"/>
      <c r="J20" s="61"/>
      <c r="K20" s="61"/>
      <c r="L20" s="39"/>
      <c r="M20" s="39"/>
    </row>
    <row r="21" spans="1:13">
      <c r="A21" s="13" t="s">
        <v>672</v>
      </c>
      <c r="B21" s="18">
        <f>Calc1!B189</f>
        <v>0</v>
      </c>
      <c r="C21" s="18">
        <f>Calc1!C189</f>
        <v>0</v>
      </c>
      <c r="D21" s="18">
        <f>Calc1!D189</f>
        <v>0</v>
      </c>
      <c r="E21" s="18">
        <f>Calc1!E189</f>
        <v>0</v>
      </c>
      <c r="F21" s="18">
        <f>Calc1!F189</f>
        <v>0</v>
      </c>
      <c r="G21" s="18">
        <f>Calc1!G189</f>
        <v>0</v>
      </c>
      <c r="H21" s="18">
        <f>Calc1!H189</f>
        <v>0</v>
      </c>
      <c r="I21" s="18">
        <f>Calc1!I189</f>
        <v>318.81166152480455</v>
      </c>
      <c r="J21" s="18">
        <f>Calc1!J189</f>
        <v>327.45145755212525</v>
      </c>
      <c r="K21" s="18">
        <f>Calc1!K189</f>
        <v>336.32539205178819</v>
      </c>
      <c r="L21" s="39"/>
      <c r="M21" s="39"/>
    </row>
    <row r="22" spans="1:13">
      <c r="A22" s="11" t="s">
        <v>265</v>
      </c>
      <c r="B22" s="17">
        <f>B16+SUM(B18:B21)</f>
        <v>5002</v>
      </c>
      <c r="C22" s="17">
        <f t="shared" ref="C22:K22" si="3">C16+SUM(C18:C21)</f>
        <v>4462</v>
      </c>
      <c r="D22" s="17">
        <f t="shared" si="3"/>
        <v>4403</v>
      </c>
      <c r="E22" s="17">
        <f t="shared" si="3"/>
        <v>3992</v>
      </c>
      <c r="F22" s="17">
        <f t="shared" si="3"/>
        <v>3539.7501124347641</v>
      </c>
      <c r="G22" s="17">
        <f t="shared" si="3"/>
        <v>3621.8978500376938</v>
      </c>
      <c r="H22" s="17">
        <f t="shared" si="3"/>
        <v>892.09688243515791</v>
      </c>
      <c r="I22" s="17">
        <f t="shared" si="3"/>
        <v>1167.8676737983603</v>
      </c>
      <c r="J22" s="17">
        <f t="shared" si="3"/>
        <v>2185.4950780998979</v>
      </c>
      <c r="K22" s="17">
        <f t="shared" si="3"/>
        <v>2047.7131204017276</v>
      </c>
      <c r="L22" s="39"/>
      <c r="M22" s="39"/>
    </row>
    <row r="23" spans="1:13">
      <c r="A23" s="13" t="s">
        <v>266</v>
      </c>
      <c r="B23" s="18">
        <f>Calc1!B74</f>
        <v>-1634</v>
      </c>
      <c r="C23" s="18">
        <f>Calc1!C74</f>
        <v>1256</v>
      </c>
      <c r="D23" s="18">
        <f>Calc1!D74</f>
        <v>-3620</v>
      </c>
      <c r="E23" s="18">
        <f>Calc1!E74</f>
        <v>121</v>
      </c>
      <c r="F23" s="18">
        <f>-F22*Inputs!F22</f>
        <v>-743.3475236113004</v>
      </c>
      <c r="G23" s="18">
        <f>-G22*Inputs!G22</f>
        <v>-724.37957000753886</v>
      </c>
      <c r="H23" s="18">
        <f>-H22*Inputs!H22</f>
        <v>-178.4193764870316</v>
      </c>
      <c r="I23" s="18">
        <f>-I22*Inputs!I22</f>
        <v>-221.89485802168846</v>
      </c>
      <c r="J23" s="18">
        <f>-J22*Inputs!J22</f>
        <v>-415.24406483898059</v>
      </c>
      <c r="K23" s="18">
        <f>-K22*Inputs!K22</f>
        <v>-389.06549287632822</v>
      </c>
      <c r="L23" s="39"/>
      <c r="M23" s="39"/>
    </row>
    <row r="24" spans="1:13">
      <c r="A24" s="11" t="s">
        <v>267</v>
      </c>
      <c r="B24" s="17">
        <f>B22+B23</f>
        <v>3368</v>
      </c>
      <c r="C24" s="17">
        <f t="shared" ref="C24:E24" si="4">C22+C23</f>
        <v>5718</v>
      </c>
      <c r="D24" s="17">
        <f t="shared" si="4"/>
        <v>783</v>
      </c>
      <c r="E24" s="17">
        <f t="shared" si="4"/>
        <v>4113</v>
      </c>
      <c r="F24" s="17">
        <f t="shared" ref="F24" si="5">F22+F23</f>
        <v>2796.4025888234637</v>
      </c>
      <c r="G24" s="17">
        <f t="shared" ref="G24" si="6">G22+G23</f>
        <v>2897.518280030155</v>
      </c>
      <c r="H24" s="17">
        <f t="shared" ref="H24" si="7">H22+H23</f>
        <v>713.67750594812628</v>
      </c>
      <c r="I24" s="17">
        <f t="shared" ref="I24" si="8">I22+I23</f>
        <v>945.97281577667184</v>
      </c>
      <c r="J24" s="17">
        <f t="shared" ref="J24" si="9">J22+J23</f>
        <v>1770.2510132609173</v>
      </c>
      <c r="K24" s="17">
        <f t="shared" ref="K24" si="10">K22+K23</f>
        <v>1658.6476275253995</v>
      </c>
      <c r="L24" s="39"/>
      <c r="M24" s="39"/>
    </row>
    <row r="25" spans="1:13">
      <c r="L25" s="32"/>
      <c r="M25" s="39"/>
    </row>
    <row r="26" spans="1:13">
      <c r="F26" s="39"/>
      <c r="G26" s="39"/>
      <c r="H26" s="39"/>
      <c r="I26" s="39"/>
      <c r="J26" s="39"/>
      <c r="K26" s="39"/>
      <c r="L26" s="32"/>
      <c r="M26" s="39"/>
    </row>
    <row r="27" spans="1:13">
      <c r="F27" s="39"/>
      <c r="G27" s="39"/>
      <c r="H27" s="39"/>
      <c r="I27" s="39"/>
      <c r="J27" s="39"/>
      <c r="K27" s="39"/>
      <c r="L27" s="32"/>
      <c r="M27" s="39"/>
    </row>
    <row r="28" spans="1:13">
      <c r="L28" s="32"/>
      <c r="M28" s="39"/>
    </row>
    <row r="29" spans="1:13">
      <c r="F29" s="39"/>
      <c r="G29" s="39"/>
      <c r="H29" s="39"/>
      <c r="I29" s="39"/>
      <c r="J29" s="39"/>
      <c r="K29" s="39"/>
      <c r="L29" s="32"/>
      <c r="M29" s="39"/>
    </row>
    <row r="30" spans="1:13">
      <c r="F30" s="39"/>
      <c r="G30" s="39"/>
      <c r="H30" s="39"/>
      <c r="I30" s="39"/>
      <c r="J30" s="39"/>
      <c r="K30" s="39"/>
      <c r="L30" s="32"/>
      <c r="M30" s="39"/>
    </row>
    <row r="31" spans="1:13">
      <c r="L31" s="32"/>
      <c r="M31" s="39"/>
    </row>
    <row r="32" spans="1:13">
      <c r="F32" s="62"/>
      <c r="G32" s="62"/>
      <c r="H32" s="62"/>
      <c r="I32" s="62"/>
      <c r="J32" s="62"/>
      <c r="K32" s="62"/>
      <c r="L32" s="32"/>
      <c r="M32" s="39"/>
    </row>
    <row r="33" spans="12:13">
      <c r="L33" s="32"/>
      <c r="M33" s="39"/>
    </row>
  </sheetData>
  <mergeCells count="1">
    <mergeCell ref="B2:K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6" tint="0.79998168889431442"/>
  </sheetPr>
  <dimension ref="A1:M24"/>
  <sheetViews>
    <sheetView showGridLines="0" zoomScale="75" zoomScaleNormal="75" workbookViewId="0">
      <selection activeCell="H11" sqref="H11"/>
    </sheetView>
  </sheetViews>
  <sheetFormatPr defaultRowHeight="15"/>
  <cols>
    <col min="1" max="1" width="52" style="3" customWidth="1"/>
    <col min="2" max="12" width="13.85546875" style="3" customWidth="1"/>
    <col min="13" max="16384" width="9.140625" style="3"/>
  </cols>
  <sheetData>
    <row r="1" spans="1:13" ht="18.75">
      <c r="A1" s="6" t="s">
        <v>251</v>
      </c>
      <c r="B1" s="94" t="s">
        <v>250</v>
      </c>
      <c r="C1" s="94"/>
      <c r="D1" s="94"/>
      <c r="E1" s="94"/>
      <c r="F1" s="94"/>
      <c r="G1" s="94"/>
      <c r="H1" s="94"/>
      <c r="I1" s="94"/>
      <c r="J1" s="94"/>
      <c r="K1" s="94"/>
    </row>
    <row r="2" spans="1:13">
      <c r="A2" s="45"/>
      <c r="B2" s="34" t="s">
        <v>10</v>
      </c>
      <c r="C2" s="34" t="s">
        <v>11</v>
      </c>
      <c r="D2" s="34" t="s">
        <v>9</v>
      </c>
      <c r="E2" s="34" t="s">
        <v>12</v>
      </c>
      <c r="F2" s="34" t="s">
        <v>13</v>
      </c>
      <c r="G2" s="34" t="s">
        <v>14</v>
      </c>
      <c r="H2" s="34" t="s">
        <v>15</v>
      </c>
      <c r="I2" s="34" t="s">
        <v>16</v>
      </c>
      <c r="J2" s="34" t="s">
        <v>17</v>
      </c>
      <c r="K2" s="34" t="s">
        <v>18</v>
      </c>
    </row>
    <row r="3" spans="1:13">
      <c r="A3" s="10" t="s">
        <v>205</v>
      </c>
      <c r="B3" s="60"/>
      <c r="C3" s="60"/>
      <c r="D3" s="60"/>
      <c r="E3" s="60"/>
      <c r="F3" s="61"/>
      <c r="G3" s="61"/>
      <c r="H3" s="61"/>
      <c r="I3" s="61"/>
      <c r="J3" s="61"/>
      <c r="K3" s="61"/>
    </row>
    <row r="4" spans="1:13">
      <c r="A4" s="15" t="s">
        <v>298</v>
      </c>
      <c r="B4" s="18">
        <f>'P&amp;L'!B16</f>
        <v>5777</v>
      </c>
      <c r="C4" s="18">
        <f>'P&amp;L'!C16</f>
        <v>5588</v>
      </c>
      <c r="D4" s="18">
        <f>'P&amp;L'!D16</f>
        <v>4944</v>
      </c>
      <c r="E4" s="18">
        <f>'P&amp;L'!E16</f>
        <v>4302</v>
      </c>
      <c r="F4" s="18">
        <f>'P&amp;L'!F16</f>
        <v>3350.9255792086915</v>
      </c>
      <c r="G4" s="18">
        <f>'P&amp;L'!G16</f>
        <v>3707.9970250376937</v>
      </c>
      <c r="H4" s="18">
        <f>'P&amp;L'!H16</f>
        <v>1207.7938574351574</v>
      </c>
      <c r="I4" s="18">
        <f>'P&amp;L'!I16</f>
        <v>1595.2488622735546</v>
      </c>
      <c r="J4" s="18">
        <f>'P&amp;L'!J16</f>
        <v>2805.1345455477713</v>
      </c>
      <c r="K4" s="18">
        <f>'P&amp;L'!K16</f>
        <v>2457.5805783499382</v>
      </c>
      <c r="L4" s="32"/>
      <c r="M4" s="39"/>
    </row>
    <row r="5" spans="1:13">
      <c r="A5" s="15" t="s">
        <v>1</v>
      </c>
      <c r="B5" s="18">
        <f>'P&amp;L'!B14</f>
        <v>-1595</v>
      </c>
      <c r="C5" s="18">
        <f>'P&amp;L'!C14</f>
        <v>-1730</v>
      </c>
      <c r="D5" s="18">
        <f>'P&amp;L'!D14</f>
        <v>-1891</v>
      </c>
      <c r="E5" s="18">
        <f>'P&amp;L'!E14</f>
        <v>-1893</v>
      </c>
      <c r="F5" s="18">
        <f>'P&amp;L'!F14</f>
        <v>-1897.4332234696963</v>
      </c>
      <c r="G5" s="18">
        <f>'P&amp;L'!G14</f>
        <v>-1835.2718385207961</v>
      </c>
      <c r="H5" s="18">
        <f>'P&amp;L'!H14</f>
        <v>-1800.3718799016476</v>
      </c>
      <c r="I5" s="18">
        <f>'P&amp;L'!I14</f>
        <v>-2658.6571449632615</v>
      </c>
      <c r="J5" s="18">
        <f>'P&amp;L'!J14</f>
        <v>-3971.2199973094421</v>
      </c>
      <c r="K5" s="18">
        <f>'P&amp;L'!K14</f>
        <v>-4312.5223888995679</v>
      </c>
      <c r="L5" s="32"/>
      <c r="M5" s="39"/>
    </row>
    <row r="6" spans="1:13">
      <c r="A6" s="15" t="s">
        <v>206</v>
      </c>
      <c r="B6" s="18">
        <f>Inputs!B298</f>
        <v>72</v>
      </c>
      <c r="C6" s="18">
        <f>Inputs!C298</f>
        <v>-68</v>
      </c>
      <c r="D6" s="18">
        <f>Inputs!D298</f>
        <v>63</v>
      </c>
      <c r="E6" s="18">
        <f>Inputs!E298</f>
        <v>1021</v>
      </c>
      <c r="F6" s="18">
        <f>Inputs!G298</f>
        <v>73</v>
      </c>
      <c r="G6" s="18">
        <f>Inputs!H298</f>
        <v>0</v>
      </c>
      <c r="H6" s="18">
        <f>Inputs!I298</f>
        <v>0</v>
      </c>
      <c r="I6" s="18">
        <f>Inputs!J298</f>
        <v>0</v>
      </c>
      <c r="J6" s="18">
        <f>Inputs!K298</f>
        <v>0</v>
      </c>
      <c r="K6" s="18">
        <f>Inputs!L298</f>
        <v>0</v>
      </c>
      <c r="L6" s="32"/>
      <c r="M6" s="39"/>
    </row>
    <row r="7" spans="1:13">
      <c r="A7" s="10" t="s">
        <v>207</v>
      </c>
      <c r="B7" s="17">
        <f t="shared" ref="B7:K7" si="0">B4-B5+B6</f>
        <v>7444</v>
      </c>
      <c r="C7" s="17">
        <f t="shared" si="0"/>
        <v>7250</v>
      </c>
      <c r="D7" s="17">
        <f t="shared" si="0"/>
        <v>6898</v>
      </c>
      <c r="E7" s="17">
        <f t="shared" si="0"/>
        <v>7216</v>
      </c>
      <c r="F7" s="17">
        <f t="shared" si="0"/>
        <v>5321.3588026783873</v>
      </c>
      <c r="G7" s="17">
        <f t="shared" si="0"/>
        <v>5543.26886355849</v>
      </c>
      <c r="H7" s="17">
        <f t="shared" si="0"/>
        <v>3008.1657373368053</v>
      </c>
      <c r="I7" s="17">
        <f t="shared" si="0"/>
        <v>4253.9060072368156</v>
      </c>
      <c r="J7" s="17">
        <f t="shared" si="0"/>
        <v>6776.3545428572133</v>
      </c>
      <c r="K7" s="17">
        <f t="shared" si="0"/>
        <v>6770.102967249506</v>
      </c>
      <c r="L7" s="32"/>
      <c r="M7" s="39"/>
    </row>
    <row r="8" spans="1:13">
      <c r="A8" s="10" t="s">
        <v>220</v>
      </c>
      <c r="B8" s="17">
        <f>Inputs!B299</f>
        <v>10689</v>
      </c>
      <c r="C8" s="17">
        <f>(SUM('Balance sheet'!C9:C12)-SUM('Balance sheet'!B9:B12))+SUM('Balance sheet'!B28:B31)-SUM('Balance sheet'!C28:C31)+Inputs!C299</f>
        <v>394</v>
      </c>
      <c r="D8" s="17">
        <f>(SUM('Balance sheet'!D9:D12)-SUM('Balance sheet'!C9:C12))+SUM('Balance sheet'!C28:C31)-SUM('Balance sheet'!D28:D31)+Inputs!D299</f>
        <v>-9021</v>
      </c>
      <c r="E8" s="17">
        <f>(SUM('Balance sheet'!E9:E12)-SUM('Balance sheet'!D9:D12))+SUM('Balance sheet'!D28:D31)-SUM('Balance sheet'!E28:E31)+Inputs!E299</f>
        <v>6240</v>
      </c>
      <c r="F8" s="17">
        <f>(SUM('Balance sheet'!F9:F11)-SUM('Balance sheet'!E9:E11))+SUM('Balance sheet'!E28:E30)-SUM('Balance sheet'!F28:F30)+Inputs!F299</f>
        <v>3688.4953801488537</v>
      </c>
      <c r="G8" s="17">
        <f>(SUM('Balance sheet'!G9:G11)-SUM('Balance sheet'!F9:F11))+SUM('Balance sheet'!F28:F30)-SUM('Balance sheet'!G28:G30)+Inputs!G299</f>
        <v>-3228.0748608727927</v>
      </c>
      <c r="H8" s="17">
        <f>(SUM('Balance sheet'!H9:H11)-SUM('Balance sheet'!G9:G11))+SUM('Balance sheet'!G28:G30)-SUM('Balance sheet'!H28:H30)+Inputs!H299</f>
        <v>-248.78209998127386</v>
      </c>
      <c r="I8" s="17">
        <f>(SUM('Balance sheet'!I9:I11)-SUM('Balance sheet'!H9:H11))+SUM('Balance sheet'!H28:H30)-SUM('Balance sheet'!I28:I30)+Inputs!I299</f>
        <v>115.63867057487732</v>
      </c>
      <c r="J8" s="17">
        <f>(SUM('Balance sheet'!J9:J11)-SUM('Balance sheet'!I9:I11))+SUM('Balance sheet'!I28:I30)-SUM('Balance sheet'!J28:J30)+Inputs!J299</f>
        <v>252.75614522134674</v>
      </c>
      <c r="K8" s="17">
        <f>(SUM('Balance sheet'!K9:K11)-SUM('Balance sheet'!J9:J11))+SUM('Balance sheet'!J28:J30)-SUM('Balance sheet'!K28:K30)+Inputs!K299</f>
        <v>-21.008482698602165</v>
      </c>
      <c r="L8" s="32"/>
      <c r="M8" s="39"/>
    </row>
    <row r="9" spans="1:13">
      <c r="A9" s="5" t="s">
        <v>248</v>
      </c>
      <c r="B9" s="18">
        <f>Inputs!B300</f>
        <v>96</v>
      </c>
      <c r="C9" s="18">
        <f>Inputs!C300</f>
        <v>345</v>
      </c>
      <c r="D9" s="18">
        <f>Inputs!D300</f>
        <v>506</v>
      </c>
      <c r="E9" s="18">
        <f>Inputs!E300</f>
        <v>670</v>
      </c>
      <c r="F9" s="18">
        <f>'P&amp;L'!F18</f>
        <v>456.76516582607206</v>
      </c>
      <c r="G9" s="18">
        <f>'P&amp;L'!G18</f>
        <v>0</v>
      </c>
      <c r="H9" s="18">
        <f>'P&amp;L'!H18</f>
        <v>0</v>
      </c>
      <c r="I9" s="18">
        <f>'P&amp;L'!I18</f>
        <v>0</v>
      </c>
      <c r="J9" s="18">
        <f>'P&amp;L'!J18</f>
        <v>0</v>
      </c>
      <c r="K9" s="18">
        <f>'P&amp;L'!K18</f>
        <v>0</v>
      </c>
      <c r="L9" s="32"/>
      <c r="M9" s="39"/>
    </row>
    <row r="10" spans="1:13">
      <c r="A10" s="5" t="s">
        <v>209</v>
      </c>
      <c r="B10" s="18">
        <f>Inputs!B301</f>
        <v>-799</v>
      </c>
      <c r="C10" s="18">
        <f>Inputs!C301</f>
        <v>-1277</v>
      </c>
      <c r="D10" s="18">
        <f>Inputs!D301</f>
        <v>-1050</v>
      </c>
      <c r="E10" s="18">
        <f>Inputs!E301</f>
        <v>-1157</v>
      </c>
      <c r="F10" s="18">
        <f>'P&amp;L'!F19</f>
        <v>-267.94063259999956</v>
      </c>
      <c r="G10" s="18">
        <f>'P&amp;L'!G19</f>
        <v>-86.09917499999986</v>
      </c>
      <c r="H10" s="18">
        <f>'P&amp;L'!H19</f>
        <v>-315.6969749999995</v>
      </c>
      <c r="I10" s="18">
        <f>'P&amp;L'!I19</f>
        <v>-746.19284999999877</v>
      </c>
      <c r="J10" s="18">
        <f>'P&amp;L'!J19</f>
        <v>-947.09092499999849</v>
      </c>
      <c r="K10" s="18">
        <f>'P&amp;L'!K19</f>
        <v>-746.19284999999877</v>
      </c>
      <c r="L10" s="32"/>
      <c r="M10" s="39"/>
    </row>
    <row r="11" spans="1:13">
      <c r="A11" s="15" t="s">
        <v>210</v>
      </c>
      <c r="B11" s="18">
        <f>Inputs!B302</f>
        <v>-429</v>
      </c>
      <c r="C11" s="18">
        <f>Inputs!C302</f>
        <v>-901</v>
      </c>
      <c r="D11" s="18">
        <f>Inputs!D302</f>
        <v>-1700</v>
      </c>
      <c r="E11" s="18">
        <f>Inputs!E302</f>
        <v>-509</v>
      </c>
      <c r="F11" s="18">
        <f>'P&amp;L'!F23+(('Balance sheet'!E6+'Balance sheet'!E12)-('Balance sheet'!F6+'Balance sheet'!F12))-(('Balance sheet'!E24+'Balance sheet'!E31)-('Balance sheet'!F24+'Balance sheet'!F31))</f>
        <v>100.6524763886996</v>
      </c>
      <c r="G11" s="18">
        <f>'P&amp;L'!G23+(('Balance sheet'!F6+'Balance sheet'!F12)-('Balance sheet'!G6+'Balance sheet'!G12))-(('Balance sheet'!F24+'Balance sheet'!F31)-('Balance sheet'!G24+'Balance sheet'!G31))</f>
        <v>-724.37957000753886</v>
      </c>
      <c r="H11" s="18">
        <f>'P&amp;L'!H23+(('Balance sheet'!G6+'Balance sheet'!G12)-('Balance sheet'!H6+'Balance sheet'!H12))-(('Balance sheet'!G24+'Balance sheet'!G31)-('Balance sheet'!H24+'Balance sheet'!H31))</f>
        <v>-178.4193764870316</v>
      </c>
      <c r="I11" s="18">
        <f>'P&amp;L'!I23+(('Balance sheet'!H6+'Balance sheet'!H12)-('Balance sheet'!I6+'Balance sheet'!I12))-(('Balance sheet'!H24+'Balance sheet'!H31)-('Balance sheet'!I24+'Balance sheet'!I31))</f>
        <v>-221.89485802168846</v>
      </c>
      <c r="J11" s="18">
        <f>'P&amp;L'!J23+(('Balance sheet'!I6+'Balance sheet'!I12)-('Balance sheet'!J6+'Balance sheet'!J12))-(('Balance sheet'!I24+'Balance sheet'!I31)-('Balance sheet'!J24+'Balance sheet'!J31))</f>
        <v>-415.24406483898059</v>
      </c>
      <c r="K11" s="18">
        <f>'P&amp;L'!K23+(('Balance sheet'!J6+'Balance sheet'!J12)-('Balance sheet'!K6+'Balance sheet'!K12))-(('Balance sheet'!J24+'Balance sheet'!J31)-('Balance sheet'!K24+'Balance sheet'!K31))</f>
        <v>-389.06549287632822</v>
      </c>
      <c r="L11" s="32"/>
      <c r="M11" s="39"/>
    </row>
    <row r="12" spans="1:13">
      <c r="A12" s="10" t="s">
        <v>211</v>
      </c>
      <c r="B12" s="17">
        <f>B7-B8+SUM(B9:B11)</f>
        <v>-4377</v>
      </c>
      <c r="C12" s="17">
        <f t="shared" ref="C12:K12" si="1">C7-C8+SUM(C9:C11)</f>
        <v>5023</v>
      </c>
      <c r="D12" s="17">
        <f t="shared" si="1"/>
        <v>13675</v>
      </c>
      <c r="E12" s="17">
        <f t="shared" si="1"/>
        <v>-20</v>
      </c>
      <c r="F12" s="17">
        <f t="shared" si="1"/>
        <v>1922.3404321443059</v>
      </c>
      <c r="G12" s="17">
        <f t="shared" si="1"/>
        <v>7960.8649794237444</v>
      </c>
      <c r="H12" s="17">
        <f t="shared" si="1"/>
        <v>2762.8314858310478</v>
      </c>
      <c r="I12" s="17">
        <f t="shared" si="1"/>
        <v>3170.1796286402509</v>
      </c>
      <c r="J12" s="17">
        <f t="shared" si="1"/>
        <v>5161.2634077968878</v>
      </c>
      <c r="K12" s="17">
        <f t="shared" si="1"/>
        <v>5655.8531070717818</v>
      </c>
      <c r="L12" s="32"/>
      <c r="M12" s="39"/>
    </row>
    <row r="13" spans="1:13">
      <c r="A13" s="10" t="s">
        <v>212</v>
      </c>
      <c r="B13" s="61"/>
      <c r="C13" s="61"/>
      <c r="D13" s="61"/>
      <c r="E13" s="61"/>
      <c r="F13" s="61"/>
      <c r="G13" s="61"/>
      <c r="H13" s="61"/>
      <c r="I13" s="61"/>
      <c r="J13" s="61"/>
      <c r="K13" s="61"/>
      <c r="L13" s="32"/>
      <c r="M13" s="39"/>
    </row>
    <row r="14" spans="1:13">
      <c r="A14" s="15" t="s">
        <v>213</v>
      </c>
      <c r="B14" s="18">
        <f>-Inputs!B304</f>
        <v>-366</v>
      </c>
      <c r="C14" s="18">
        <f>-Inputs!C304</f>
        <v>-1309</v>
      </c>
      <c r="D14" s="18">
        <f>-Inputs!D304</f>
        <v>-2567</v>
      </c>
      <c r="E14" s="18">
        <f>-Inputs!E304</f>
        <v>-4697</v>
      </c>
      <c r="F14" s="18">
        <f>-Calc1!F186</f>
        <v>-1830.6399245450375</v>
      </c>
      <c r="G14" s="18">
        <f>-Calc1!G186</f>
        <v>-7368.9219852601445</v>
      </c>
      <c r="H14" s="18">
        <f>-Calc1!H186</f>
        <v>-7547.1652050873454</v>
      </c>
      <c r="I14" s="18">
        <f>-Calc1!I186</f>
        <v>-18838.604997316426</v>
      </c>
      <c r="J14" s="18">
        <f>-Calc1!J186</f>
        <v>-8083.7766193871057</v>
      </c>
      <c r="K14" s="18">
        <f>-Calc1!K186</f>
        <v>-8503.186234962719</v>
      </c>
      <c r="L14" s="32"/>
      <c r="M14" s="39"/>
    </row>
    <row r="15" spans="1:13">
      <c r="A15" s="15" t="s">
        <v>667</v>
      </c>
      <c r="B15" s="18">
        <f>Calc1!B187</f>
        <v>0</v>
      </c>
      <c r="C15" s="18">
        <f>Calc1!C187</f>
        <v>0</v>
      </c>
      <c r="D15" s="18">
        <f>Calc1!D187</f>
        <v>0</v>
      </c>
      <c r="E15" s="18">
        <f>Calc1!E187</f>
        <v>0</v>
      </c>
      <c r="F15" s="18">
        <f>Calc1!F187</f>
        <v>0</v>
      </c>
      <c r="G15" s="18">
        <f>Calc1!G187</f>
        <v>0</v>
      </c>
      <c r="H15" s="18">
        <f>Calc1!H187</f>
        <v>0</v>
      </c>
      <c r="I15" s="18">
        <f>Calc1!I187</f>
        <v>6122.3082591000875</v>
      </c>
      <c r="J15" s="18">
        <f>Calc1!J187</f>
        <v>6288.2228129216983</v>
      </c>
      <c r="K15" s="18">
        <f>Calc1!K187</f>
        <v>6458.6336511518757</v>
      </c>
      <c r="L15" s="32"/>
      <c r="M15" s="39"/>
    </row>
    <row r="16" spans="1:13">
      <c r="A16" s="15" t="s">
        <v>670</v>
      </c>
      <c r="B16" s="18">
        <f>B14+B15</f>
        <v>-366</v>
      </c>
      <c r="C16" s="18">
        <f t="shared" ref="C16:K16" si="2">C14+C15</f>
        <v>-1309</v>
      </c>
      <c r="D16" s="18">
        <f t="shared" si="2"/>
        <v>-2567</v>
      </c>
      <c r="E16" s="18">
        <f t="shared" si="2"/>
        <v>-4697</v>
      </c>
      <c r="F16" s="18">
        <f t="shared" si="2"/>
        <v>-1830.6399245450375</v>
      </c>
      <c r="G16" s="18">
        <f t="shared" si="2"/>
        <v>-7368.9219852601445</v>
      </c>
      <c r="H16" s="18">
        <f t="shared" si="2"/>
        <v>-7547.1652050873454</v>
      </c>
      <c r="I16" s="18">
        <f t="shared" si="2"/>
        <v>-12716.296738216339</v>
      </c>
      <c r="J16" s="18">
        <f t="shared" si="2"/>
        <v>-1795.5538064654074</v>
      </c>
      <c r="K16" s="18">
        <f t="shared" si="2"/>
        <v>-2044.5525838108433</v>
      </c>
      <c r="L16" s="32"/>
      <c r="M16" s="39"/>
    </row>
    <row r="17" spans="1:13">
      <c r="A17" s="10" t="s">
        <v>214</v>
      </c>
      <c r="B17" s="61"/>
      <c r="C17" s="61"/>
      <c r="D17" s="61"/>
      <c r="E17" s="61"/>
      <c r="F17" s="61"/>
      <c r="G17" s="61"/>
      <c r="H17" s="61"/>
      <c r="I17" s="61"/>
      <c r="J17" s="61"/>
      <c r="K17" s="61"/>
      <c r="L17" s="32"/>
      <c r="M17" s="39"/>
    </row>
    <row r="18" spans="1:13">
      <c r="A18" s="15" t="s">
        <v>299</v>
      </c>
      <c r="B18" s="18">
        <f>Inputs!B307-Inputs!B308</f>
        <v>1392</v>
      </c>
      <c r="C18" s="18">
        <f>('Balance sheet'!C23+'Balance sheet'!C32)-('Balance sheet'!B23+'Balance sheet'!B32)</f>
        <v>-4608</v>
      </c>
      <c r="D18" s="18">
        <f>('Balance sheet'!D23+'Balance sheet'!D32)-('Balance sheet'!C23+'Balance sheet'!C32)</f>
        <v>-4608</v>
      </c>
      <c r="E18" s="18">
        <f>('Balance sheet'!E23+'Balance sheet'!E32)-('Balance sheet'!D23+'Balance sheet'!D32)</f>
        <v>-2400</v>
      </c>
      <c r="F18" s="18">
        <f>('Balance sheet'!F23+'Balance sheet'!F32)-('Balance sheet'!E23+'Balance sheet'!E32)</f>
        <v>-168</v>
      </c>
      <c r="G18" s="18">
        <f>('Balance sheet'!G23+'Balance sheet'!G32)-('Balance sheet'!F23+'Balance sheet'!F32)</f>
        <v>0</v>
      </c>
      <c r="H18" s="18">
        <f>('Balance sheet'!H23+'Balance sheet'!H32)-('Balance sheet'!G23+'Balance sheet'!G32)</f>
        <v>5000</v>
      </c>
      <c r="I18" s="18">
        <f>('Balance sheet'!I23+'Balance sheet'!I32)-('Balance sheet'!H23+'Balance sheet'!H32)</f>
        <v>10000</v>
      </c>
      <c r="J18" s="18">
        <f>('Balance sheet'!J23+'Balance sheet'!J32)-('Balance sheet'!I23+'Balance sheet'!I32)</f>
        <v>-3000</v>
      </c>
      <c r="K18" s="18">
        <f>('Balance sheet'!K23+'Balance sheet'!K32)-('Balance sheet'!J23+'Balance sheet'!J32)</f>
        <v>-4000</v>
      </c>
      <c r="L18" s="32"/>
      <c r="M18" s="39"/>
    </row>
    <row r="19" spans="1:13">
      <c r="A19" s="15" t="s">
        <v>653</v>
      </c>
      <c r="B19" s="18">
        <f>-Inputs!B309</f>
        <v>0</v>
      </c>
      <c r="C19" s="18">
        <f>-Inputs!C309</f>
        <v>0</v>
      </c>
      <c r="D19" s="18">
        <f>-Inputs!D309</f>
        <v>0</v>
      </c>
      <c r="E19" s="18">
        <f>-Inputs!E309</f>
        <v>0</v>
      </c>
      <c r="F19" s="18">
        <f>-Inputs!G309</f>
        <v>0</v>
      </c>
      <c r="G19" s="18">
        <f>-Inputs!H309</f>
        <v>0</v>
      </c>
      <c r="H19" s="18">
        <f>-Inputs!I309</f>
        <v>0</v>
      </c>
      <c r="I19" s="18">
        <f>-Inputs!J309</f>
        <v>0</v>
      </c>
      <c r="J19" s="18">
        <f>-Inputs!K309</f>
        <v>0</v>
      </c>
      <c r="K19" s="18">
        <f>-Inputs!L309</f>
        <v>0</v>
      </c>
      <c r="L19" s="32"/>
      <c r="M19" s="39"/>
    </row>
    <row r="20" spans="1:13">
      <c r="A20" s="15" t="s">
        <v>654</v>
      </c>
      <c r="B20" s="18">
        <f>-Inputs!B310</f>
        <v>0</v>
      </c>
      <c r="C20" s="18">
        <f>'Balance sheet'!C17-'Balance sheet'!B17</f>
        <v>0</v>
      </c>
      <c r="D20" s="18">
        <f>'Balance sheet'!D17-'Balance sheet'!C17</f>
        <v>0</v>
      </c>
      <c r="E20" s="18">
        <f>'Balance sheet'!E17-'Balance sheet'!D17</f>
        <v>0</v>
      </c>
      <c r="F20" s="18">
        <f>'Balance sheet'!F17-'Balance sheet'!E17</f>
        <v>0</v>
      </c>
      <c r="G20" s="18">
        <f>'Balance sheet'!G17-'Balance sheet'!F17</f>
        <v>0</v>
      </c>
      <c r="H20" s="18">
        <f>'Balance sheet'!H17-'Balance sheet'!G17</f>
        <v>0</v>
      </c>
      <c r="I20" s="18">
        <f>'Balance sheet'!I17-'Balance sheet'!H17</f>
        <v>0</v>
      </c>
      <c r="J20" s="18">
        <f>'Balance sheet'!J17-'Balance sheet'!I17</f>
        <v>0</v>
      </c>
      <c r="K20" s="18">
        <f>'Balance sheet'!K17-'Balance sheet'!J17</f>
        <v>0</v>
      </c>
      <c r="L20" s="32"/>
      <c r="M20" s="39"/>
    </row>
    <row r="21" spans="1:13">
      <c r="A21" s="15" t="s">
        <v>218</v>
      </c>
      <c r="B21" s="18">
        <f>Inputs!B312</f>
        <v>5109</v>
      </c>
      <c r="C21" s="18">
        <f>B23</f>
        <v>1758</v>
      </c>
      <c r="D21" s="18">
        <f t="shared" ref="D21:K21" si="3">C23</f>
        <v>864</v>
      </c>
      <c r="E21" s="18">
        <f t="shared" si="3"/>
        <v>7364</v>
      </c>
      <c r="F21" s="18">
        <f t="shared" si="3"/>
        <v>247</v>
      </c>
      <c r="G21" s="18">
        <f t="shared" si="3"/>
        <v>170.70050759926835</v>
      </c>
      <c r="H21" s="18">
        <f t="shared" si="3"/>
        <v>762.64350176286825</v>
      </c>
      <c r="I21" s="18">
        <f t="shared" si="3"/>
        <v>978.30978250657063</v>
      </c>
      <c r="J21" s="18">
        <f t="shared" si="3"/>
        <v>1432.1926729304832</v>
      </c>
      <c r="K21" s="18">
        <f t="shared" si="3"/>
        <v>1797.9022742619636</v>
      </c>
      <c r="L21" s="32"/>
      <c r="M21" s="39"/>
    </row>
    <row r="22" spans="1:13">
      <c r="A22" s="15" t="s">
        <v>217</v>
      </c>
      <c r="B22" s="18">
        <f>B12+B16+B18+B19+B20</f>
        <v>-3351</v>
      </c>
      <c r="C22" s="18">
        <f t="shared" ref="C22:K22" si="4">C12+C16+C18+C19+C20</f>
        <v>-894</v>
      </c>
      <c r="D22" s="18">
        <f t="shared" si="4"/>
        <v>6500</v>
      </c>
      <c r="E22" s="18">
        <f t="shared" si="4"/>
        <v>-7117</v>
      </c>
      <c r="F22" s="18">
        <f t="shared" si="4"/>
        <v>-76.299492400731651</v>
      </c>
      <c r="G22" s="18">
        <f t="shared" si="4"/>
        <v>591.94299416359991</v>
      </c>
      <c r="H22" s="18">
        <f t="shared" si="4"/>
        <v>215.66628074370237</v>
      </c>
      <c r="I22" s="18">
        <f t="shared" si="4"/>
        <v>453.88289042391261</v>
      </c>
      <c r="J22" s="18">
        <f t="shared" si="4"/>
        <v>365.70960133148037</v>
      </c>
      <c r="K22" s="18">
        <f t="shared" si="4"/>
        <v>-388.69947673906154</v>
      </c>
      <c r="L22" s="32"/>
      <c r="M22" s="39"/>
    </row>
    <row r="23" spans="1:13">
      <c r="A23" s="15" t="s">
        <v>219</v>
      </c>
      <c r="B23" s="17">
        <f t="shared" ref="B23:K23" si="5">B21+B22</f>
        <v>1758</v>
      </c>
      <c r="C23" s="17">
        <f t="shared" si="5"/>
        <v>864</v>
      </c>
      <c r="D23" s="17">
        <f t="shared" si="5"/>
        <v>7364</v>
      </c>
      <c r="E23" s="17">
        <f t="shared" si="5"/>
        <v>247</v>
      </c>
      <c r="F23" s="17">
        <f t="shared" si="5"/>
        <v>170.70050759926835</v>
      </c>
      <c r="G23" s="17">
        <f t="shared" si="5"/>
        <v>762.64350176286825</v>
      </c>
      <c r="H23" s="17">
        <f t="shared" si="5"/>
        <v>978.30978250657063</v>
      </c>
      <c r="I23" s="17">
        <f t="shared" si="5"/>
        <v>1432.1926729304832</v>
      </c>
      <c r="J23" s="17">
        <f t="shared" si="5"/>
        <v>1797.9022742619636</v>
      </c>
      <c r="K23" s="17">
        <f t="shared" si="5"/>
        <v>1409.2027975229021</v>
      </c>
      <c r="L23" s="32"/>
      <c r="M23" s="39"/>
    </row>
    <row r="24" spans="1:13">
      <c r="L24" s="32"/>
      <c r="M24" s="39"/>
    </row>
  </sheetData>
  <mergeCells count="1">
    <mergeCell ref="B1:K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258C67AEC5724FA490BC3CBBAE1409" ma:contentTypeVersion="0" ma:contentTypeDescription="Create a new document." ma:contentTypeScope="" ma:versionID="44491dafe0943499699e6f3791411bb3">
  <xsd:schema xmlns:xsd="http://www.w3.org/2001/XMLSchema" xmlns:p="http://schemas.microsoft.com/office/2006/metadata/properties" targetNamespace="http://schemas.microsoft.com/office/2006/metadata/properties" ma:root="true" ma:fieldsID="84d24c2467e79a5b957f305a830827c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CE8A011-28B4-4B31-982F-81E6EEB2BED6}">
  <ds:schemaRefs>
    <ds:schemaRef ds:uri="http://schemas.microsoft.com/sharepoint/v3/contenttype/forms"/>
  </ds:schemaRefs>
</ds:datastoreItem>
</file>

<file path=customXml/itemProps2.xml><?xml version="1.0" encoding="utf-8"?>
<ds:datastoreItem xmlns:ds="http://schemas.openxmlformats.org/officeDocument/2006/customXml" ds:itemID="{0E62A599-ECD1-4A87-86BE-974A01636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5CFBCE-873F-4235-A30E-D72BA47B2DD3}">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Assumptions</vt:lpstr>
      <vt:lpstr>Inputs</vt:lpstr>
      <vt:lpstr>Calc1</vt:lpstr>
      <vt:lpstr>Calc2</vt:lpstr>
      <vt:lpstr>Acct depreciation</vt:lpstr>
      <vt:lpstr>RAB&amp;Return</vt:lpstr>
      <vt:lpstr>Bt</vt:lpstr>
      <vt:lpstr>P&amp;L</vt:lpstr>
      <vt:lpstr>Cash flow</vt:lpstr>
      <vt:lpstr>Balance sheet</vt:lpstr>
      <vt:lpstr>Ratios</vt:lpstr>
      <vt:lpstr>Years</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Shiels</dc:creator>
  <cp:lastModifiedBy>Karen Shiels</cp:lastModifiedBy>
  <cp:lastPrinted>2014-10-21T16:38:18Z</cp:lastPrinted>
  <dcterms:created xsi:type="dcterms:W3CDTF">2014-03-04T14:42:39Z</dcterms:created>
  <dcterms:modified xsi:type="dcterms:W3CDTF">2015-12-04T17:08:11Z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0x010100AD258C67AEC5724FA490BC3CBBAE1409</vt:lpwstr>
  </property>
</Properties>
</file>