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worksheets/sheet10.xml" ContentType="application/vnd.openxmlformats-officedocument.spreadsheetml.worksheet+xml"/>
  <Override PartName="/xl/chartsheets/sheet4.xml" ContentType="application/vnd.openxmlformats-officedocument.spreadsheetml.chart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9.xml" ContentType="application/vnd.openxmlformats-officedocument.drawingml.chartshapes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nielM\Desktop\NIE\Secondment\Reliability incentive\"/>
    </mc:Choice>
  </mc:AlternateContent>
  <bookViews>
    <workbookView xWindow="0" yWindow="0" windowWidth="19200" windowHeight="7310" firstSheet="7" activeTab="7"/>
  </bookViews>
  <sheets>
    <sheet name="Cover" sheetId="12" r:id="rId1"/>
    <sheet name="Inputs &gt;&gt;" sheetId="10" r:id="rId2"/>
    <sheet name="GB" sheetId="1" r:id="rId3"/>
    <sheet name="NIE Networks" sheetId="3" r:id="rId4"/>
    <sheet name="VOLL" sheetId="20" r:id="rId5"/>
    <sheet name="Analysis &gt;&gt;" sheetId="11" r:id="rId6"/>
    <sheet name="CML analysis 1" sheetId="4" r:id="rId7"/>
    <sheet name="CML analysis 2" sheetId="5" r:id="rId8"/>
    <sheet name="Charts for FD &gt;&gt;" sheetId="9" r:id="rId9"/>
    <sheet name="Unplanned CML" sheetId="6" r:id="rId10"/>
    <sheet name="Planned CML" sheetId="7" r:id="rId11"/>
    <sheet name="Combined CML " sheetId="8" r:id="rId12"/>
    <sheet name="Sensitivity Analysis" sheetId="21" r:id="rId13"/>
    <sheet name="Sensitivity Chart" sheetId="22" r:id="rId14"/>
    <sheet name="RI Allowance &gt;&gt;" sheetId="23" r:id="rId15"/>
    <sheet name="Summary" sheetId="25" r:id="rId16"/>
    <sheet name="RI Allowance Calculations" sheetId="24" r:id="rId17"/>
  </sheets>
  <externalReferences>
    <externalReference r:id="rId18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5" l="1"/>
  <c r="M37" i="24" l="1"/>
  <c r="L37" i="24"/>
  <c r="K37" i="24"/>
  <c r="J37" i="24"/>
  <c r="I37" i="24"/>
  <c r="H37" i="24"/>
  <c r="M33" i="24"/>
  <c r="L33" i="24"/>
  <c r="K33" i="24"/>
  <c r="J33" i="24"/>
  <c r="I33" i="24"/>
  <c r="H33" i="24"/>
  <c r="M32" i="24"/>
  <c r="L32" i="24"/>
  <c r="K32" i="24"/>
  <c r="J32" i="24"/>
  <c r="I32" i="24"/>
  <c r="H32" i="24"/>
  <c r="M31" i="24"/>
  <c r="L31" i="24"/>
  <c r="K31" i="24"/>
  <c r="J31" i="24"/>
  <c r="I31" i="24"/>
  <c r="H31" i="24"/>
  <c r="M30" i="24"/>
  <c r="L30" i="24"/>
  <c r="K30" i="24"/>
  <c r="J30" i="24"/>
  <c r="I30" i="24"/>
  <c r="H30" i="24"/>
  <c r="M29" i="24"/>
  <c r="L29" i="24"/>
  <c r="K29" i="24"/>
  <c r="J29" i="24"/>
  <c r="I29" i="24"/>
  <c r="H29" i="24"/>
  <c r="M28" i="24"/>
  <c r="L28" i="24"/>
  <c r="K28" i="24"/>
  <c r="J28" i="24"/>
  <c r="I28" i="24"/>
  <c r="H28" i="24"/>
  <c r="M25" i="24"/>
  <c r="L25" i="24"/>
  <c r="K25" i="24"/>
  <c r="J25" i="24"/>
  <c r="I25" i="24"/>
  <c r="H25" i="24"/>
  <c r="M24" i="24"/>
  <c r="L24" i="24"/>
  <c r="K24" i="24"/>
  <c r="J24" i="24"/>
  <c r="I24" i="24"/>
  <c r="H24" i="24"/>
  <c r="M22" i="24"/>
  <c r="L22" i="24"/>
  <c r="K22" i="24"/>
  <c r="J22" i="24"/>
  <c r="I22" i="24"/>
  <c r="H22" i="24"/>
  <c r="M21" i="24"/>
  <c r="L21" i="24"/>
  <c r="K21" i="24"/>
  <c r="J21" i="24"/>
  <c r="I21" i="24"/>
  <c r="H21" i="24"/>
  <c r="M23" i="24"/>
  <c r="L23" i="24"/>
  <c r="K23" i="24"/>
  <c r="J23" i="24"/>
  <c r="I23" i="24"/>
  <c r="H23" i="24"/>
  <c r="M20" i="24"/>
  <c r="L20" i="24"/>
  <c r="K20" i="24"/>
  <c r="J20" i="24"/>
  <c r="I20" i="24"/>
  <c r="H20" i="24"/>
  <c r="M36" i="24"/>
  <c r="L36" i="24"/>
  <c r="K36" i="24"/>
  <c r="J36" i="24"/>
  <c r="I36" i="24"/>
  <c r="H36" i="24"/>
  <c r="M35" i="24"/>
  <c r="L35" i="24"/>
  <c r="K35" i="24"/>
  <c r="J35" i="24"/>
  <c r="I35" i="24"/>
  <c r="H35" i="24"/>
  <c r="E24" i="24"/>
  <c r="U17" i="24"/>
  <c r="E23" i="24"/>
  <c r="L27" i="24"/>
  <c r="E22" i="24"/>
  <c r="E21" i="24"/>
  <c r="R17" i="24"/>
  <c r="E20" i="24"/>
  <c r="E19" i="24"/>
  <c r="E17" i="24"/>
  <c r="U10" i="24" s="1"/>
  <c r="E16" i="24"/>
  <c r="T10" i="24" s="1"/>
  <c r="E15" i="24"/>
  <c r="K19" i="24" s="1"/>
  <c r="E14" i="24"/>
  <c r="J19" i="24" s="1"/>
  <c r="E13" i="24"/>
  <c r="Q10" i="24" s="1"/>
  <c r="E12" i="24"/>
  <c r="P10" i="24" s="1"/>
  <c r="E44" i="24"/>
  <c r="E43" i="24"/>
  <c r="G36" i="24"/>
  <c r="G35" i="24"/>
  <c r="K27" i="24"/>
  <c r="I27" i="24"/>
  <c r="H27" i="24"/>
  <c r="O18" i="24"/>
  <c r="T17" i="24"/>
  <c r="S17" i="24"/>
  <c r="Q17" i="24"/>
  <c r="P17" i="24"/>
  <c r="O11" i="24"/>
  <c r="R10" i="24"/>
  <c r="M27" i="24" l="1"/>
  <c r="J27" i="24"/>
  <c r="L19" i="24"/>
  <c r="M19" i="24"/>
  <c r="S10" i="24"/>
  <c r="I19" i="24"/>
  <c r="H19" i="24"/>
  <c r="AG34" i="4" l="1"/>
  <c r="AF34" i="4"/>
  <c r="AE34" i="4"/>
  <c r="AD34" i="4"/>
  <c r="AC34" i="4"/>
  <c r="AB34" i="4"/>
  <c r="AA34" i="4"/>
  <c r="AG33" i="4"/>
  <c r="AF33" i="4"/>
  <c r="AE33" i="4"/>
  <c r="AD33" i="4"/>
  <c r="AC33" i="4"/>
  <c r="AB33" i="4"/>
  <c r="AA33" i="4"/>
  <c r="AG32" i="4"/>
  <c r="AF32" i="4"/>
  <c r="AE32" i="4"/>
  <c r="AD32" i="4"/>
  <c r="AC32" i="4"/>
  <c r="AB32" i="4"/>
  <c r="AA32" i="4"/>
  <c r="AG31" i="4"/>
  <c r="AF31" i="4"/>
  <c r="AE31" i="4"/>
  <c r="AD31" i="4"/>
  <c r="AC31" i="4"/>
  <c r="AB31" i="4"/>
  <c r="AA31" i="4"/>
  <c r="AG30" i="4"/>
  <c r="AF30" i="4"/>
  <c r="AE30" i="4"/>
  <c r="AD30" i="4"/>
  <c r="AC30" i="4"/>
  <c r="AB30" i="4"/>
  <c r="AA30" i="4"/>
  <c r="AG29" i="4"/>
  <c r="AF29" i="4"/>
  <c r="AE29" i="4"/>
  <c r="AD29" i="4"/>
  <c r="AC29" i="4"/>
  <c r="AB29" i="4"/>
  <c r="AA29" i="4"/>
  <c r="AG28" i="4"/>
  <c r="AF28" i="4"/>
  <c r="AE28" i="4"/>
  <c r="AD28" i="4"/>
  <c r="AC28" i="4"/>
  <c r="AB28" i="4"/>
  <c r="AA28" i="4"/>
  <c r="AG27" i="4"/>
  <c r="AF27" i="4"/>
  <c r="AE27" i="4"/>
  <c r="AD27" i="4"/>
  <c r="AC27" i="4"/>
  <c r="AB27" i="4"/>
  <c r="AA27" i="4"/>
  <c r="AG26" i="4"/>
  <c r="AF26" i="4"/>
  <c r="AE26" i="4"/>
  <c r="AD26" i="4"/>
  <c r="AC26" i="4"/>
  <c r="AB26" i="4"/>
  <c r="AA26" i="4"/>
  <c r="AG25" i="4"/>
  <c r="AF25" i="4"/>
  <c r="AE25" i="4"/>
  <c r="AD25" i="4"/>
  <c r="AC25" i="4"/>
  <c r="AB25" i="4"/>
  <c r="AA25" i="4"/>
  <c r="AG24" i="4"/>
  <c r="AF24" i="4"/>
  <c r="AE24" i="4"/>
  <c r="AD24" i="4"/>
  <c r="AC24" i="4"/>
  <c r="AB24" i="4"/>
  <c r="AA24" i="4"/>
  <c r="AG23" i="4"/>
  <c r="AF23" i="4"/>
  <c r="AE23" i="4"/>
  <c r="AD23" i="4"/>
  <c r="AC23" i="4"/>
  <c r="AB23" i="4"/>
  <c r="AA23" i="4"/>
  <c r="AG22" i="4"/>
  <c r="AF22" i="4"/>
  <c r="AE22" i="4"/>
  <c r="AD22" i="4"/>
  <c r="AC22" i="4"/>
  <c r="AB22" i="4"/>
  <c r="AA22" i="4"/>
  <c r="AG21" i="4"/>
  <c r="AF21" i="4"/>
  <c r="AE21" i="4"/>
  <c r="AD21" i="4"/>
  <c r="AC21" i="4"/>
  <c r="AB21" i="4"/>
  <c r="AA21" i="4"/>
  <c r="AG20" i="4"/>
  <c r="AF20" i="4"/>
  <c r="AE20" i="4"/>
  <c r="AD20" i="4"/>
  <c r="AC20" i="4"/>
  <c r="AB20" i="4"/>
  <c r="AA20" i="4"/>
  <c r="AF17" i="4"/>
  <c r="AE17" i="4"/>
  <c r="AD17" i="4"/>
  <c r="AC17" i="4"/>
  <c r="AB17" i="4"/>
  <c r="AA17" i="4"/>
  <c r="AG16" i="4"/>
  <c r="AF16" i="4"/>
  <c r="AE16" i="4"/>
  <c r="AD16" i="4"/>
  <c r="AC16" i="4"/>
  <c r="AB16" i="4"/>
  <c r="AA16" i="4"/>
  <c r="AG15" i="4"/>
  <c r="AF15" i="4"/>
  <c r="AE15" i="4"/>
  <c r="AD15" i="4"/>
  <c r="AC15" i="4"/>
  <c r="AB15" i="4"/>
  <c r="AA15" i="4"/>
  <c r="AG14" i="4"/>
  <c r="AF14" i="4"/>
  <c r="AE14" i="4"/>
  <c r="AD14" i="4"/>
  <c r="AC14" i="4"/>
  <c r="AB14" i="4"/>
  <c r="AA14" i="4"/>
  <c r="AG13" i="4"/>
  <c r="AF13" i="4"/>
  <c r="AE13" i="4"/>
  <c r="AD13" i="4"/>
  <c r="AC13" i="4"/>
  <c r="AB13" i="4"/>
  <c r="AA13" i="4"/>
  <c r="AG12" i="4"/>
  <c r="AF12" i="4"/>
  <c r="AE12" i="4"/>
  <c r="AD12" i="4"/>
  <c r="AC12" i="4"/>
  <c r="AB12" i="4"/>
  <c r="AA12" i="4"/>
  <c r="AG11" i="4"/>
  <c r="AF11" i="4"/>
  <c r="AE11" i="4"/>
  <c r="AD11" i="4"/>
  <c r="AC11" i="4"/>
  <c r="AB11" i="4"/>
  <c r="AA11" i="4"/>
  <c r="AG10" i="4"/>
  <c r="AF10" i="4"/>
  <c r="AE10" i="4"/>
  <c r="AD10" i="4"/>
  <c r="AC10" i="4"/>
  <c r="AB10" i="4"/>
  <c r="AA10" i="4"/>
  <c r="AG9" i="4"/>
  <c r="AF9" i="4"/>
  <c r="AE9" i="4"/>
  <c r="AD9" i="4"/>
  <c r="AC9" i="4"/>
  <c r="AB9" i="4"/>
  <c r="AA9" i="4"/>
  <c r="AG8" i="4"/>
  <c r="AF8" i="4"/>
  <c r="AE8" i="4"/>
  <c r="AD8" i="4"/>
  <c r="AC8" i="4"/>
  <c r="AB8" i="4"/>
  <c r="AA8" i="4"/>
  <c r="AG7" i="4"/>
  <c r="AF7" i="4"/>
  <c r="AE7" i="4"/>
  <c r="AD7" i="4"/>
  <c r="AC7" i="4"/>
  <c r="AB7" i="4"/>
  <c r="AA7" i="4"/>
  <c r="AG6" i="4"/>
  <c r="AF6" i="4"/>
  <c r="AE6" i="4"/>
  <c r="AD6" i="4"/>
  <c r="AC6" i="4"/>
  <c r="AB6" i="4"/>
  <c r="AA6" i="4"/>
  <c r="AG5" i="4"/>
  <c r="AF5" i="4"/>
  <c r="AE5" i="4"/>
  <c r="AD5" i="4"/>
  <c r="AC5" i="4"/>
  <c r="AB5" i="4"/>
  <c r="AA5" i="4"/>
  <c r="AG4" i="4"/>
  <c r="AF4" i="4"/>
  <c r="AE4" i="4"/>
  <c r="AD4" i="4"/>
  <c r="AC4" i="4"/>
  <c r="AB4" i="4"/>
  <c r="AA4" i="4"/>
  <c r="AG3" i="4"/>
  <c r="AF3" i="4"/>
  <c r="AE3" i="4"/>
  <c r="AD3" i="4"/>
  <c r="AC3" i="4"/>
  <c r="AB3" i="4"/>
  <c r="AA3" i="4"/>
  <c r="X8" i="3" l="1"/>
  <c r="X7" i="3"/>
  <c r="P13" i="3"/>
  <c r="P5" i="3"/>
  <c r="X18" i="3"/>
  <c r="X16" i="3"/>
  <c r="X15" i="3"/>
  <c r="X14" i="3"/>
  <c r="X12" i="3"/>
  <c r="X11" i="3"/>
  <c r="X10" i="3"/>
  <c r="X6" i="3"/>
  <c r="X19" i="3" l="1"/>
  <c r="AI68" i="4"/>
  <c r="V78" i="4" l="1"/>
  <c r="X78" i="4"/>
  <c r="Y78" i="4"/>
  <c r="W78" i="4"/>
  <c r="Z78" i="4"/>
  <c r="AA78" i="4"/>
  <c r="O10" i="5" l="1"/>
  <c r="E42" i="24" s="1"/>
  <c r="O1" i="5"/>
  <c r="J9" i="5" s="1"/>
  <c r="X9" i="20" l="1"/>
  <c r="J6" i="20" s="1"/>
  <c r="H33" i="20"/>
  <c r="M26" i="20"/>
  <c r="M17" i="20"/>
  <c r="M16" i="20"/>
  <c r="G4" i="20"/>
  <c r="G5" i="20" s="1"/>
  <c r="F4" i="20"/>
  <c r="F5" i="20" s="1"/>
  <c r="F6" i="20" s="1"/>
  <c r="F7" i="20" s="1"/>
  <c r="F8" i="20" s="1"/>
  <c r="F9" i="20" s="1"/>
  <c r="F10" i="20" s="1"/>
  <c r="F11" i="20" s="1"/>
  <c r="F12" i="20" s="1"/>
  <c r="F13" i="20" s="1"/>
  <c r="F14" i="20" s="1"/>
  <c r="F15" i="20" s="1"/>
  <c r="F16" i="20" s="1"/>
  <c r="F17" i="20" s="1"/>
  <c r="F18" i="20" s="1"/>
  <c r="F19" i="20" s="1"/>
  <c r="F20" i="20" s="1"/>
  <c r="F21" i="20" s="1"/>
  <c r="F22" i="20" s="1"/>
  <c r="F23" i="20" s="1"/>
  <c r="F24" i="20" s="1"/>
  <c r="F25" i="20" s="1"/>
  <c r="F26" i="20" s="1"/>
  <c r="F27" i="20" s="1"/>
  <c r="F28" i="20" s="1"/>
  <c r="F29" i="20" s="1"/>
  <c r="F30" i="20" s="1"/>
  <c r="F31" i="20" s="1"/>
  <c r="F32" i="20" s="1"/>
  <c r="D4" i="20"/>
  <c r="D5" i="20" s="1"/>
  <c r="C4" i="20"/>
  <c r="C5" i="20" s="1"/>
  <c r="C6" i="20" s="1"/>
  <c r="C7" i="20" s="1"/>
  <c r="C8" i="20" s="1"/>
  <c r="C9" i="20" s="1"/>
  <c r="C10" i="20" s="1"/>
  <c r="C11" i="20" s="1"/>
  <c r="C12" i="20" s="1"/>
  <c r="C13" i="20" s="1"/>
  <c r="C14" i="20" s="1"/>
  <c r="C15" i="20" s="1"/>
  <c r="C16" i="20" s="1"/>
  <c r="C17" i="20" s="1"/>
  <c r="C18" i="20" s="1"/>
  <c r="C19" i="20" s="1"/>
  <c r="C20" i="20" s="1"/>
  <c r="C21" i="20" s="1"/>
  <c r="C22" i="20" s="1"/>
  <c r="C23" i="20" s="1"/>
  <c r="C24" i="20" s="1"/>
  <c r="C25" i="20" s="1"/>
  <c r="C26" i="20" s="1"/>
  <c r="C27" i="20" s="1"/>
  <c r="C28" i="20" s="1"/>
  <c r="C29" i="20" s="1"/>
  <c r="C30" i="20" s="1"/>
  <c r="C31" i="20" s="1"/>
  <c r="C32" i="20" s="1"/>
  <c r="C33" i="20" s="1"/>
  <c r="C34" i="20" s="1"/>
  <c r="C35" i="20" s="1"/>
  <c r="C36" i="20" s="1"/>
  <c r="C37" i="20" s="1"/>
  <c r="C38" i="20" s="1"/>
  <c r="C39" i="20" s="1"/>
  <c r="C40" i="20" s="1"/>
  <c r="C41" i="20" s="1"/>
  <c r="C42" i="20" s="1"/>
  <c r="C43" i="20" s="1"/>
  <c r="C44" i="20" s="1"/>
  <c r="C45" i="20" s="1"/>
  <c r="C46" i="20" s="1"/>
  <c r="C47" i="20" s="1"/>
  <c r="C48" i="20" s="1"/>
  <c r="C49" i="20" s="1"/>
  <c r="C50" i="20" s="1"/>
  <c r="C51" i="20" s="1"/>
  <c r="C52" i="20" s="1"/>
  <c r="C53" i="20" s="1"/>
  <c r="C54" i="20" s="1"/>
  <c r="C55" i="20" s="1"/>
  <c r="C56" i="20" s="1"/>
  <c r="C57" i="20" s="1"/>
  <c r="C58" i="20" s="1"/>
  <c r="C59" i="20" s="1"/>
  <c r="C60" i="20" s="1"/>
  <c r="C61" i="20" s="1"/>
  <c r="C62" i="20" s="1"/>
  <c r="C63" i="20" s="1"/>
  <c r="C64" i="20" s="1"/>
  <c r="C65" i="20" s="1"/>
  <c r="C66" i="20" s="1"/>
  <c r="C67" i="20" s="1"/>
  <c r="C68" i="20" s="1"/>
  <c r="C69" i="20" s="1"/>
  <c r="C70" i="20" s="1"/>
  <c r="C71" i="20" s="1"/>
  <c r="C72" i="20" s="1"/>
  <c r="C73" i="20" s="1"/>
  <c r="C74" i="20" s="1"/>
  <c r="C75" i="20" s="1"/>
  <c r="C76" i="20" s="1"/>
  <c r="C77" i="20" s="1"/>
  <c r="C78" i="20" s="1"/>
  <c r="C79" i="20" s="1"/>
  <c r="C80" i="20" s="1"/>
  <c r="C81" i="20" s="1"/>
  <c r="C82" i="20" s="1"/>
  <c r="C83" i="20" s="1"/>
  <c r="C84" i="20" s="1"/>
  <c r="C85" i="20" s="1"/>
  <c r="C86" i="20" s="1"/>
  <c r="C87" i="20" s="1"/>
  <c r="C88" i="20" s="1"/>
  <c r="C89" i="20" s="1"/>
  <c r="C90" i="20" s="1"/>
  <c r="C91" i="20" s="1"/>
  <c r="C92" i="20" s="1"/>
  <c r="C93" i="20" s="1"/>
  <c r="C94" i="20" s="1"/>
  <c r="C95" i="20" s="1"/>
  <c r="C96" i="20" s="1"/>
  <c r="C97" i="20" s="1"/>
  <c r="C98" i="20" s="1"/>
  <c r="C99" i="20" s="1"/>
  <c r="C100" i="20" s="1"/>
  <c r="C101" i="20" s="1"/>
  <c r="C102" i="20" s="1"/>
  <c r="C103" i="20" s="1"/>
  <c r="C104" i="20" s="1"/>
  <c r="C105" i="20" s="1"/>
  <c r="C106" i="20" s="1"/>
  <c r="C107" i="20" s="1"/>
  <c r="C108" i="20" s="1"/>
  <c r="C109" i="20" s="1"/>
  <c r="C110" i="20" s="1"/>
  <c r="C111" i="20" s="1"/>
  <c r="C112" i="20" s="1"/>
  <c r="C113" i="20" s="1"/>
  <c r="C114" i="20" s="1"/>
  <c r="C115" i="20" s="1"/>
  <c r="C116" i="20" s="1"/>
  <c r="C117" i="20" s="1"/>
  <c r="C118" i="20" s="1"/>
  <c r="C119" i="20" s="1"/>
  <c r="C120" i="20" s="1"/>
  <c r="C121" i="20" s="1"/>
  <c r="C122" i="20" s="1"/>
  <c r="C123" i="20" s="1"/>
  <c r="C124" i="20" s="1"/>
  <c r="C125" i="20" s="1"/>
  <c r="C126" i="20" s="1"/>
  <c r="C127" i="20" s="1"/>
  <c r="C128" i="20" s="1"/>
  <c r="C129" i="20" s="1"/>
  <c r="C130" i="20" s="1"/>
  <c r="C131" i="20" s="1"/>
  <c r="C132" i="20" s="1"/>
  <c r="C133" i="20" s="1"/>
  <c r="C134" i="20" s="1"/>
  <c r="C135" i="20" s="1"/>
  <c r="C136" i="20" s="1"/>
  <c r="C137" i="20" s="1"/>
  <c r="C138" i="20" s="1"/>
  <c r="C139" i="20" s="1"/>
  <c r="C140" i="20" s="1"/>
  <c r="C141" i="20" s="1"/>
  <c r="C142" i="20" s="1"/>
  <c r="C143" i="20" s="1"/>
  <c r="C144" i="20" s="1"/>
  <c r="C145" i="20" s="1"/>
  <c r="C146" i="20" s="1"/>
  <c r="C147" i="20" s="1"/>
  <c r="C148" i="20" s="1"/>
  <c r="C149" i="20" s="1"/>
  <c r="C150" i="20" s="1"/>
  <c r="C151" i="20" s="1"/>
  <c r="C152" i="20" s="1"/>
  <c r="C153" i="20" s="1"/>
  <c r="C154" i="20" s="1"/>
  <c r="C155" i="20" s="1"/>
  <c r="C156" i="20" s="1"/>
  <c r="C157" i="20" s="1"/>
  <c r="C158" i="20" s="1"/>
  <c r="C159" i="20" s="1"/>
  <c r="C160" i="20" s="1"/>
  <c r="C161" i="20" s="1"/>
  <c r="C162" i="20" s="1"/>
  <c r="C163" i="20" s="1"/>
  <c r="C164" i="20" s="1"/>
  <c r="C165" i="20" s="1"/>
  <c r="C166" i="20" s="1"/>
  <c r="C167" i="20" s="1"/>
  <c r="C168" i="20" s="1"/>
  <c r="C169" i="20" s="1"/>
  <c r="C170" i="20" s="1"/>
  <c r="C171" i="20" s="1"/>
  <c r="C172" i="20" s="1"/>
  <c r="C173" i="20" s="1"/>
  <c r="C174" i="20" s="1"/>
  <c r="C175" i="20" s="1"/>
  <c r="C176" i="20" s="1"/>
  <c r="C177" i="20" s="1"/>
  <c r="C178" i="20" s="1"/>
  <c r="C179" i="20" s="1"/>
  <c r="C180" i="20" s="1"/>
  <c r="C181" i="20" s="1"/>
  <c r="C182" i="20" s="1"/>
  <c r="C183" i="20" s="1"/>
  <c r="C184" i="20" s="1"/>
  <c r="C185" i="20" s="1"/>
  <c r="C186" i="20" s="1"/>
  <c r="C187" i="20" s="1"/>
  <c r="C188" i="20" s="1"/>
  <c r="C189" i="20" s="1"/>
  <c r="C190" i="20" s="1"/>
  <c r="C191" i="20" s="1"/>
  <c r="C192" i="20" s="1"/>
  <c r="C193" i="20" s="1"/>
  <c r="C194" i="20" s="1"/>
  <c r="C195" i="20" s="1"/>
  <c r="C196" i="20" s="1"/>
  <c r="C197" i="20" s="1"/>
  <c r="C198" i="20" s="1"/>
  <c r="C199" i="20" s="1"/>
  <c r="C200" i="20" s="1"/>
  <c r="C201" i="20" s="1"/>
  <c r="C202" i="20" s="1"/>
  <c r="C203" i="20" s="1"/>
  <c r="C204" i="20" s="1"/>
  <c r="C205" i="20" s="1"/>
  <c r="C206" i="20" s="1"/>
  <c r="C207" i="20" s="1"/>
  <c r="C208" i="20" s="1"/>
  <c r="C209" i="20" s="1"/>
  <c r="C210" i="20" s="1"/>
  <c r="C211" i="20" s="1"/>
  <c r="C212" i="20" s="1"/>
  <c r="C213" i="20" s="1"/>
  <c r="C214" i="20" s="1"/>
  <c r="C215" i="20" s="1"/>
  <c r="C216" i="20" s="1"/>
  <c r="C217" i="20" s="1"/>
  <c r="C218" i="20" s="1"/>
  <c r="C219" i="20" s="1"/>
  <c r="C220" i="20" s="1"/>
  <c r="C221" i="20" s="1"/>
  <c r="C222" i="20" s="1"/>
  <c r="C223" i="20" s="1"/>
  <c r="C224" i="20" s="1"/>
  <c r="C225" i="20" s="1"/>
  <c r="C226" i="20" s="1"/>
  <c r="C227" i="20" s="1"/>
  <c r="C228" i="20" s="1"/>
  <c r="C229" i="20" s="1"/>
  <c r="C230" i="20" s="1"/>
  <c r="C231" i="20" s="1"/>
  <c r="C232" i="20" s="1"/>
  <c r="C233" i="20" s="1"/>
  <c r="C234" i="20" s="1"/>
  <c r="C235" i="20" s="1"/>
  <c r="C236" i="20" s="1"/>
  <c r="C237" i="20" s="1"/>
  <c r="C238" i="20" s="1"/>
  <c r="C239" i="20" s="1"/>
  <c r="C240" i="20" s="1"/>
  <c r="C241" i="20" s="1"/>
  <c r="C242" i="20" s="1"/>
  <c r="C243" i="20" s="1"/>
  <c r="C244" i="20" s="1"/>
  <c r="C245" i="20" s="1"/>
  <c r="C246" i="20" s="1"/>
  <c r="C247" i="20" s="1"/>
  <c r="C248" i="20" s="1"/>
  <c r="C249" i="20" s="1"/>
  <c r="C250" i="20" s="1"/>
  <c r="C251" i="20" s="1"/>
  <c r="C252" i="20" s="1"/>
  <c r="C253" i="20" s="1"/>
  <c r="C254" i="20" s="1"/>
  <c r="C255" i="20" s="1"/>
  <c r="C256" i="20" s="1"/>
  <c r="C257" i="20" s="1"/>
  <c r="C258" i="20" s="1"/>
  <c r="C259" i="20" s="1"/>
  <c r="C260" i="20" s="1"/>
  <c r="C261" i="20" s="1"/>
  <c r="C262" i="20" s="1"/>
  <c r="C263" i="20" s="1"/>
  <c r="C264" i="20" s="1"/>
  <c r="C265" i="20" s="1"/>
  <c r="C266" i="20" s="1"/>
  <c r="C267" i="20" s="1"/>
  <c r="C268" i="20" s="1"/>
  <c r="C269" i="20" s="1"/>
  <c r="C270" i="20" s="1"/>
  <c r="C271" i="20" s="1"/>
  <c r="C272" i="20" s="1"/>
  <c r="C273" i="20" s="1"/>
  <c r="C274" i="20" s="1"/>
  <c r="C275" i="20" s="1"/>
  <c r="C276" i="20" s="1"/>
  <c r="C277" i="20" s="1"/>
  <c r="C278" i="20" s="1"/>
  <c r="C279" i="20" s="1"/>
  <c r="C280" i="20" s="1"/>
  <c r="C281" i="20" s="1"/>
  <c r="C282" i="20" s="1"/>
  <c r="C283" i="20" s="1"/>
  <c r="C284" i="20" s="1"/>
  <c r="C285" i="20" s="1"/>
  <c r="C286" i="20" s="1"/>
  <c r="C287" i="20" s="1"/>
  <c r="C288" i="20" s="1"/>
  <c r="C289" i="20" s="1"/>
  <c r="C290" i="20" s="1"/>
  <c r="C291" i="20" s="1"/>
  <c r="C292" i="20" s="1"/>
  <c r="C293" i="20" s="1"/>
  <c r="C294" i="20" s="1"/>
  <c r="C295" i="20" s="1"/>
  <c r="C296" i="20" s="1"/>
  <c r="C297" i="20" s="1"/>
  <c r="C298" i="20" s="1"/>
  <c r="C299" i="20" s="1"/>
  <c r="C300" i="20" s="1"/>
  <c r="C301" i="20" s="1"/>
  <c r="C302" i="20" s="1"/>
  <c r="C303" i="20" s="1"/>
  <c r="C304" i="20" s="1"/>
  <c r="C305" i="20" s="1"/>
  <c r="C306" i="20" s="1"/>
  <c r="C307" i="20" s="1"/>
  <c r="C308" i="20" s="1"/>
  <c r="C309" i="20" s="1"/>
  <c r="C310" i="20" s="1"/>
  <c r="C311" i="20" s="1"/>
  <c r="C312" i="20" s="1"/>
  <c r="C313" i="20" s="1"/>
  <c r="C314" i="20" s="1"/>
  <c r="C315" i="20" s="1"/>
  <c r="C316" i="20" s="1"/>
  <c r="C317" i="20" s="1"/>
  <c r="C318" i="20" s="1"/>
  <c r="C319" i="20" s="1"/>
  <c r="C320" i="20" s="1"/>
  <c r="C321" i="20" s="1"/>
  <c r="C322" i="20" s="1"/>
  <c r="C323" i="20" s="1"/>
  <c r="C324" i="20" s="1"/>
  <c r="C325" i="20" s="1"/>
  <c r="C326" i="20" s="1"/>
  <c r="C327" i="20" s="1"/>
  <c r="C328" i="20" s="1"/>
  <c r="C329" i="20" s="1"/>
  <c r="C330" i="20" s="1"/>
  <c r="C331" i="20" s="1"/>
  <c r="C332" i="20" s="1"/>
  <c r="C333" i="20" s="1"/>
  <c r="C334" i="20" s="1"/>
  <c r="C335" i="20" s="1"/>
  <c r="C336" i="20" s="1"/>
  <c r="C337" i="20" s="1"/>
  <c r="C338" i="20" s="1"/>
  <c r="C339" i="20" s="1"/>
  <c r="C340" i="20" s="1"/>
  <c r="C341" i="20" s="1"/>
  <c r="C342" i="20" s="1"/>
  <c r="C343" i="20" s="1"/>
  <c r="C344" i="20" s="1"/>
  <c r="C345" i="20" s="1"/>
  <c r="C346" i="20" s="1"/>
  <c r="C347" i="20" s="1"/>
  <c r="C348" i="20" s="1"/>
  <c r="C349" i="20" s="1"/>
  <c r="C350" i="20" s="1"/>
  <c r="C351" i="20" s="1"/>
  <c r="C352" i="20" s="1"/>
  <c r="C353" i="20" s="1"/>
  <c r="C354" i="20" s="1"/>
  <c r="C355" i="20" s="1"/>
  <c r="C356" i="20" s="1"/>
  <c r="C357" i="20" s="1"/>
  <c r="C358" i="20" s="1"/>
  <c r="C359" i="20" s="1"/>
  <c r="C360" i="20" s="1"/>
  <c r="C361" i="20" s="1"/>
  <c r="C362" i="20" s="1"/>
  <c r="C363" i="20" s="1"/>
  <c r="C364" i="20" s="1"/>
  <c r="C365" i="20" s="1"/>
  <c r="M18" i="20" l="1"/>
  <c r="J20" i="20" s="1"/>
  <c r="O3" i="5" s="1"/>
  <c r="G6" i="20"/>
  <c r="D6" i="20"/>
  <c r="D7" i="20" s="1"/>
  <c r="D8" i="20" s="1"/>
  <c r="D9" i="20" s="1"/>
  <c r="D10" i="20" s="1"/>
  <c r="D11" i="20" s="1"/>
  <c r="D12" i="20" s="1"/>
  <c r="D13" i="20" s="1"/>
  <c r="D14" i="20" s="1"/>
  <c r="D15" i="20" s="1"/>
  <c r="D16" i="20" s="1"/>
  <c r="D17" i="20" s="1"/>
  <c r="D18" i="20" s="1"/>
  <c r="D19" i="20" s="1"/>
  <c r="D20" i="20" s="1"/>
  <c r="D21" i="20" s="1"/>
  <c r="D22" i="20" s="1"/>
  <c r="D23" i="20" s="1"/>
  <c r="D24" i="20" s="1"/>
  <c r="D25" i="20" s="1"/>
  <c r="D26" i="20" s="1"/>
  <c r="D27" i="20" s="1"/>
  <c r="D28" i="20" s="1"/>
  <c r="D29" i="20" s="1"/>
  <c r="D30" i="20" s="1"/>
  <c r="D31" i="20" s="1"/>
  <c r="D32" i="20" s="1"/>
  <c r="D33" i="20" s="1"/>
  <c r="D34" i="20" s="1"/>
  <c r="D35" i="20" s="1"/>
  <c r="D36" i="20" s="1"/>
  <c r="D37" i="20" s="1"/>
  <c r="D38" i="20" s="1"/>
  <c r="D39" i="20" s="1"/>
  <c r="D40" i="20" s="1"/>
  <c r="D41" i="20" s="1"/>
  <c r="D42" i="20" s="1"/>
  <c r="D43" i="20" s="1"/>
  <c r="D44" i="20" s="1"/>
  <c r="D45" i="20" s="1"/>
  <c r="D46" i="20" s="1"/>
  <c r="D47" i="20" s="1"/>
  <c r="D48" i="20" s="1"/>
  <c r="D49" i="20" s="1"/>
  <c r="D50" i="20" s="1"/>
  <c r="D51" i="20" s="1"/>
  <c r="D52" i="20" s="1"/>
  <c r="D53" i="20" s="1"/>
  <c r="D54" i="20" s="1"/>
  <c r="D55" i="20" s="1"/>
  <c r="D56" i="20" s="1"/>
  <c r="D57" i="20" s="1"/>
  <c r="D58" i="20" s="1"/>
  <c r="D59" i="20" s="1"/>
  <c r="D60" i="20" s="1"/>
  <c r="D61" i="20" s="1"/>
  <c r="D62" i="20" s="1"/>
  <c r="D63" i="20" s="1"/>
  <c r="D64" i="20" s="1"/>
  <c r="D65" i="20" s="1"/>
  <c r="D66" i="20" s="1"/>
  <c r="D67" i="20" s="1"/>
  <c r="D68" i="20" s="1"/>
  <c r="D69" i="20" s="1"/>
  <c r="D70" i="20" s="1"/>
  <c r="D71" i="20" s="1"/>
  <c r="D72" i="20" s="1"/>
  <c r="D73" i="20" s="1"/>
  <c r="D74" i="20" s="1"/>
  <c r="D75" i="20" s="1"/>
  <c r="D76" i="20" s="1"/>
  <c r="D77" i="20" s="1"/>
  <c r="D78" i="20" s="1"/>
  <c r="D79" i="20" s="1"/>
  <c r="D80" i="20" s="1"/>
  <c r="D81" i="20" s="1"/>
  <c r="D82" i="20" s="1"/>
  <c r="D83" i="20" s="1"/>
  <c r="D84" i="20" s="1"/>
  <c r="D85" i="20" s="1"/>
  <c r="D86" i="20" s="1"/>
  <c r="D87" i="20" s="1"/>
  <c r="D88" i="20" s="1"/>
  <c r="D89" i="20" s="1"/>
  <c r="D90" i="20" s="1"/>
  <c r="D91" i="20" s="1"/>
  <c r="D92" i="20" s="1"/>
  <c r="D93" i="20" s="1"/>
  <c r="D94" i="20" s="1"/>
  <c r="D95" i="20" s="1"/>
  <c r="D96" i="20" s="1"/>
  <c r="D97" i="20" s="1"/>
  <c r="D98" i="20" s="1"/>
  <c r="D99" i="20" s="1"/>
  <c r="D100" i="20" s="1"/>
  <c r="D101" i="20" s="1"/>
  <c r="D102" i="20" s="1"/>
  <c r="D103" i="20" s="1"/>
  <c r="D104" i="20" s="1"/>
  <c r="D105" i="20" s="1"/>
  <c r="D106" i="20" s="1"/>
  <c r="D107" i="20" s="1"/>
  <c r="D108" i="20" s="1"/>
  <c r="D109" i="20" s="1"/>
  <c r="D110" i="20" s="1"/>
  <c r="D111" i="20" s="1"/>
  <c r="D112" i="20" s="1"/>
  <c r="D113" i="20" s="1"/>
  <c r="D114" i="20" s="1"/>
  <c r="D115" i="20" s="1"/>
  <c r="D116" i="20" s="1"/>
  <c r="D117" i="20" s="1"/>
  <c r="D118" i="20" s="1"/>
  <c r="D119" i="20" s="1"/>
  <c r="D120" i="20" s="1"/>
  <c r="D121" i="20" s="1"/>
  <c r="D122" i="20" s="1"/>
  <c r="D123" i="20" s="1"/>
  <c r="D124" i="20" s="1"/>
  <c r="D125" i="20" s="1"/>
  <c r="D126" i="20" s="1"/>
  <c r="D127" i="20" s="1"/>
  <c r="D128" i="20" s="1"/>
  <c r="D129" i="20" s="1"/>
  <c r="D130" i="20" s="1"/>
  <c r="D131" i="20" s="1"/>
  <c r="D132" i="20" s="1"/>
  <c r="D133" i="20" s="1"/>
  <c r="D134" i="20" s="1"/>
  <c r="D135" i="20" s="1"/>
  <c r="D136" i="20" s="1"/>
  <c r="D137" i="20" s="1"/>
  <c r="D138" i="20" s="1"/>
  <c r="D139" i="20" s="1"/>
  <c r="D140" i="20" s="1"/>
  <c r="D141" i="20" s="1"/>
  <c r="D142" i="20" s="1"/>
  <c r="D143" i="20" s="1"/>
  <c r="D144" i="20" s="1"/>
  <c r="D145" i="20" s="1"/>
  <c r="D146" i="20" s="1"/>
  <c r="D147" i="20" s="1"/>
  <c r="D148" i="20" s="1"/>
  <c r="D149" i="20" s="1"/>
  <c r="D150" i="20" s="1"/>
  <c r="D151" i="20" s="1"/>
  <c r="D152" i="20" s="1"/>
  <c r="D153" i="20" s="1"/>
  <c r="D154" i="20" s="1"/>
  <c r="D155" i="20" s="1"/>
  <c r="D156" i="20" s="1"/>
  <c r="D157" i="20" s="1"/>
  <c r="D158" i="20" s="1"/>
  <c r="D159" i="20" s="1"/>
  <c r="D160" i="20" s="1"/>
  <c r="D161" i="20" s="1"/>
  <c r="D162" i="20" s="1"/>
  <c r="D163" i="20" s="1"/>
  <c r="D164" i="20" s="1"/>
  <c r="D165" i="20" s="1"/>
  <c r="D166" i="20" s="1"/>
  <c r="D167" i="20" s="1"/>
  <c r="D168" i="20" s="1"/>
  <c r="D169" i="20" s="1"/>
  <c r="D170" i="20" s="1"/>
  <c r="D171" i="20" s="1"/>
  <c r="D172" i="20" s="1"/>
  <c r="D173" i="20" s="1"/>
  <c r="D174" i="20" s="1"/>
  <c r="D175" i="20" s="1"/>
  <c r="D176" i="20" s="1"/>
  <c r="D177" i="20" s="1"/>
  <c r="D178" i="20" s="1"/>
  <c r="D179" i="20" s="1"/>
  <c r="D180" i="20" s="1"/>
  <c r="D181" i="20" s="1"/>
  <c r="D182" i="20" s="1"/>
  <c r="D183" i="20" s="1"/>
  <c r="D184" i="20" s="1"/>
  <c r="D185" i="20" s="1"/>
  <c r="D186" i="20" s="1"/>
  <c r="D187" i="20" s="1"/>
  <c r="D188" i="20" s="1"/>
  <c r="D189" i="20" s="1"/>
  <c r="D190" i="20" s="1"/>
  <c r="D191" i="20" s="1"/>
  <c r="D192" i="20" s="1"/>
  <c r="D193" i="20" s="1"/>
  <c r="D194" i="20" s="1"/>
  <c r="D195" i="20" s="1"/>
  <c r="D196" i="20" s="1"/>
  <c r="D197" i="20" s="1"/>
  <c r="D198" i="20" s="1"/>
  <c r="D199" i="20" s="1"/>
  <c r="D200" i="20" s="1"/>
  <c r="D201" i="20" s="1"/>
  <c r="D202" i="20" s="1"/>
  <c r="D203" i="20" s="1"/>
  <c r="D204" i="20" s="1"/>
  <c r="D205" i="20" s="1"/>
  <c r="D206" i="20" s="1"/>
  <c r="D207" i="20" s="1"/>
  <c r="D208" i="20" s="1"/>
  <c r="D209" i="20" s="1"/>
  <c r="D210" i="20" s="1"/>
  <c r="D211" i="20" s="1"/>
  <c r="D212" i="20" s="1"/>
  <c r="D213" i="20" s="1"/>
  <c r="D214" i="20" s="1"/>
  <c r="D215" i="20" s="1"/>
  <c r="D216" i="20" s="1"/>
  <c r="D217" i="20" s="1"/>
  <c r="D218" i="20" s="1"/>
  <c r="D219" i="20" s="1"/>
  <c r="D220" i="20" s="1"/>
  <c r="D221" i="20" s="1"/>
  <c r="D222" i="20" s="1"/>
  <c r="D223" i="20" s="1"/>
  <c r="D224" i="20" s="1"/>
  <c r="D225" i="20" s="1"/>
  <c r="D226" i="20" s="1"/>
  <c r="D227" i="20" s="1"/>
  <c r="D228" i="20" s="1"/>
  <c r="D229" i="20" s="1"/>
  <c r="D230" i="20" s="1"/>
  <c r="D231" i="20" s="1"/>
  <c r="D232" i="20" s="1"/>
  <c r="D233" i="20" s="1"/>
  <c r="D234" i="20" s="1"/>
  <c r="D235" i="20" s="1"/>
  <c r="D236" i="20" s="1"/>
  <c r="D237" i="20" s="1"/>
  <c r="D238" i="20" s="1"/>
  <c r="D239" i="20" s="1"/>
  <c r="D240" i="20" s="1"/>
  <c r="D241" i="20" s="1"/>
  <c r="D242" i="20" s="1"/>
  <c r="D243" i="20" s="1"/>
  <c r="D244" i="20" s="1"/>
  <c r="D245" i="20" s="1"/>
  <c r="D246" i="20" s="1"/>
  <c r="D247" i="20" s="1"/>
  <c r="D248" i="20" s="1"/>
  <c r="D249" i="20" s="1"/>
  <c r="D250" i="20" s="1"/>
  <c r="D251" i="20" s="1"/>
  <c r="D252" i="20" s="1"/>
  <c r="D253" i="20" s="1"/>
  <c r="D254" i="20" s="1"/>
  <c r="D255" i="20" s="1"/>
  <c r="D256" i="20" s="1"/>
  <c r="D257" i="20" s="1"/>
  <c r="D258" i="20" s="1"/>
  <c r="D259" i="20" s="1"/>
  <c r="D260" i="20" s="1"/>
  <c r="D261" i="20" s="1"/>
  <c r="D262" i="20" s="1"/>
  <c r="D263" i="20" s="1"/>
  <c r="D264" i="20" s="1"/>
  <c r="D265" i="20" s="1"/>
  <c r="D266" i="20" s="1"/>
  <c r="D267" i="20" s="1"/>
  <c r="D268" i="20" s="1"/>
  <c r="D269" i="20" s="1"/>
  <c r="D270" i="20" s="1"/>
  <c r="D271" i="20" s="1"/>
  <c r="D272" i="20" s="1"/>
  <c r="D273" i="20" s="1"/>
  <c r="D274" i="20" s="1"/>
  <c r="D275" i="20" s="1"/>
  <c r="D276" i="20" s="1"/>
  <c r="D277" i="20" s="1"/>
  <c r="D278" i="20" s="1"/>
  <c r="D279" i="20" s="1"/>
  <c r="D280" i="20" s="1"/>
  <c r="D281" i="20" s="1"/>
  <c r="D282" i="20" s="1"/>
  <c r="D283" i="20" s="1"/>
  <c r="D284" i="20" s="1"/>
  <c r="D285" i="20" s="1"/>
  <c r="D286" i="20" s="1"/>
  <c r="D287" i="20" s="1"/>
  <c r="D288" i="20" s="1"/>
  <c r="D289" i="20" s="1"/>
  <c r="D290" i="20" s="1"/>
  <c r="D291" i="20" s="1"/>
  <c r="D292" i="20" s="1"/>
  <c r="D293" i="20" s="1"/>
  <c r="D294" i="20" s="1"/>
  <c r="D295" i="20" s="1"/>
  <c r="D296" i="20" s="1"/>
  <c r="D297" i="20" s="1"/>
  <c r="D298" i="20" s="1"/>
  <c r="D299" i="20" s="1"/>
  <c r="D300" i="20" s="1"/>
  <c r="D301" i="20" s="1"/>
  <c r="D302" i="20" s="1"/>
  <c r="D303" i="20" s="1"/>
  <c r="D304" i="20" s="1"/>
  <c r="D305" i="20" s="1"/>
  <c r="D306" i="20" s="1"/>
  <c r="D307" i="20" s="1"/>
  <c r="D308" i="20" s="1"/>
  <c r="D309" i="20" s="1"/>
  <c r="D310" i="20" s="1"/>
  <c r="D311" i="20" s="1"/>
  <c r="D312" i="20" s="1"/>
  <c r="D313" i="20" s="1"/>
  <c r="D314" i="20" s="1"/>
  <c r="D315" i="20" s="1"/>
  <c r="D316" i="20" s="1"/>
  <c r="D317" i="20" s="1"/>
  <c r="D318" i="20" s="1"/>
  <c r="D319" i="20" s="1"/>
  <c r="D320" i="20" s="1"/>
  <c r="D321" i="20" s="1"/>
  <c r="D322" i="20" s="1"/>
  <c r="D323" i="20" s="1"/>
  <c r="D324" i="20" s="1"/>
  <c r="D325" i="20" s="1"/>
  <c r="D326" i="20" s="1"/>
  <c r="D327" i="20" s="1"/>
  <c r="D328" i="20" s="1"/>
  <c r="D329" i="20" s="1"/>
  <c r="D330" i="20" s="1"/>
  <c r="D331" i="20" s="1"/>
  <c r="D332" i="20" s="1"/>
  <c r="D333" i="20" s="1"/>
  <c r="D334" i="20" s="1"/>
  <c r="D335" i="20" s="1"/>
  <c r="D336" i="20" s="1"/>
  <c r="D337" i="20" s="1"/>
  <c r="D338" i="20" s="1"/>
  <c r="D339" i="20" s="1"/>
  <c r="D340" i="20" s="1"/>
  <c r="D341" i="20" s="1"/>
  <c r="D342" i="20" s="1"/>
  <c r="D343" i="20" s="1"/>
  <c r="D344" i="20" s="1"/>
  <c r="D345" i="20" s="1"/>
  <c r="D346" i="20" s="1"/>
  <c r="D347" i="20" s="1"/>
  <c r="D348" i="20" s="1"/>
  <c r="D349" i="20" s="1"/>
  <c r="D350" i="20" s="1"/>
  <c r="D351" i="20" s="1"/>
  <c r="D352" i="20" s="1"/>
  <c r="D353" i="20" s="1"/>
  <c r="D354" i="20" s="1"/>
  <c r="D355" i="20" s="1"/>
  <c r="D356" i="20" s="1"/>
  <c r="D357" i="20" s="1"/>
  <c r="D358" i="20" s="1"/>
  <c r="D359" i="20" s="1"/>
  <c r="D360" i="20" s="1"/>
  <c r="D361" i="20" s="1"/>
  <c r="D362" i="20" s="1"/>
  <c r="D363" i="20" s="1"/>
  <c r="D364" i="20" s="1"/>
  <c r="D365" i="20" s="1"/>
  <c r="J10" i="20"/>
  <c r="H3" i="20" l="1"/>
  <c r="H4" i="20"/>
  <c r="G7" i="20"/>
  <c r="H6" i="20"/>
  <c r="H5" i="20"/>
  <c r="G8" i="20" l="1"/>
  <c r="H7" i="20"/>
  <c r="G9" i="20" l="1"/>
  <c r="H8" i="20"/>
  <c r="G10" i="20" l="1"/>
  <c r="H9" i="20"/>
  <c r="G11" i="20" l="1"/>
  <c r="H10" i="20"/>
  <c r="G12" i="20" l="1"/>
  <c r="H11" i="20"/>
  <c r="G13" i="20" l="1"/>
  <c r="H12" i="20"/>
  <c r="G14" i="20" l="1"/>
  <c r="H13" i="20"/>
  <c r="G15" i="20" l="1"/>
  <c r="H14" i="20"/>
  <c r="G16" i="20" l="1"/>
  <c r="H15" i="20"/>
  <c r="G17" i="20" l="1"/>
  <c r="H16" i="20"/>
  <c r="G18" i="20" l="1"/>
  <c r="H17" i="20"/>
  <c r="H18" i="20" l="1"/>
  <c r="G19" i="20"/>
  <c r="G20" i="20" l="1"/>
  <c r="H19" i="20"/>
  <c r="G21" i="20" l="1"/>
  <c r="H20" i="20"/>
  <c r="G22" i="20" l="1"/>
  <c r="H21" i="20"/>
  <c r="G23" i="20" l="1"/>
  <c r="H22" i="20"/>
  <c r="G24" i="20" l="1"/>
  <c r="H23" i="20"/>
  <c r="H24" i="20" l="1"/>
  <c r="G25" i="20"/>
  <c r="G26" i="20" l="1"/>
  <c r="H25" i="20"/>
  <c r="G27" i="20" l="1"/>
  <c r="H26" i="20"/>
  <c r="G28" i="20" l="1"/>
  <c r="H27" i="20"/>
  <c r="G29" i="20" l="1"/>
  <c r="H28" i="20"/>
  <c r="G30" i="20" l="1"/>
  <c r="H29" i="20"/>
  <c r="G31" i="20" l="1"/>
  <c r="H30" i="20"/>
  <c r="G32" i="20" l="1"/>
  <c r="H32" i="20" s="1"/>
  <c r="H31" i="20"/>
  <c r="J9" i="20" l="1"/>
  <c r="M27" i="20"/>
  <c r="M28" i="20" s="1"/>
  <c r="J30" i="20" s="1"/>
  <c r="O4" i="5" s="1"/>
  <c r="K10" i="20" l="1"/>
  <c r="L10" i="20"/>
  <c r="O10" i="20" s="1"/>
  <c r="O6" i="5" s="1"/>
  <c r="O7" i="5" s="1"/>
  <c r="AV37" i="4"/>
  <c r="AV36" i="4"/>
  <c r="AO35" i="4"/>
  <c r="V63" i="4"/>
  <c r="V62" i="4"/>
  <c r="AG17" i="4" s="1"/>
  <c r="P28" i="3"/>
  <c r="P27" i="3"/>
  <c r="P26" i="3"/>
  <c r="X2" i="3"/>
  <c r="X9" i="3" l="1"/>
  <c r="X17" i="3"/>
  <c r="X13" i="3"/>
  <c r="X3" i="3"/>
  <c r="X4" i="3"/>
  <c r="X5" i="3" l="1"/>
  <c r="J15" i="5"/>
  <c r="J5" i="5"/>
  <c r="J16" i="5" l="1"/>
  <c r="E8" i="24"/>
  <c r="E7" i="24"/>
  <c r="E9" i="24"/>
  <c r="E5" i="24"/>
  <c r="E10" i="24"/>
  <c r="E6" i="24"/>
  <c r="J18" i="5"/>
  <c r="J17" i="5"/>
  <c r="A63" i="4"/>
  <c r="M68" i="4"/>
  <c r="L68" i="4" s="1"/>
  <c r="K68" i="4" s="1"/>
  <c r="J68" i="4" s="1"/>
  <c r="I68" i="4" s="1"/>
  <c r="H68" i="4" s="1"/>
  <c r="G68" i="4" s="1"/>
  <c r="F68" i="4" s="1"/>
  <c r="E68" i="4" s="1"/>
  <c r="D68" i="4" s="1"/>
  <c r="C68" i="4" s="1"/>
  <c r="H4" i="24" l="1"/>
  <c r="H5" i="24" s="1"/>
  <c r="D84" i="4"/>
  <c r="H84" i="4"/>
  <c r="L84" i="4"/>
  <c r="E84" i="4"/>
  <c r="F84" i="4"/>
  <c r="J84" i="4"/>
  <c r="I84" i="4"/>
  <c r="M84" i="4"/>
  <c r="C84" i="4"/>
  <c r="G84" i="4"/>
  <c r="K84" i="4"/>
  <c r="J4" i="5"/>
  <c r="J8" i="5" s="1"/>
  <c r="H7" i="24" l="1"/>
  <c r="H6" i="24"/>
  <c r="J10" i="5"/>
  <c r="J11" i="5" s="1"/>
  <c r="J12" i="5" s="1"/>
  <c r="E40" i="24" s="1"/>
  <c r="H8" i="24" s="1"/>
  <c r="J13" i="5" l="1"/>
  <c r="E41" i="24" s="1"/>
  <c r="H9" i="24" s="1"/>
  <c r="T68" i="4"/>
  <c r="U68" i="4" s="1"/>
  <c r="V68" i="4" s="1"/>
  <c r="W68" i="4" s="1"/>
  <c r="X68" i="4" s="1"/>
  <c r="Y68" i="4" s="1"/>
  <c r="Z68" i="4" s="1"/>
  <c r="B78" i="4"/>
  <c r="B72" i="4"/>
  <c r="A78" i="4"/>
  <c r="A72" i="4"/>
  <c r="A62" i="4"/>
  <c r="A61" i="4"/>
  <c r="A60" i="4"/>
  <c r="A59" i="4"/>
  <c r="O2" i="4"/>
  <c r="N2" i="4" s="1"/>
  <c r="M2" i="4" s="1"/>
  <c r="L2" i="4" s="1"/>
  <c r="K2" i="4" s="1"/>
  <c r="J2" i="4" s="1"/>
  <c r="I2" i="4" s="1"/>
  <c r="H2" i="4" s="1"/>
  <c r="G2" i="4" s="1"/>
  <c r="F2" i="4" s="1"/>
  <c r="E2" i="4" s="1"/>
  <c r="D58" i="4" l="1"/>
  <c r="C58" i="4"/>
  <c r="B58" i="4"/>
  <c r="D57" i="4"/>
  <c r="C57" i="4"/>
  <c r="B57" i="4"/>
  <c r="D56" i="4"/>
  <c r="C56" i="4"/>
  <c r="B56" i="4"/>
  <c r="D55" i="4"/>
  <c r="C55" i="4"/>
  <c r="B55" i="4"/>
  <c r="D54" i="4"/>
  <c r="C54" i="4"/>
  <c r="B54" i="4"/>
  <c r="D53" i="4"/>
  <c r="C53" i="4"/>
  <c r="B53" i="4"/>
  <c r="D52" i="4"/>
  <c r="C52" i="4"/>
  <c r="B52" i="4"/>
  <c r="D51" i="4"/>
  <c r="C51" i="4"/>
  <c r="B51" i="4"/>
  <c r="D50" i="4"/>
  <c r="C50" i="4"/>
  <c r="B50" i="4"/>
  <c r="D49" i="4"/>
  <c r="C49" i="4"/>
  <c r="B49" i="4"/>
  <c r="D48" i="4"/>
  <c r="C48" i="4"/>
  <c r="B48" i="4"/>
  <c r="D47" i="4"/>
  <c r="C47" i="4"/>
  <c r="B47" i="4"/>
  <c r="D46" i="4"/>
  <c r="C46" i="4"/>
  <c r="B46" i="4"/>
  <c r="D45" i="4"/>
  <c r="C45" i="4"/>
  <c r="B45" i="4"/>
  <c r="D44" i="4"/>
  <c r="C44" i="4"/>
  <c r="B44" i="4"/>
  <c r="D43" i="4"/>
  <c r="C43" i="4"/>
  <c r="B43" i="4"/>
  <c r="D42" i="4"/>
  <c r="C42" i="4"/>
  <c r="B42" i="4"/>
  <c r="D41" i="4"/>
  <c r="C41" i="4"/>
  <c r="B41" i="4"/>
  <c r="D40" i="4"/>
  <c r="C40" i="4"/>
  <c r="B40" i="4"/>
  <c r="D39" i="4"/>
  <c r="C39" i="4"/>
  <c r="B39" i="4"/>
  <c r="D38" i="4"/>
  <c r="C38" i="4"/>
  <c r="B38" i="4"/>
  <c r="D37" i="4"/>
  <c r="C37" i="4"/>
  <c r="B37" i="4"/>
  <c r="D36" i="4"/>
  <c r="C36" i="4"/>
  <c r="B36" i="4"/>
  <c r="D35" i="4"/>
  <c r="C35" i="4"/>
  <c r="B35" i="4"/>
  <c r="D34" i="4"/>
  <c r="C34" i="4"/>
  <c r="B34" i="4"/>
  <c r="D33" i="4"/>
  <c r="C33" i="4"/>
  <c r="B33" i="4"/>
  <c r="D32" i="4"/>
  <c r="C32" i="4"/>
  <c r="B32" i="4"/>
  <c r="D31" i="4"/>
  <c r="C31" i="4"/>
  <c r="B31" i="4"/>
  <c r="D30" i="4"/>
  <c r="C30" i="4"/>
  <c r="B30" i="4"/>
  <c r="D29" i="4"/>
  <c r="C29" i="4"/>
  <c r="B29" i="4"/>
  <c r="D28" i="4"/>
  <c r="C28" i="4"/>
  <c r="B28" i="4"/>
  <c r="D27" i="4"/>
  <c r="C27" i="4"/>
  <c r="B27" i="4"/>
  <c r="D26" i="4"/>
  <c r="C26" i="4"/>
  <c r="B26" i="4"/>
  <c r="D25" i="4"/>
  <c r="C25" i="4"/>
  <c r="B25" i="4"/>
  <c r="D24" i="4"/>
  <c r="C24" i="4"/>
  <c r="B24" i="4"/>
  <c r="D23" i="4"/>
  <c r="C23" i="4"/>
  <c r="B23" i="4"/>
  <c r="D22" i="4"/>
  <c r="C22" i="4"/>
  <c r="B22" i="4"/>
  <c r="D21" i="4"/>
  <c r="C21" i="4"/>
  <c r="B21" i="4"/>
  <c r="D20" i="4"/>
  <c r="C20" i="4"/>
  <c r="B20" i="4"/>
  <c r="D19" i="4"/>
  <c r="C19" i="4"/>
  <c r="B19" i="4"/>
  <c r="D18" i="4"/>
  <c r="C18" i="4"/>
  <c r="B18" i="4"/>
  <c r="D17" i="4"/>
  <c r="C17" i="4"/>
  <c r="B17" i="4"/>
  <c r="D16" i="4"/>
  <c r="C16" i="4"/>
  <c r="B16" i="4"/>
  <c r="D15" i="4"/>
  <c r="C15" i="4"/>
  <c r="B15" i="4"/>
  <c r="D14" i="4"/>
  <c r="C14" i="4"/>
  <c r="B14" i="4"/>
  <c r="D13" i="4"/>
  <c r="C13" i="4"/>
  <c r="B13" i="4"/>
  <c r="D12" i="4"/>
  <c r="C12" i="4"/>
  <c r="B12" i="4"/>
  <c r="D11" i="4"/>
  <c r="C11" i="4"/>
  <c r="B11" i="4"/>
  <c r="D10" i="4"/>
  <c r="C10" i="4"/>
  <c r="B10" i="4"/>
  <c r="D9" i="4"/>
  <c r="C9" i="4"/>
  <c r="B9" i="4"/>
  <c r="D8" i="4"/>
  <c r="C8" i="4"/>
  <c r="B8" i="4"/>
  <c r="D7" i="4"/>
  <c r="C7" i="4"/>
  <c r="B7" i="4"/>
  <c r="D6" i="4"/>
  <c r="C6" i="4"/>
  <c r="B6" i="4"/>
  <c r="D5" i="4"/>
  <c r="C5" i="4"/>
  <c r="B5" i="4"/>
  <c r="D4" i="4"/>
  <c r="C4" i="4"/>
  <c r="B4" i="4"/>
  <c r="D3" i="4"/>
  <c r="C3" i="4"/>
  <c r="B3" i="4"/>
  <c r="N17" i="3"/>
  <c r="T60" i="4" s="1"/>
  <c r="J17" i="3"/>
  <c r="P60" i="4" s="1"/>
  <c r="F17" i="3"/>
  <c r="L60" i="4" s="1"/>
  <c r="L13" i="3"/>
  <c r="R59" i="4" s="1"/>
  <c r="H13" i="3"/>
  <c r="N59" i="4" s="1"/>
  <c r="D13" i="3"/>
  <c r="J59" i="4" s="1"/>
  <c r="E17" i="3"/>
  <c r="K60" i="4" s="1"/>
  <c r="U63" i="4"/>
  <c r="S78" i="4" s="1"/>
  <c r="T63" i="4"/>
  <c r="R78" i="4" s="1"/>
  <c r="S63" i="4"/>
  <c r="Q78" i="4" s="1"/>
  <c r="R63" i="4"/>
  <c r="Q63" i="4"/>
  <c r="P63" i="4"/>
  <c r="N78" i="4" s="1"/>
  <c r="P78" i="4" l="1"/>
  <c r="G17" i="3"/>
  <c r="M60" i="4" s="1"/>
  <c r="K17" i="3"/>
  <c r="Q60" i="4" s="1"/>
  <c r="O17" i="3"/>
  <c r="U60" i="4" s="1"/>
  <c r="H17" i="3"/>
  <c r="N60" i="4" s="1"/>
  <c r="I17" i="3"/>
  <c r="O60" i="4" s="1"/>
  <c r="O78" i="4"/>
  <c r="M17" i="3"/>
  <c r="S60" i="4" s="1"/>
  <c r="A6" i="4"/>
  <c r="A10" i="4"/>
  <c r="A14" i="4"/>
  <c r="A18" i="4"/>
  <c r="A22" i="4"/>
  <c r="A26" i="4"/>
  <c r="A30" i="4"/>
  <c r="A34" i="4"/>
  <c r="A38" i="4"/>
  <c r="A42" i="4"/>
  <c r="A50" i="4"/>
  <c r="A54" i="4"/>
  <c r="A58" i="4"/>
  <c r="A3" i="4"/>
  <c r="A7" i="4"/>
  <c r="A11" i="4"/>
  <c r="A15" i="4"/>
  <c r="A19" i="4"/>
  <c r="A23" i="4"/>
  <c r="A27" i="4"/>
  <c r="A31" i="4"/>
  <c r="A35" i="4"/>
  <c r="A39" i="4"/>
  <c r="A43" i="4"/>
  <c r="A47" i="4"/>
  <c r="A51" i="4"/>
  <c r="A55" i="4"/>
  <c r="A49" i="4"/>
  <c r="A53" i="4"/>
  <c r="A57" i="4"/>
  <c r="A46" i="4"/>
  <c r="A8" i="4"/>
  <c r="A12" i="4"/>
  <c r="A16" i="4"/>
  <c r="A20" i="4"/>
  <c r="A24" i="4"/>
  <c r="A28" i="4"/>
  <c r="A32" i="4"/>
  <c r="A36" i="4"/>
  <c r="A40" i="4"/>
  <c r="A44" i="4"/>
  <c r="E13" i="3"/>
  <c r="K59" i="4" s="1"/>
  <c r="I13" i="3"/>
  <c r="O59" i="4" s="1"/>
  <c r="M13" i="3"/>
  <c r="S59" i="4" s="1"/>
  <c r="A5" i="4"/>
  <c r="A9" i="4"/>
  <c r="A13" i="4"/>
  <c r="A17" i="4"/>
  <c r="A21" i="4"/>
  <c r="A25" i="4"/>
  <c r="A29" i="4"/>
  <c r="A33" i="4"/>
  <c r="A37" i="4"/>
  <c r="A41" i="4"/>
  <c r="A45" i="4"/>
  <c r="A4" i="4"/>
  <c r="A48" i="4"/>
  <c r="A52" i="4"/>
  <c r="A56" i="4"/>
  <c r="E9" i="3"/>
  <c r="K62" i="4" s="1"/>
  <c r="L17" i="3"/>
  <c r="R60" i="4" s="1"/>
  <c r="M9" i="3"/>
  <c r="S62" i="4" s="1"/>
  <c r="F13" i="3"/>
  <c r="L59" i="4" s="1"/>
  <c r="J13" i="3"/>
  <c r="P59" i="4" s="1"/>
  <c r="N13" i="3"/>
  <c r="T59" i="4" s="1"/>
  <c r="G13" i="3"/>
  <c r="M59" i="4" s="1"/>
  <c r="K13" i="3"/>
  <c r="Q59" i="4" s="1"/>
  <c r="O13" i="3"/>
  <c r="U59" i="4" s="1"/>
  <c r="I9" i="3"/>
  <c r="O62" i="4" s="1"/>
  <c r="H9" i="3"/>
  <c r="N62" i="4" s="1"/>
  <c r="L9" i="3"/>
  <c r="R62" i="4" s="1"/>
  <c r="D17" i="3"/>
  <c r="J60" i="4" s="1"/>
  <c r="G5" i="3"/>
  <c r="M61" i="4" s="1"/>
  <c r="O5" i="3"/>
  <c r="U61" i="4" s="1"/>
  <c r="K5" i="3"/>
  <c r="Q61" i="4" s="1"/>
  <c r="F9" i="3"/>
  <c r="L62" i="4" s="1"/>
  <c r="N9" i="3"/>
  <c r="T62" i="4" s="1"/>
  <c r="K9" i="3"/>
  <c r="Q62" i="4" s="1"/>
  <c r="J9" i="3"/>
  <c r="P62" i="4" s="1"/>
  <c r="G9" i="3"/>
  <c r="M62" i="4" s="1"/>
  <c r="F5" i="3"/>
  <c r="L61" i="4" s="1"/>
  <c r="J5" i="3"/>
  <c r="P61" i="4" s="1"/>
  <c r="N5" i="3"/>
  <c r="T61" i="4" s="1"/>
  <c r="E5" i="3"/>
  <c r="K61" i="4" s="1"/>
  <c r="I5" i="3"/>
  <c r="O61" i="4" s="1"/>
  <c r="M5" i="3"/>
  <c r="S61" i="4" s="1"/>
  <c r="O9" i="3"/>
  <c r="U62" i="4" s="1"/>
  <c r="D5" i="3"/>
  <c r="J61" i="4" s="1"/>
  <c r="H5" i="3"/>
  <c r="N61" i="4" s="1"/>
  <c r="L5" i="3"/>
  <c r="R61" i="4" s="1"/>
  <c r="D9" i="3"/>
  <c r="J62" i="4" s="1"/>
  <c r="AG48" i="4" l="1"/>
  <c r="AG40" i="4"/>
  <c r="T72" i="4"/>
  <c r="H27" i="3"/>
  <c r="H28" i="3"/>
  <c r="H23" i="3"/>
  <c r="K28" i="3"/>
  <c r="D26" i="3"/>
  <c r="G23" i="3"/>
  <c r="F23" i="3"/>
  <c r="G12" i="5"/>
  <c r="E38" i="24" s="1"/>
  <c r="M16" i="24" s="1"/>
  <c r="B12" i="5"/>
  <c r="E33" i="24" s="1"/>
  <c r="H16" i="24" s="1"/>
  <c r="E12" i="5"/>
  <c r="E36" i="24" s="1"/>
  <c r="K16" i="24" s="1"/>
  <c r="C12" i="5"/>
  <c r="E34" i="24" s="1"/>
  <c r="I16" i="24" s="1"/>
  <c r="D12" i="5"/>
  <c r="E35" i="24" s="1"/>
  <c r="J16" i="24" s="1"/>
  <c r="T78" i="4"/>
  <c r="F12" i="5"/>
  <c r="E37" i="24" s="1"/>
  <c r="L16" i="24" s="1"/>
  <c r="M28" i="3"/>
  <c r="F24" i="3"/>
  <c r="N26" i="3"/>
  <c r="O22" i="3"/>
  <c r="N27" i="3"/>
  <c r="L24" i="3"/>
  <c r="F22" i="3"/>
  <c r="D28" i="3"/>
  <c r="H22" i="3"/>
  <c r="I28" i="3"/>
  <c r="I24" i="3"/>
  <c r="M26" i="3"/>
  <c r="H24" i="3"/>
  <c r="N28" i="3"/>
  <c r="O24" i="3"/>
  <c r="I26" i="3"/>
  <c r="K23" i="3"/>
  <c r="J23" i="3"/>
  <c r="AJ68" i="4"/>
  <c r="K22" i="3"/>
  <c r="N22" i="3"/>
  <c r="G26" i="3"/>
  <c r="E23" i="3"/>
  <c r="D23" i="3"/>
  <c r="F27" i="3"/>
  <c r="F28" i="3"/>
  <c r="E27" i="3"/>
  <c r="E22" i="3"/>
  <c r="D27" i="3"/>
  <c r="O27" i="3"/>
  <c r="J26" i="3"/>
  <c r="E24" i="3"/>
  <c r="G28" i="3"/>
  <c r="D22" i="3"/>
  <c r="L26" i="3"/>
  <c r="E28" i="3"/>
  <c r="O26" i="3"/>
  <c r="N24" i="3"/>
  <c r="M23" i="3"/>
  <c r="L22" i="3"/>
  <c r="K27" i="3"/>
  <c r="F26" i="3"/>
  <c r="L23" i="3"/>
  <c r="M27" i="3"/>
  <c r="AS52" i="4"/>
  <c r="K24" i="3"/>
  <c r="M22" i="3"/>
  <c r="D24" i="3"/>
  <c r="L27" i="3"/>
  <c r="K26" i="3"/>
  <c r="J24" i="3"/>
  <c r="I23" i="3"/>
  <c r="L28" i="3"/>
  <c r="G27" i="3"/>
  <c r="M24" i="3"/>
  <c r="G22" i="3"/>
  <c r="O28" i="3"/>
  <c r="J27" i="3"/>
  <c r="E26" i="3"/>
  <c r="O23" i="3"/>
  <c r="J22" i="3"/>
  <c r="J28" i="3"/>
  <c r="I27" i="3"/>
  <c r="H26" i="3"/>
  <c r="N23" i="3"/>
  <c r="I22" i="3"/>
  <c r="G24" i="3"/>
  <c r="P18" i="24" l="1"/>
  <c r="P15" i="24"/>
  <c r="H15" i="24"/>
  <c r="P14" i="24" s="1"/>
  <c r="H17" i="24"/>
  <c r="P16" i="24" s="1"/>
  <c r="R18" i="24"/>
  <c r="J17" i="24"/>
  <c r="R16" i="24" s="1"/>
  <c r="R15" i="24"/>
  <c r="J15" i="24"/>
  <c r="R14" i="24" s="1"/>
  <c r="U18" i="24"/>
  <c r="U15" i="24"/>
  <c r="M15" i="24"/>
  <c r="U14" i="24" s="1"/>
  <c r="M17" i="24"/>
  <c r="U16" i="24" s="1"/>
  <c r="Q15" i="24"/>
  <c r="Q18" i="24"/>
  <c r="I15" i="24"/>
  <c r="Q14" i="24" s="1"/>
  <c r="I17" i="24"/>
  <c r="Q16" i="24" s="1"/>
  <c r="T18" i="24"/>
  <c r="T15" i="24"/>
  <c r="L17" i="24"/>
  <c r="T16" i="24" s="1"/>
  <c r="L15" i="24"/>
  <c r="T14" i="24" s="1"/>
  <c r="S18" i="24"/>
  <c r="S15" i="24"/>
  <c r="K17" i="24"/>
  <c r="S16" i="24" s="1"/>
  <c r="K15" i="24"/>
  <c r="S14" i="24" s="1"/>
  <c r="W13" i="21"/>
  <c r="V13" i="21"/>
  <c r="X13" i="21"/>
  <c r="AA13" i="21"/>
  <c r="Z13" i="21"/>
  <c r="Y13" i="21"/>
  <c r="B13" i="5"/>
  <c r="B11" i="5"/>
  <c r="D11" i="5"/>
  <c r="D13" i="5"/>
  <c r="G13" i="5"/>
  <c r="G11" i="5"/>
  <c r="C13" i="5"/>
  <c r="C11" i="5"/>
  <c r="F13" i="5"/>
  <c r="F11" i="5"/>
  <c r="E11" i="5"/>
  <c r="E13" i="5"/>
  <c r="V79" i="4"/>
  <c r="V77" i="4"/>
  <c r="AG50" i="4"/>
  <c r="AG38" i="4"/>
  <c r="AL16" i="4"/>
  <c r="AL33" i="4"/>
  <c r="AG44" i="4"/>
  <c r="AG42" i="4"/>
  <c r="AG46" i="4"/>
  <c r="AG43" i="4"/>
  <c r="AG41" i="4"/>
  <c r="AG47" i="4"/>
  <c r="AG45" i="4"/>
  <c r="AG51" i="4"/>
  <c r="AG49" i="4"/>
  <c r="AG39" i="4"/>
  <c r="AG37" i="4"/>
  <c r="T84" i="4"/>
  <c r="X77" i="4"/>
  <c r="X79" i="4"/>
  <c r="AK33" i="4"/>
  <c r="O72" i="4"/>
  <c r="O84" i="4" s="1"/>
  <c r="AK16" i="4"/>
  <c r="P72" i="4"/>
  <c r="P84" i="4" s="1"/>
  <c r="S72" i="4"/>
  <c r="S84" i="4" s="1"/>
  <c r="AJ33" i="4"/>
  <c r="N72" i="4"/>
  <c r="N84" i="4" s="1"/>
  <c r="AJ16" i="4"/>
  <c r="R72" i="4"/>
  <c r="R84" i="4" s="1"/>
  <c r="AD51" i="4"/>
  <c r="Q72" i="4"/>
  <c r="Q84" i="4" s="1"/>
  <c r="AF51" i="4"/>
  <c r="AA51" i="4"/>
  <c r="AC51" i="4"/>
  <c r="AB51" i="4"/>
  <c r="AE51" i="4"/>
  <c r="Y79" i="4" l="1"/>
  <c r="Y14" i="21"/>
  <c r="X14" i="21"/>
  <c r="Y77" i="4"/>
  <c r="Y12" i="21"/>
  <c r="X12" i="21"/>
  <c r="Z77" i="4"/>
  <c r="Z12" i="21"/>
  <c r="AA77" i="4"/>
  <c r="AA12" i="21"/>
  <c r="V12" i="21"/>
  <c r="W77" i="4"/>
  <c r="W12" i="21"/>
  <c r="W79" i="4"/>
  <c r="W14" i="21"/>
  <c r="Z79" i="4"/>
  <c r="Z14" i="21"/>
  <c r="AA79" i="4"/>
  <c r="AA14" i="21"/>
  <c r="V14" i="21"/>
  <c r="AL50" i="4"/>
  <c r="J28" i="5"/>
  <c r="J30" i="5"/>
  <c r="J32" i="5"/>
  <c r="J31" i="5"/>
  <c r="J29" i="5"/>
  <c r="J27" i="5"/>
  <c r="AK50" i="4"/>
  <c r="AJ50" i="4"/>
  <c r="B10" i="5" l="1"/>
  <c r="B14" i="5"/>
  <c r="D14" i="5"/>
  <c r="E14" i="5"/>
  <c r="G10" i="5"/>
  <c r="C10" i="5"/>
  <c r="F10" i="5"/>
  <c r="G14" i="5"/>
  <c r="C14" i="5"/>
  <c r="F14" i="5"/>
  <c r="D10" i="5"/>
  <c r="E10" i="5"/>
  <c r="V76" i="4"/>
  <c r="U58" i="4"/>
  <c r="T58" i="4"/>
  <c r="S58" i="4"/>
  <c r="R58" i="4"/>
  <c r="Q58" i="4"/>
  <c r="P58" i="4"/>
  <c r="U57" i="4"/>
  <c r="T57" i="4"/>
  <c r="S57" i="4"/>
  <c r="R57" i="4"/>
  <c r="Q57" i="4"/>
  <c r="P57" i="4"/>
  <c r="U56" i="4"/>
  <c r="T56" i="4"/>
  <c r="S56" i="4"/>
  <c r="R56" i="4"/>
  <c r="Q56" i="4"/>
  <c r="P56" i="4"/>
  <c r="U55" i="4"/>
  <c r="T55" i="4"/>
  <c r="S55" i="4"/>
  <c r="R55" i="4"/>
  <c r="Q55" i="4"/>
  <c r="P55" i="4"/>
  <c r="U54" i="4"/>
  <c r="T54" i="4"/>
  <c r="S54" i="4"/>
  <c r="R54" i="4"/>
  <c r="Q54" i="4"/>
  <c r="P54" i="4"/>
  <c r="U53" i="4"/>
  <c r="T53" i="4"/>
  <c r="S53" i="4"/>
  <c r="R53" i="4"/>
  <c r="Q53" i="4"/>
  <c r="P53" i="4"/>
  <c r="U52" i="4"/>
  <c r="T52" i="4"/>
  <c r="S52" i="4"/>
  <c r="R52" i="4"/>
  <c r="Q52" i="4"/>
  <c r="P52" i="4"/>
  <c r="U51" i="4"/>
  <c r="T51" i="4"/>
  <c r="S51" i="4"/>
  <c r="R51" i="4"/>
  <c r="Q51" i="4"/>
  <c r="P51" i="4"/>
  <c r="U50" i="4"/>
  <c r="T50" i="4"/>
  <c r="S50" i="4"/>
  <c r="R50" i="4"/>
  <c r="Q50" i="4"/>
  <c r="P50" i="4"/>
  <c r="U49" i="4"/>
  <c r="T49" i="4"/>
  <c r="S49" i="4"/>
  <c r="R49" i="4"/>
  <c r="Q49" i="4"/>
  <c r="P49" i="4"/>
  <c r="U48" i="4"/>
  <c r="T48" i="4"/>
  <c r="S48" i="4"/>
  <c r="R48" i="4"/>
  <c r="Q48" i="4"/>
  <c r="P48" i="4"/>
  <c r="U47" i="4"/>
  <c r="T47" i="4"/>
  <c r="S47" i="4"/>
  <c r="R47" i="4"/>
  <c r="Q47" i="4"/>
  <c r="P47" i="4"/>
  <c r="U46" i="4"/>
  <c r="T46" i="4"/>
  <c r="S46" i="4"/>
  <c r="R46" i="4"/>
  <c r="Q46" i="4"/>
  <c r="P46" i="4"/>
  <c r="U45" i="4"/>
  <c r="T45" i="4"/>
  <c r="S45" i="4"/>
  <c r="R45" i="4"/>
  <c r="Q45" i="4"/>
  <c r="P45" i="4"/>
  <c r="U44" i="4"/>
  <c r="T44" i="4"/>
  <c r="S44" i="4"/>
  <c r="R44" i="4"/>
  <c r="Q44" i="4"/>
  <c r="P44" i="4"/>
  <c r="U43" i="4"/>
  <c r="T43" i="4"/>
  <c r="S43" i="4"/>
  <c r="R43" i="4"/>
  <c r="Q43" i="4"/>
  <c r="P43" i="4"/>
  <c r="U42" i="4"/>
  <c r="U41" i="4"/>
  <c r="U40" i="4"/>
  <c r="T40" i="4"/>
  <c r="S40" i="4"/>
  <c r="R40" i="4"/>
  <c r="Q40" i="4"/>
  <c r="P40" i="4"/>
  <c r="U39" i="4"/>
  <c r="T39" i="4"/>
  <c r="S39" i="4"/>
  <c r="R39" i="4"/>
  <c r="Q39" i="4"/>
  <c r="P39" i="4"/>
  <c r="U38" i="4"/>
  <c r="T38" i="4"/>
  <c r="S38" i="4"/>
  <c r="R38" i="4"/>
  <c r="Q38" i="4"/>
  <c r="P38" i="4"/>
  <c r="U37" i="4"/>
  <c r="T37" i="4"/>
  <c r="S37" i="4"/>
  <c r="R37" i="4"/>
  <c r="Q37" i="4"/>
  <c r="P37" i="4"/>
  <c r="U36" i="4"/>
  <c r="T36" i="4"/>
  <c r="S36" i="4"/>
  <c r="R36" i="4"/>
  <c r="Q36" i="4"/>
  <c r="P36" i="4"/>
  <c r="U35" i="4"/>
  <c r="T35" i="4"/>
  <c r="S35" i="4"/>
  <c r="R35" i="4"/>
  <c r="Q35" i="4"/>
  <c r="P35" i="4"/>
  <c r="U34" i="4"/>
  <c r="T34" i="4"/>
  <c r="S34" i="4"/>
  <c r="R34" i="4"/>
  <c r="Q34" i="4"/>
  <c r="P34" i="4"/>
  <c r="U33" i="4"/>
  <c r="T33" i="4"/>
  <c r="S33" i="4"/>
  <c r="R33" i="4"/>
  <c r="Q33" i="4"/>
  <c r="P33" i="4"/>
  <c r="U32" i="4"/>
  <c r="T32" i="4"/>
  <c r="S32" i="4"/>
  <c r="R32" i="4"/>
  <c r="Q32" i="4"/>
  <c r="P32" i="4"/>
  <c r="U31" i="4"/>
  <c r="T31" i="4"/>
  <c r="S31" i="4"/>
  <c r="R31" i="4"/>
  <c r="Q31" i="4"/>
  <c r="P31" i="4"/>
  <c r="U30" i="4"/>
  <c r="T30" i="4"/>
  <c r="S30" i="4"/>
  <c r="R30" i="4"/>
  <c r="Q30" i="4"/>
  <c r="P30" i="4"/>
  <c r="U29" i="4"/>
  <c r="T29" i="4"/>
  <c r="S29" i="4"/>
  <c r="R29" i="4"/>
  <c r="Q29" i="4"/>
  <c r="P29" i="4"/>
  <c r="U28" i="4"/>
  <c r="T28" i="4"/>
  <c r="S28" i="4"/>
  <c r="R28" i="4"/>
  <c r="Q28" i="4"/>
  <c r="P28" i="4"/>
  <c r="U27" i="4"/>
  <c r="T27" i="4"/>
  <c r="S27" i="4"/>
  <c r="R27" i="4"/>
  <c r="Q27" i="4"/>
  <c r="P27" i="4"/>
  <c r="U26" i="4"/>
  <c r="T26" i="4"/>
  <c r="S26" i="4"/>
  <c r="R26" i="4"/>
  <c r="Q26" i="4"/>
  <c r="P26" i="4"/>
  <c r="U25" i="4"/>
  <c r="T25" i="4"/>
  <c r="S25" i="4"/>
  <c r="R25" i="4"/>
  <c r="Q25" i="4"/>
  <c r="P25" i="4"/>
  <c r="U24" i="4"/>
  <c r="T24" i="4"/>
  <c r="S24" i="4"/>
  <c r="R24" i="4"/>
  <c r="Q24" i="4"/>
  <c r="P24" i="4"/>
  <c r="U23" i="4"/>
  <c r="T23" i="4"/>
  <c r="S23" i="4"/>
  <c r="R23" i="4"/>
  <c r="Q23" i="4"/>
  <c r="P23" i="4"/>
  <c r="U22" i="4"/>
  <c r="T22" i="4"/>
  <c r="S22" i="4"/>
  <c r="R22" i="4"/>
  <c r="Q22" i="4"/>
  <c r="P22" i="4"/>
  <c r="U21" i="4"/>
  <c r="T21" i="4"/>
  <c r="S21" i="4"/>
  <c r="R21" i="4"/>
  <c r="Q21" i="4"/>
  <c r="P21" i="4"/>
  <c r="U20" i="4"/>
  <c r="T20" i="4"/>
  <c r="S20" i="4"/>
  <c r="R20" i="4"/>
  <c r="Q20" i="4"/>
  <c r="P20" i="4"/>
  <c r="U19" i="4"/>
  <c r="T19" i="4"/>
  <c r="S19" i="4"/>
  <c r="R19" i="4"/>
  <c r="Q19" i="4"/>
  <c r="P19" i="4"/>
  <c r="U18" i="4"/>
  <c r="T18" i="4"/>
  <c r="S18" i="4"/>
  <c r="R18" i="4"/>
  <c r="Q18" i="4"/>
  <c r="P18" i="4"/>
  <c r="U17" i="4"/>
  <c r="T17" i="4"/>
  <c r="S17" i="4"/>
  <c r="R17" i="4"/>
  <c r="Q17" i="4"/>
  <c r="P17" i="4"/>
  <c r="U16" i="4"/>
  <c r="T16" i="4"/>
  <c r="S16" i="4"/>
  <c r="R16" i="4"/>
  <c r="Q16" i="4"/>
  <c r="P16" i="4"/>
  <c r="U15" i="4"/>
  <c r="T15" i="4"/>
  <c r="S15" i="4"/>
  <c r="R15" i="4"/>
  <c r="Q15" i="4"/>
  <c r="P15" i="4"/>
  <c r="U14" i="4"/>
  <c r="T14" i="4"/>
  <c r="S14" i="4"/>
  <c r="R14" i="4"/>
  <c r="Q14" i="4"/>
  <c r="P14" i="4"/>
  <c r="U13" i="4"/>
  <c r="T13" i="4"/>
  <c r="S13" i="4"/>
  <c r="R13" i="4"/>
  <c r="Q13" i="4"/>
  <c r="P13" i="4"/>
  <c r="U12" i="4"/>
  <c r="T12" i="4"/>
  <c r="S12" i="4"/>
  <c r="R12" i="4"/>
  <c r="Q12" i="4"/>
  <c r="P12" i="4"/>
  <c r="U11" i="4"/>
  <c r="T11" i="4"/>
  <c r="S11" i="4"/>
  <c r="R11" i="4"/>
  <c r="Q11" i="4"/>
  <c r="P11" i="4"/>
  <c r="U10" i="4"/>
  <c r="T10" i="4"/>
  <c r="S10" i="4"/>
  <c r="R10" i="4"/>
  <c r="Q10" i="4"/>
  <c r="P10" i="4"/>
  <c r="U9" i="4"/>
  <c r="T9" i="4"/>
  <c r="S9" i="4"/>
  <c r="R9" i="4"/>
  <c r="Q9" i="4"/>
  <c r="P9" i="4"/>
  <c r="U8" i="4"/>
  <c r="T8" i="4"/>
  <c r="S8" i="4"/>
  <c r="R8" i="4"/>
  <c r="Q8" i="4"/>
  <c r="P8" i="4"/>
  <c r="U7" i="4"/>
  <c r="T7" i="4"/>
  <c r="S7" i="4"/>
  <c r="R7" i="4"/>
  <c r="Q7" i="4"/>
  <c r="P7" i="4"/>
  <c r="U6" i="4"/>
  <c r="T6" i="4"/>
  <c r="S6" i="4"/>
  <c r="R6" i="4"/>
  <c r="Q6" i="4"/>
  <c r="U5" i="4"/>
  <c r="T5" i="4"/>
  <c r="S5" i="4"/>
  <c r="R5" i="4"/>
  <c r="Q5" i="4"/>
  <c r="U4" i="4"/>
  <c r="T4" i="4"/>
  <c r="S4" i="4"/>
  <c r="R4" i="4"/>
  <c r="Q4" i="4"/>
  <c r="U3" i="4"/>
  <c r="T3" i="4"/>
  <c r="S3" i="4"/>
  <c r="R3" i="4"/>
  <c r="Q3" i="4"/>
  <c r="P6" i="4"/>
  <c r="P5" i="4"/>
  <c r="P4" i="4"/>
  <c r="P3" i="4"/>
  <c r="AA15" i="21" l="1"/>
  <c r="Z11" i="21"/>
  <c r="Z15" i="21"/>
  <c r="W11" i="21"/>
  <c r="V80" i="4"/>
  <c r="V15" i="21"/>
  <c r="Y11" i="21"/>
  <c r="Y15" i="21"/>
  <c r="X11" i="21"/>
  <c r="X15" i="21"/>
  <c r="W15" i="21"/>
  <c r="AA11" i="21"/>
  <c r="V11" i="21"/>
  <c r="AL15" i="4"/>
  <c r="AL19" i="4"/>
  <c r="AL2" i="4"/>
  <c r="AL3" i="4"/>
  <c r="AL4" i="4"/>
  <c r="AL5" i="4"/>
  <c r="AL6" i="4"/>
  <c r="AL7" i="4"/>
  <c r="AL8" i="4"/>
  <c r="AL9" i="4"/>
  <c r="AL10" i="4"/>
  <c r="AL29" i="4"/>
  <c r="AL30" i="4"/>
  <c r="AL31" i="4"/>
  <c r="AL32" i="4"/>
  <c r="AL49" i="4" s="1"/>
  <c r="AL20" i="4"/>
  <c r="AL21" i="4"/>
  <c r="AL22" i="4"/>
  <c r="AL39" i="4" s="1"/>
  <c r="AL23" i="4"/>
  <c r="AL24" i="4"/>
  <c r="AL25" i="4"/>
  <c r="AL42" i="4" s="1"/>
  <c r="AL26" i="4"/>
  <c r="AL27" i="4"/>
  <c r="AL44" i="4" s="1"/>
  <c r="AL12" i="4"/>
  <c r="AL13" i="4"/>
  <c r="AL47" i="4" s="1"/>
  <c r="AL14" i="4"/>
  <c r="AL48" i="4" s="1"/>
  <c r="AL36" i="4"/>
  <c r="AF46" i="4"/>
  <c r="AE39" i="4"/>
  <c r="AE40" i="4"/>
  <c r="AE41" i="4"/>
  <c r="AE42" i="4"/>
  <c r="AE43" i="4"/>
  <c r="AE44" i="4"/>
  <c r="AE45" i="4"/>
  <c r="AC47" i="4"/>
  <c r="AC48" i="4"/>
  <c r="AC49" i="4"/>
  <c r="AC50" i="4"/>
  <c r="AD42" i="4"/>
  <c r="AD43" i="4"/>
  <c r="AD44" i="4"/>
  <c r="AD45" i="4"/>
  <c r="AF47" i="4"/>
  <c r="AF48" i="4"/>
  <c r="AF49" i="4"/>
  <c r="AC37" i="4"/>
  <c r="AD37" i="4"/>
  <c r="AK21" i="4"/>
  <c r="AD39" i="4"/>
  <c r="AK22" i="4"/>
  <c r="AD40" i="4"/>
  <c r="AK23" i="4"/>
  <c r="AD41" i="4"/>
  <c r="AK24" i="4"/>
  <c r="AK25" i="4"/>
  <c r="AK26" i="4"/>
  <c r="AK27" i="4"/>
  <c r="AF50" i="4"/>
  <c r="AK15" i="4"/>
  <c r="AB50" i="4"/>
  <c r="AK19" i="4"/>
  <c r="AE37" i="4"/>
  <c r="AJ21" i="4"/>
  <c r="AC39" i="4"/>
  <c r="AJ22" i="4"/>
  <c r="AC40" i="4"/>
  <c r="AJ23" i="4"/>
  <c r="AC41" i="4"/>
  <c r="AJ24" i="4"/>
  <c r="AC42" i="4"/>
  <c r="AJ25" i="4"/>
  <c r="AC43" i="4"/>
  <c r="AJ26" i="4"/>
  <c r="AC44" i="4"/>
  <c r="AJ27" i="4"/>
  <c r="AC45" i="4"/>
  <c r="AJ12" i="4"/>
  <c r="AA47" i="4"/>
  <c r="AE47" i="4"/>
  <c r="AA48" i="4"/>
  <c r="AJ13" i="4"/>
  <c r="AE48" i="4"/>
  <c r="AA49" i="4"/>
  <c r="AJ14" i="4"/>
  <c r="AE49" i="4"/>
  <c r="AJ15" i="4"/>
  <c r="AA50" i="4"/>
  <c r="AE50" i="4"/>
  <c r="E40" i="1"/>
  <c r="Q41" i="4" s="1"/>
  <c r="E41" i="1"/>
  <c r="Q42" i="4" s="1"/>
  <c r="AB47" i="4"/>
  <c r="AK12" i="4"/>
  <c r="F40" i="1"/>
  <c r="R41" i="4" s="1"/>
  <c r="F41" i="1"/>
  <c r="R42" i="4" s="1"/>
  <c r="D40" i="1"/>
  <c r="P41" i="4" s="1"/>
  <c r="G40" i="1"/>
  <c r="S41" i="4" s="1"/>
  <c r="G41" i="1"/>
  <c r="S42" i="4" s="1"/>
  <c r="AB48" i="4"/>
  <c r="AK13" i="4"/>
  <c r="AB49" i="4"/>
  <c r="AK14" i="4"/>
  <c r="AJ19" i="4"/>
  <c r="AJ4" i="4"/>
  <c r="AJ38" i="4" s="1"/>
  <c r="AA39" i="4"/>
  <c r="AA40" i="4"/>
  <c r="AJ5" i="4"/>
  <c r="AJ6" i="4"/>
  <c r="AJ40" i="4" s="1"/>
  <c r="AA41" i="4"/>
  <c r="AJ7" i="4"/>
  <c r="AJ41" i="4" s="1"/>
  <c r="AA42" i="4"/>
  <c r="AJ8" i="4"/>
  <c r="AJ42" i="4" s="1"/>
  <c r="AA43" i="4"/>
  <c r="AJ9" i="4"/>
  <c r="AJ43" i="4" s="1"/>
  <c r="AA44" i="4"/>
  <c r="AJ10" i="4"/>
  <c r="AJ44" i="4" s="1"/>
  <c r="AA45" i="4"/>
  <c r="AJ29" i="4"/>
  <c r="AJ30" i="4"/>
  <c r="AJ31" i="4"/>
  <c r="AJ32" i="4"/>
  <c r="AA37" i="4"/>
  <c r="AJ2" i="4"/>
  <c r="AJ36" i="4" s="1"/>
  <c r="AB37" i="4"/>
  <c r="AK2" i="4"/>
  <c r="AF37" i="4"/>
  <c r="AK4" i="4"/>
  <c r="AK38" i="4" s="1"/>
  <c r="AB39" i="4"/>
  <c r="AF39" i="4"/>
  <c r="AK5" i="4"/>
  <c r="AB40" i="4"/>
  <c r="AF40" i="4"/>
  <c r="AK6" i="4"/>
  <c r="AK40" i="4" s="1"/>
  <c r="AB41" i="4"/>
  <c r="AF41" i="4"/>
  <c r="AB42" i="4"/>
  <c r="AK7" i="4"/>
  <c r="AF42" i="4"/>
  <c r="AK8" i="4"/>
  <c r="AB43" i="4"/>
  <c r="AF43" i="4"/>
  <c r="AK9" i="4"/>
  <c r="AB44" i="4"/>
  <c r="AF44" i="4"/>
  <c r="AB45" i="4"/>
  <c r="AK10" i="4"/>
  <c r="AK44" i="4" s="1"/>
  <c r="AF45" i="4"/>
  <c r="AK29" i="4"/>
  <c r="AD47" i="4"/>
  <c r="AK30" i="4"/>
  <c r="AD48" i="4"/>
  <c r="AK31" i="4"/>
  <c r="AD49" i="4"/>
  <c r="AK32" i="4"/>
  <c r="AD50" i="4"/>
  <c r="D41" i="1"/>
  <c r="P42" i="4" s="1"/>
  <c r="H40" i="1"/>
  <c r="T41" i="4" s="1"/>
  <c r="H41" i="1"/>
  <c r="T42" i="4" s="1"/>
  <c r="AJ20" i="4"/>
  <c r="AK20" i="4"/>
  <c r="AJ3" i="4"/>
  <c r="AK3" i="4"/>
  <c r="AC38" i="4"/>
  <c r="AB38" i="4"/>
  <c r="AD38" i="4"/>
  <c r="AA38" i="4"/>
  <c r="AE38" i="4"/>
  <c r="AF38" i="4"/>
  <c r="AK42" i="4" l="1"/>
  <c r="AL46" i="4"/>
  <c r="AL40" i="4"/>
  <c r="AL38" i="4"/>
  <c r="AL43" i="4"/>
  <c r="AL41" i="4"/>
  <c r="AL37" i="4"/>
  <c r="AK43" i="4"/>
  <c r="AL28" i="4"/>
  <c r="AE46" i="4"/>
  <c r="AK39" i="4"/>
  <c r="AK48" i="4"/>
  <c r="AK41" i="4"/>
  <c r="AJ39" i="4"/>
  <c r="AC46" i="4"/>
  <c r="AJ49" i="4"/>
  <c r="AK28" i="4"/>
  <c r="AJ47" i="4"/>
  <c r="AJ46" i="4"/>
  <c r="AK36" i="4"/>
  <c r="AK46" i="4"/>
  <c r="AJ48" i="4"/>
  <c r="AB46" i="4"/>
  <c r="AA46" i="4"/>
  <c r="AK47" i="4"/>
  <c r="AJ28" i="4"/>
  <c r="AK49" i="4"/>
  <c r="AJ37" i="4"/>
  <c r="AK37" i="4"/>
  <c r="AK11" i="4" l="1"/>
  <c r="AL11" i="4"/>
  <c r="AL45" i="4" s="1"/>
  <c r="AJ11" i="4"/>
  <c r="AJ45" i="4" s="1"/>
  <c r="AD46" i="4"/>
  <c r="AK45" i="4"/>
  <c r="AO38" i="4" s="1"/>
  <c r="AO36" i="4" l="1"/>
  <c r="AO37" i="4"/>
  <c r="AS50" i="4" l="1"/>
  <c r="AS51" i="4" s="1"/>
  <c r="AS53" i="4" s="1"/>
  <c r="AS39" i="4"/>
  <c r="AS37" i="4"/>
  <c r="AS38" i="4"/>
  <c r="AS43" i="4"/>
  <c r="AS47" i="4"/>
  <c r="AS41" i="4"/>
  <c r="AS42" i="4"/>
  <c r="AS36" i="4"/>
  <c r="AS40" i="4"/>
  <c r="AS45" i="4"/>
  <c r="AS46" i="4"/>
  <c r="AS44" i="4"/>
  <c r="AS48" i="4"/>
  <c r="AS49" i="4"/>
  <c r="AT52" i="4" l="1"/>
  <c r="AT53" i="4"/>
  <c r="V72" i="4"/>
  <c r="B6" i="5" s="1"/>
  <c r="AA72" i="4"/>
  <c r="G6" i="5" s="1"/>
  <c r="Y72" i="4"/>
  <c r="E6" i="5" s="1"/>
  <c r="X72" i="4"/>
  <c r="D6" i="5" s="1"/>
  <c r="W72" i="4"/>
  <c r="C6" i="5" s="1"/>
  <c r="Z72" i="4"/>
  <c r="F6" i="5" s="1"/>
  <c r="AI70" i="4"/>
  <c r="AI71" i="4" s="1"/>
  <c r="AJ71" i="4" s="1"/>
  <c r="E30" i="24" l="1"/>
  <c r="L12" i="24" s="1"/>
  <c r="T8" i="24" s="1"/>
  <c r="E31" i="24"/>
  <c r="M12" i="24" s="1"/>
  <c r="M13" i="24" s="1"/>
  <c r="U9" i="24" s="1"/>
  <c r="E27" i="24"/>
  <c r="I12" i="24" s="1"/>
  <c r="I13" i="24" s="1"/>
  <c r="Q9" i="24" s="1"/>
  <c r="E26" i="24"/>
  <c r="H12" i="24" s="1"/>
  <c r="P8" i="24" s="1"/>
  <c r="E28" i="24"/>
  <c r="J12" i="24" s="1"/>
  <c r="E29" i="24"/>
  <c r="K12" i="24" s="1"/>
  <c r="K13" i="24" s="1"/>
  <c r="S9" i="24" s="1"/>
  <c r="U11" i="24"/>
  <c r="P11" i="24"/>
  <c r="R11" i="24"/>
  <c r="R8" i="24"/>
  <c r="J13" i="24"/>
  <c r="R9" i="24" s="1"/>
  <c r="J11" i="24"/>
  <c r="R7" i="24" s="1"/>
  <c r="T11" i="24"/>
  <c r="L13" i="24"/>
  <c r="T9" i="24" s="1"/>
  <c r="L11" i="24"/>
  <c r="T7" i="24" s="1"/>
  <c r="Q11" i="24"/>
  <c r="S11" i="24"/>
  <c r="AA7" i="21"/>
  <c r="V7" i="21"/>
  <c r="X7" i="21"/>
  <c r="Z7" i="21"/>
  <c r="W7" i="21"/>
  <c r="Y7" i="21"/>
  <c r="Y84" i="4"/>
  <c r="AA84" i="4"/>
  <c r="X84" i="4"/>
  <c r="Z84" i="4"/>
  <c r="W84" i="4"/>
  <c r="V84" i="4"/>
  <c r="AJ70" i="4"/>
  <c r="H11" i="24" l="1"/>
  <c r="P7" i="24" s="1"/>
  <c r="U8" i="24"/>
  <c r="H13" i="24"/>
  <c r="P9" i="24" s="1"/>
  <c r="Q8" i="24"/>
  <c r="K11" i="24"/>
  <c r="S7" i="24" s="1"/>
  <c r="I11" i="24"/>
  <c r="Q7" i="24" s="1"/>
  <c r="M11" i="24"/>
  <c r="U7" i="24" s="1"/>
  <c r="S8" i="24"/>
  <c r="R4" i="24"/>
  <c r="E5" i="25" s="1"/>
  <c r="Q4" i="24"/>
  <c r="D5" i="25" s="1"/>
  <c r="S4" i="24"/>
  <c r="F5" i="25" s="1"/>
  <c r="P4" i="24"/>
  <c r="C5" i="25" s="1"/>
  <c r="T4" i="24"/>
  <c r="G5" i="25" s="1"/>
  <c r="U4" i="24"/>
  <c r="H5" i="25" s="1"/>
  <c r="F18" i="5"/>
  <c r="F7" i="5"/>
  <c r="F5" i="5"/>
  <c r="D5" i="5"/>
  <c r="D18" i="5"/>
  <c r="D7" i="5"/>
  <c r="B18" i="5"/>
  <c r="B7" i="5"/>
  <c r="B5" i="5"/>
  <c r="G18" i="5"/>
  <c r="G7" i="5"/>
  <c r="G5" i="5"/>
  <c r="C18" i="5"/>
  <c r="C7" i="5"/>
  <c r="C5" i="5"/>
  <c r="J20" i="5"/>
  <c r="X80" i="4"/>
  <c r="Y80" i="4"/>
  <c r="Z76" i="4"/>
  <c r="W80" i="4"/>
  <c r="W76" i="4"/>
  <c r="AA80" i="4"/>
  <c r="Y76" i="4"/>
  <c r="Z80" i="4"/>
  <c r="X76" i="4"/>
  <c r="AA76" i="4"/>
  <c r="D17" i="5" l="1"/>
  <c r="X6" i="21"/>
  <c r="C17" i="5"/>
  <c r="W6" i="21"/>
  <c r="V19" i="21"/>
  <c r="C19" i="5"/>
  <c r="W8" i="21"/>
  <c r="AA19" i="21"/>
  <c r="D19" i="5"/>
  <c r="X8" i="21"/>
  <c r="F19" i="5"/>
  <c r="Z8" i="21"/>
  <c r="G17" i="5"/>
  <c r="AA6" i="21"/>
  <c r="B19" i="5"/>
  <c r="V8" i="21"/>
  <c r="G19" i="5"/>
  <c r="AA8" i="21"/>
  <c r="F17" i="5"/>
  <c r="Z6" i="21"/>
  <c r="W19" i="21"/>
  <c r="B17" i="5"/>
  <c r="V6" i="21"/>
  <c r="X19" i="21"/>
  <c r="Z19" i="21"/>
  <c r="X73" i="4"/>
  <c r="AA71" i="4"/>
  <c r="AA73" i="4"/>
  <c r="Z73" i="4"/>
  <c r="X71" i="4"/>
  <c r="V71" i="4"/>
  <c r="B8" i="5"/>
  <c r="V73" i="4"/>
  <c r="B4" i="5"/>
  <c r="C8" i="5"/>
  <c r="F8" i="5"/>
  <c r="E8" i="5"/>
  <c r="E5" i="5"/>
  <c r="E18" i="5"/>
  <c r="E7" i="5"/>
  <c r="E4" i="5"/>
  <c r="C4" i="5"/>
  <c r="G8" i="5"/>
  <c r="F4" i="5"/>
  <c r="G4" i="5"/>
  <c r="D4" i="5"/>
  <c r="D8" i="5"/>
  <c r="J22" i="5"/>
  <c r="J25" i="5"/>
  <c r="J21" i="5"/>
  <c r="J24" i="5"/>
  <c r="W73" i="4"/>
  <c r="W71" i="4"/>
  <c r="Z71" i="4"/>
  <c r="Z83" i="4" l="1"/>
  <c r="Z85" i="4"/>
  <c r="V70" i="4"/>
  <c r="AA85" i="4"/>
  <c r="X85" i="4"/>
  <c r="X83" i="4"/>
  <c r="V85" i="4"/>
  <c r="V83" i="4"/>
  <c r="E20" i="5"/>
  <c r="Y9" i="21"/>
  <c r="AA18" i="21"/>
  <c r="E19" i="5"/>
  <c r="Y8" i="21"/>
  <c r="B20" i="5"/>
  <c r="V9" i="21"/>
  <c r="AA83" i="4"/>
  <c r="D20" i="5"/>
  <c r="X9" i="21"/>
  <c r="G20" i="5"/>
  <c r="AA9" i="21"/>
  <c r="Y19" i="21"/>
  <c r="C20" i="5"/>
  <c r="W9" i="21"/>
  <c r="V18" i="21"/>
  <c r="AA20" i="21"/>
  <c r="X20" i="21"/>
  <c r="G16" i="5"/>
  <c r="AA5" i="21"/>
  <c r="E16" i="5"/>
  <c r="Y5" i="21"/>
  <c r="W83" i="4"/>
  <c r="W18" i="21"/>
  <c r="F16" i="5"/>
  <c r="Z5" i="21"/>
  <c r="F20" i="5"/>
  <c r="Z9" i="21"/>
  <c r="V20" i="21"/>
  <c r="D16" i="5"/>
  <c r="X5" i="21"/>
  <c r="C16" i="5"/>
  <c r="W5" i="21"/>
  <c r="E17" i="5"/>
  <c r="Y6" i="21"/>
  <c r="B16" i="5"/>
  <c r="V5" i="21"/>
  <c r="Z18" i="21"/>
  <c r="Z20" i="21"/>
  <c r="W85" i="4"/>
  <c r="W20" i="21"/>
  <c r="X18" i="21"/>
  <c r="Y71" i="4"/>
  <c r="Y73" i="4"/>
  <c r="V74" i="4"/>
  <c r="AA74" i="4"/>
  <c r="W74" i="4"/>
  <c r="AA70" i="4"/>
  <c r="Z70" i="4"/>
  <c r="Z74" i="4"/>
  <c r="J23" i="5"/>
  <c r="X70" i="4"/>
  <c r="W70" i="4"/>
  <c r="Z86" i="4" l="1"/>
  <c r="AA86" i="4"/>
  <c r="Y85" i="4"/>
  <c r="Y83" i="4"/>
  <c r="W86" i="4"/>
  <c r="X17" i="21"/>
  <c r="W17" i="21"/>
  <c r="Z21" i="21"/>
  <c r="AA17" i="21"/>
  <c r="Y20" i="21"/>
  <c r="V17" i="21"/>
  <c r="AA21" i="21"/>
  <c r="V82" i="4"/>
  <c r="Z17" i="21"/>
  <c r="Y18" i="21"/>
  <c r="Y17" i="21"/>
  <c r="W21" i="21"/>
  <c r="X21" i="21"/>
  <c r="V86" i="4"/>
  <c r="V21" i="21"/>
  <c r="Y21" i="21"/>
  <c r="AA82" i="4"/>
  <c r="Z82" i="4"/>
  <c r="W82" i="4"/>
  <c r="X82" i="4"/>
  <c r="X74" i="4"/>
  <c r="Y70" i="4"/>
  <c r="Y86" i="4"/>
  <c r="Y74" i="4"/>
  <c r="X86" i="4" l="1"/>
  <c r="Y82" i="4"/>
</calcChain>
</file>

<file path=xl/comments1.xml><?xml version="1.0" encoding="utf-8"?>
<comments xmlns="http://schemas.openxmlformats.org/spreadsheetml/2006/main">
  <authors>
    <author>Daniel Mitchell</author>
  </authors>
  <commentList>
    <comment ref="Q2" authorId="0" shapeId="0">
      <text>
        <r>
          <rPr>
            <b/>
            <sz val="9"/>
            <color indexed="81"/>
            <rFont val="Tahoma"/>
            <family val="2"/>
          </rPr>
          <t>Daniel Mitchell:</t>
        </r>
        <r>
          <rPr>
            <sz val="9"/>
            <color indexed="81"/>
            <rFont val="Tahoma"/>
            <family val="2"/>
          </rPr>
          <t xml:space="preserve">
To be inputted during RP6 when known.</t>
        </r>
      </text>
    </comment>
  </commentList>
</comments>
</file>

<file path=xl/sharedStrings.xml><?xml version="1.0" encoding="utf-8"?>
<sst xmlns="http://schemas.openxmlformats.org/spreadsheetml/2006/main" count="2123" uniqueCount="1006">
  <si>
    <t>Unplanned customer interruptions (unweighted, including exceptional events)</t>
  </si>
  <si>
    <t>Unplanned customer minutes lost (unweighted, including exceptional events)</t>
  </si>
  <si>
    <t>Unplanned customer interruptions (unweighted, excluding exceptional events)</t>
  </si>
  <si>
    <t>Unplanned customer minutes lost (unweighted, excluding exceptional events)</t>
  </si>
  <si>
    <t>DNO Output Levels</t>
  </si>
  <si>
    <t>Units</t>
  </si>
  <si>
    <t>CI</t>
  </si>
  <si>
    <t>CML</t>
  </si>
  <si>
    <t>DNO</t>
  </si>
  <si>
    <t>SSEH</t>
  </si>
  <si>
    <t>2010/11</t>
  </si>
  <si>
    <t>2011/12</t>
  </si>
  <si>
    <t>2012/13</t>
  </si>
  <si>
    <t>2013/14</t>
  </si>
  <si>
    <t>2014/15</t>
  </si>
  <si>
    <t>2015/16</t>
  </si>
  <si>
    <t>EMID</t>
  </si>
  <si>
    <t>ENWL</t>
  </si>
  <si>
    <t>EPN</t>
  </si>
  <si>
    <t>LPN</t>
  </si>
  <si>
    <t>NPGN</t>
  </si>
  <si>
    <t>NPgY</t>
  </si>
  <si>
    <t>SPD</t>
  </si>
  <si>
    <t>SPMW</t>
  </si>
  <si>
    <t>SPN</t>
  </si>
  <si>
    <t>SSES</t>
  </si>
  <si>
    <t>SWALES</t>
  </si>
  <si>
    <t>SWEST</t>
  </si>
  <si>
    <t>WMID</t>
  </si>
  <si>
    <t>LV</t>
  </si>
  <si>
    <t>HV</t>
  </si>
  <si>
    <t>EHV</t>
  </si>
  <si>
    <t>Total</t>
  </si>
  <si>
    <t>NIE Networks</t>
  </si>
  <si>
    <t>Sub-system</t>
  </si>
  <si>
    <t>Planned customer interruptions (unweighted)</t>
  </si>
  <si>
    <t>Planned customer minutes lost (unweighted)</t>
  </si>
  <si>
    <t>CML/CI</t>
  </si>
  <si>
    <t>UQ</t>
  </si>
  <si>
    <t>Average</t>
  </si>
  <si>
    <t>Unplanned CML Benchmark target</t>
  </si>
  <si>
    <t>*4 year HV and LV, 10 years EHV</t>
  </si>
  <si>
    <t>2011-2015</t>
  </si>
  <si>
    <t>2012-2016</t>
  </si>
  <si>
    <t>NIE Networks Weighted Historial Average</t>
  </si>
  <si>
    <t>Planned CML target</t>
  </si>
  <si>
    <t>Combined Unplanned and Planned Target</t>
  </si>
  <si>
    <t>Unplanned CML target</t>
  </si>
  <si>
    <t>NIE Networks weighted (benchmark and historical average)</t>
  </si>
  <si>
    <t>Weighted CML outturn (Planned (50%) + Unplanned (100%))</t>
  </si>
  <si>
    <t>% change from 2015/16 outturn</t>
  </si>
  <si>
    <t>RP5/RP6</t>
  </si>
  <si>
    <t>RP6</t>
  </si>
  <si>
    <t>Dead band max</t>
  </si>
  <si>
    <t>Dead band min</t>
  </si>
  <si>
    <t>Planned CML</t>
  </si>
  <si>
    <t>Annual Electricity Consumption</t>
  </si>
  <si>
    <t>Average Consumption per hour</t>
  </si>
  <si>
    <t>2018/19</t>
  </si>
  <si>
    <t>2019/20</t>
  </si>
  <si>
    <t>2020/21</t>
  </si>
  <si>
    <t>2021/22</t>
  </si>
  <si>
    <t>2022/23</t>
  </si>
  <si>
    <t>2023/24</t>
  </si>
  <si>
    <t>PA CML Target</t>
  </si>
  <si>
    <t>Value of Lost Load</t>
  </si>
  <si>
    <t>£/kWhr</t>
  </si>
  <si>
    <t>Max Reward</t>
  </si>
  <si>
    <t>Cost per hour per customer</t>
  </si>
  <si>
    <t>Max Penalty</t>
  </si>
  <si>
    <t>Customer numbers used for CML</t>
  </si>
  <si>
    <t>Cost of Customer Hour Lost</t>
  </si>
  <si>
    <t>Cost of Customer Minute Lost</t>
  </si>
  <si>
    <t>Cost of pre-arranged CML</t>
  </si>
  <si>
    <t>Combined CML Target</t>
  </si>
  <si>
    <t>Dead band</t>
  </si>
  <si>
    <t>Max reward</t>
  </si>
  <si>
    <t>Max penalty</t>
  </si>
  <si>
    <t>Choice &gt;&gt;</t>
  </si>
  <si>
    <t>RIIO-T1/ED1</t>
  </si>
  <si>
    <t>Reckon RIIO-ED1 review - Northern Ireland</t>
  </si>
  <si>
    <t>NIE Networks Assumption</t>
  </si>
  <si>
    <t>% of annual revenue</t>
  </si>
  <si>
    <t>14/15 figures for consistency</t>
  </si>
  <si>
    <t>List</t>
  </si>
  <si>
    <t>ID</t>
  </si>
  <si>
    <t>Chart Data</t>
  </si>
  <si>
    <t>Unplanned CML Chart Data</t>
  </si>
  <si>
    <t>Planned CML Chart Data</t>
  </si>
  <si>
    <t>Combined CML Chart Data</t>
  </si>
  <si>
    <t>CML GB DNO and NIE Networks 2010/11 to 2015/16</t>
  </si>
  <si>
    <t>CI GB DNO and NIE Networks 2010/11 to 2015/16</t>
  </si>
  <si>
    <t>CML per CI - GB DNO and NIE Networks 2010/11 to 2015/16</t>
  </si>
  <si>
    <t>CML 5-year rolling average</t>
  </si>
  <si>
    <t>CI 5-year rolling average</t>
  </si>
  <si>
    <t>CML per CI 5-year rolling average</t>
  </si>
  <si>
    <t>Weighted Average</t>
  </si>
  <si>
    <t>NIE Networks 5-year Historical Average</t>
  </si>
  <si>
    <t>kWh (2014/15)</t>
  </si>
  <si>
    <t>kWh per customer</t>
  </si>
  <si>
    <t>Total hours in a year</t>
  </si>
  <si>
    <t>Input Data</t>
  </si>
  <si>
    <t>Total RP6 DD distribution revenue</t>
  </si>
  <si>
    <t>Average Annual RP6 distribution revenue</t>
  </si>
  <si>
    <t>Non-domestic Electricity Consumption</t>
  </si>
  <si>
    <t>Domestic Electricity Consumption</t>
  </si>
  <si>
    <t>RP6 CML Targets</t>
  </si>
  <si>
    <t>Unplanned CML target and boundaries</t>
  </si>
  <si>
    <t>Unplanned CML Target</t>
  </si>
  <si>
    <t>Planned CML target and boundaries</t>
  </si>
  <si>
    <t>Combined CML target and boundaries</t>
  </si>
  <si>
    <t>Unplanned CML revenue allowance (2/3)</t>
  </si>
  <si>
    <t>Planned CML revenue allowance (1/3)</t>
  </si>
  <si>
    <t>Unplanned CML cap/collar</t>
  </si>
  <si>
    <t>Planned CML cap/collar</t>
  </si>
  <si>
    <t>CML and CI Inputs</t>
  </si>
  <si>
    <t>NIE Networks Unplanned CML Benchmark Target</t>
  </si>
  <si>
    <t>NIE Networks Weighted Unplanned CML Target</t>
  </si>
  <si>
    <t>Inputs &gt;&gt;</t>
  </si>
  <si>
    <t>GB</t>
  </si>
  <si>
    <t>Analysis &gt;&gt;</t>
  </si>
  <si>
    <t>CML analysis 1</t>
  </si>
  <si>
    <t>CML analysis 2</t>
  </si>
  <si>
    <t>Unplanned CML</t>
  </si>
  <si>
    <t>Combined CML</t>
  </si>
  <si>
    <t>Contains historical GB DNO CML data from RIIO-ED1 rigs</t>
  </si>
  <si>
    <t>Contains historical NIE Networks CML data</t>
  </si>
  <si>
    <t>Calculates the CML targets</t>
  </si>
  <si>
    <t>Calculates the CML cap and floor</t>
  </si>
  <si>
    <t>Source: Ofgem RIIO-ED1 snapshot</t>
  </si>
  <si>
    <t>Sources: UR RP6 DD, BEIS, DECC, NIE Networks, Reckon RIIO-ED1 VOLL review</t>
  </si>
  <si>
    <t>Domestic Electricity Consumption: Department for Business, Energy &amp; Industrial Strategy (BEIS), 2016. "Sub-national domestic electricity consumption in Northern Ireland (2008-2014)".</t>
  </si>
  <si>
    <t>Non-domestic Electricity Consumption: Department for Business, Energy &amp; Industrial Strategy (BEIS), 2016. "Sub-national non-domestic electricity consumption in Northern Ireland (2008-2014)".</t>
  </si>
  <si>
    <t>Customer numbers used for CML: 2014/15 figures taken from NIE's RP6 business plan submission.</t>
  </si>
  <si>
    <t>CHOICES</t>
  </si>
  <si>
    <t>Historical averages</t>
  </si>
  <si>
    <t>*5 year unplanned</t>
  </si>
  <si>
    <t>2013-2017</t>
  </si>
  <si>
    <t>Benchmarking period</t>
  </si>
  <si>
    <t>Benchmark</t>
  </si>
  <si>
    <t>Chosen Benchmark</t>
  </si>
  <si>
    <t>Upper Quartile</t>
  </si>
  <si>
    <t>Unplanned CML target weights</t>
  </si>
  <si>
    <t>Historical average</t>
  </si>
  <si>
    <t>Historical Average</t>
  </si>
  <si>
    <t>DD</t>
  </si>
  <si>
    <t>Deadband</t>
  </si>
  <si>
    <t>Number of meters</t>
  </si>
  <si>
    <t>SEM Committee</t>
  </si>
  <si>
    <t>Financial Year</t>
  </si>
  <si>
    <t>SEM committee VOLL for the period from 1st November 2007 to 31st December 2008 (€ / MWh)</t>
  </si>
  <si>
    <t>1987 JAN</t>
  </si>
  <si>
    <t>January</t>
  </si>
  <si>
    <t>1987 FEB</t>
  </si>
  <si>
    <t>February</t>
  </si>
  <si>
    <t>SEM committee VOLL for the period from 1st November 2007 to 31st December 2008 - converted to £ / MWh</t>
  </si>
  <si>
    <t>1987 MAR</t>
  </si>
  <si>
    <t>March</t>
  </si>
  <si>
    <t>1987 APR</t>
  </si>
  <si>
    <t>April</t>
  </si>
  <si>
    <t>SEM committee VOLL for the period from 1st November 2007 to 31st December 2008 (£ 2015/16 prices)</t>
  </si>
  <si>
    <t>1987 MAY</t>
  </si>
  <si>
    <t>May</t>
  </si>
  <si>
    <t>Index factor: average RPI April 2015 to March 2016 / average RPI Nov 2007 to Dec 2008</t>
  </si>
  <si>
    <t>1987 JUN</t>
  </si>
  <si>
    <t>June</t>
  </si>
  <si>
    <t>1987 JUL</t>
  </si>
  <si>
    <t>July</t>
  </si>
  <si>
    <t>per MWh</t>
  </si>
  <si>
    <t>per KWh</t>
  </si>
  <si>
    <t>1987 AUG</t>
  </si>
  <si>
    <t>August</t>
  </si>
  <si>
    <t>1987 SEP</t>
  </si>
  <si>
    <t>September</t>
  </si>
  <si>
    <t>Tol VOLL estimate (taken from RIIO-ED1 reckon review, converted to £ in January 2012 prices)</t>
  </si>
  <si>
    <t>1987 OCT</t>
  </si>
  <si>
    <t>October</t>
  </si>
  <si>
    <t>1987 NOV</t>
  </si>
  <si>
    <t>November</t>
  </si>
  <si>
    <t>RPI index</t>
  </si>
  <si>
    <t>1987 DEC</t>
  </si>
  <si>
    <t>December</t>
  </si>
  <si>
    <t>January 2012 RPI</t>
  </si>
  <si>
    <t>1988 JAN</t>
  </si>
  <si>
    <t>Average 2015/16 RPI index</t>
  </si>
  <si>
    <t>1988 FEB</t>
  </si>
  <si>
    <t>Index factor</t>
  </si>
  <si>
    <t>1988 MAR</t>
  </si>
  <si>
    <t>Tol VOLL estimate (taken from RIIO-ED1 reckon review, converted to £ in 2015/16 prices)</t>
  </si>
  <si>
    <t>1988 APR</t>
  </si>
  <si>
    <t>1988 MAY</t>
  </si>
  <si>
    <t>1988 JUN</t>
  </si>
  <si>
    <t>Ofgem RIIO-ED1 VOLL (£ per KWh in March 2011 prices)</t>
  </si>
  <si>
    <t>1988 JUL</t>
  </si>
  <si>
    <t>1988 AUG</t>
  </si>
  <si>
    <t>1988 SEP</t>
  </si>
  <si>
    <t>March 2011 RPI</t>
  </si>
  <si>
    <t>1988 OCT</t>
  </si>
  <si>
    <t>1988 NOV</t>
  </si>
  <si>
    <t>1988 DEC</t>
  </si>
  <si>
    <t>1989 JAN</t>
  </si>
  <si>
    <t>1989 FEB</t>
  </si>
  <si>
    <t>1989 MAR</t>
  </si>
  <si>
    <t>1989 APR</t>
  </si>
  <si>
    <t>1989 MAY</t>
  </si>
  <si>
    <t>1989 JUN</t>
  </si>
  <si>
    <t>1989 JUL</t>
  </si>
  <si>
    <t>1989 AUG</t>
  </si>
  <si>
    <t>1989 SEP</t>
  </si>
  <si>
    <t>1989 OCT</t>
  </si>
  <si>
    <t>1989 NOV</t>
  </si>
  <si>
    <t>1989 DEC</t>
  </si>
  <si>
    <t>1990 JAN</t>
  </si>
  <si>
    <t>1990 FEB</t>
  </si>
  <si>
    <t>1990 MAR</t>
  </si>
  <si>
    <t>1990 APR</t>
  </si>
  <si>
    <t>1990 MAY</t>
  </si>
  <si>
    <t>1990 JUN</t>
  </si>
  <si>
    <t>1990 JUL</t>
  </si>
  <si>
    <t>1990 AUG</t>
  </si>
  <si>
    <t>1990 SEP</t>
  </si>
  <si>
    <t>1990 OCT</t>
  </si>
  <si>
    <t>1990 NOV</t>
  </si>
  <si>
    <t>1990 DEC</t>
  </si>
  <si>
    <t>1991 JAN</t>
  </si>
  <si>
    <t>1991 FEB</t>
  </si>
  <si>
    <t>1991 MAR</t>
  </si>
  <si>
    <t>1991 APR</t>
  </si>
  <si>
    <t>1991 MAY</t>
  </si>
  <si>
    <t>1991 JUN</t>
  </si>
  <si>
    <t>1991 JUL</t>
  </si>
  <si>
    <t>1991 AUG</t>
  </si>
  <si>
    <t>1991 SEP</t>
  </si>
  <si>
    <t>1991 OCT</t>
  </si>
  <si>
    <t>1991 NOV</t>
  </si>
  <si>
    <t>1991 DEC</t>
  </si>
  <si>
    <t>1992 JAN</t>
  </si>
  <si>
    <t>1992 FEB</t>
  </si>
  <si>
    <t>1992 MAR</t>
  </si>
  <si>
    <t>1992 APR</t>
  </si>
  <si>
    <t>1992 MAY</t>
  </si>
  <si>
    <t>1992 JUN</t>
  </si>
  <si>
    <t>1992 JUL</t>
  </si>
  <si>
    <t>1992 AUG</t>
  </si>
  <si>
    <t>1992 SEP</t>
  </si>
  <si>
    <t>1992 OCT</t>
  </si>
  <si>
    <t>1992 NOV</t>
  </si>
  <si>
    <t>1992 DEC</t>
  </si>
  <si>
    <t>1993 JAN</t>
  </si>
  <si>
    <t>1993 FEB</t>
  </si>
  <si>
    <t>1993 MAR</t>
  </si>
  <si>
    <t>1993 APR</t>
  </si>
  <si>
    <t>1993 MAY</t>
  </si>
  <si>
    <t>1993 JUN</t>
  </si>
  <si>
    <t>1993 JUL</t>
  </si>
  <si>
    <t>1993 AUG</t>
  </si>
  <si>
    <t>1993 SEP</t>
  </si>
  <si>
    <t>1993 OCT</t>
  </si>
  <si>
    <t>1993 NOV</t>
  </si>
  <si>
    <t>1993 DEC</t>
  </si>
  <si>
    <t>1994 JAN</t>
  </si>
  <si>
    <t>1994 FEB</t>
  </si>
  <si>
    <t>1994 MAR</t>
  </si>
  <si>
    <t>1994 APR</t>
  </si>
  <si>
    <t>1994 MAY</t>
  </si>
  <si>
    <t>1994 JUN</t>
  </si>
  <si>
    <t>1994 JUL</t>
  </si>
  <si>
    <t>1994 AUG</t>
  </si>
  <si>
    <t>1994 SEP</t>
  </si>
  <si>
    <t>1994 OCT</t>
  </si>
  <si>
    <t>1994 NOV</t>
  </si>
  <si>
    <t>1994 DEC</t>
  </si>
  <si>
    <t>1995 JAN</t>
  </si>
  <si>
    <t>1995 FEB</t>
  </si>
  <si>
    <t>1995 MAR</t>
  </si>
  <si>
    <t>1995 APR</t>
  </si>
  <si>
    <t>1995 MAY</t>
  </si>
  <si>
    <t>1995 JUN</t>
  </si>
  <si>
    <t>1995 JUL</t>
  </si>
  <si>
    <t>1995 AUG</t>
  </si>
  <si>
    <t>1995 SEP</t>
  </si>
  <si>
    <t>1995 OCT</t>
  </si>
  <si>
    <t>1995 NOV</t>
  </si>
  <si>
    <t>1995 DEC</t>
  </si>
  <si>
    <t>1996 JAN</t>
  </si>
  <si>
    <t>1996 FEB</t>
  </si>
  <si>
    <t>1996 MAR</t>
  </si>
  <si>
    <t>1996 APR</t>
  </si>
  <si>
    <t>1996 MAY</t>
  </si>
  <si>
    <t>1996 JUN</t>
  </si>
  <si>
    <t>1996 JUL</t>
  </si>
  <si>
    <t>1996 AUG</t>
  </si>
  <si>
    <t>1996 SEP</t>
  </si>
  <si>
    <t>1996 OCT</t>
  </si>
  <si>
    <t>1996 NOV</t>
  </si>
  <si>
    <t>1996 DEC</t>
  </si>
  <si>
    <t>1997 JAN</t>
  </si>
  <si>
    <t>1997 FEB</t>
  </si>
  <si>
    <t>1997 MAR</t>
  </si>
  <si>
    <t>1997 APR</t>
  </si>
  <si>
    <t>1997 MAY</t>
  </si>
  <si>
    <t>1997 JUN</t>
  </si>
  <si>
    <t>1997 JUL</t>
  </si>
  <si>
    <t>1997 AUG</t>
  </si>
  <si>
    <t>1997 SEP</t>
  </si>
  <si>
    <t>1997 OCT</t>
  </si>
  <si>
    <t>1997 NOV</t>
  </si>
  <si>
    <t>1997 DEC</t>
  </si>
  <si>
    <t>1998 JAN</t>
  </si>
  <si>
    <t>1998 FEB</t>
  </si>
  <si>
    <t>1998 MAR</t>
  </si>
  <si>
    <t>1998 APR</t>
  </si>
  <si>
    <t>1998 MAY</t>
  </si>
  <si>
    <t>1998 JUN</t>
  </si>
  <si>
    <t>1998 JUL</t>
  </si>
  <si>
    <t>1998 AUG</t>
  </si>
  <si>
    <t>1998 SEP</t>
  </si>
  <si>
    <t>1998 OCT</t>
  </si>
  <si>
    <t>1998 NOV</t>
  </si>
  <si>
    <t>1998 DEC</t>
  </si>
  <si>
    <t>1999 JAN</t>
  </si>
  <si>
    <t>1999 FEB</t>
  </si>
  <si>
    <t>1999 MAR</t>
  </si>
  <si>
    <t>1999 APR</t>
  </si>
  <si>
    <t>1999 MAY</t>
  </si>
  <si>
    <t>1999 JUN</t>
  </si>
  <si>
    <t>1999 JUL</t>
  </si>
  <si>
    <t>1999 AUG</t>
  </si>
  <si>
    <t>1999 SEP</t>
  </si>
  <si>
    <t>1999 OCT</t>
  </si>
  <si>
    <t>1999 NOV</t>
  </si>
  <si>
    <t>1999 DEC</t>
  </si>
  <si>
    <t>2000 JAN</t>
  </si>
  <si>
    <t>2000 FEB</t>
  </si>
  <si>
    <t>2000 MAR</t>
  </si>
  <si>
    <t>2000 APR</t>
  </si>
  <si>
    <t>2000 MAY</t>
  </si>
  <si>
    <t>2000 JUN</t>
  </si>
  <si>
    <t>2000 JUL</t>
  </si>
  <si>
    <t>2000 AUG</t>
  </si>
  <si>
    <t>2000 SEP</t>
  </si>
  <si>
    <t>2000 OCT</t>
  </si>
  <si>
    <t>2000 NOV</t>
  </si>
  <si>
    <t>2000 DEC</t>
  </si>
  <si>
    <t>2001 JAN</t>
  </si>
  <si>
    <t>2001 FEB</t>
  </si>
  <si>
    <t>2001 MAR</t>
  </si>
  <si>
    <t>2001 APR</t>
  </si>
  <si>
    <t>2001 MAY</t>
  </si>
  <si>
    <t>2001 JUN</t>
  </si>
  <si>
    <t>2001 JUL</t>
  </si>
  <si>
    <t>2001 AUG</t>
  </si>
  <si>
    <t>2001 SEP</t>
  </si>
  <si>
    <t>2001 OCT</t>
  </si>
  <si>
    <t>2001 NOV</t>
  </si>
  <si>
    <t>2001 DEC</t>
  </si>
  <si>
    <t>2002 JAN</t>
  </si>
  <si>
    <t>2002 FEB</t>
  </si>
  <si>
    <t>2002 MAR</t>
  </si>
  <si>
    <t>2002 APR</t>
  </si>
  <si>
    <t>2002 MAY</t>
  </si>
  <si>
    <t>2002 JUN</t>
  </si>
  <si>
    <t>2002 JUL</t>
  </si>
  <si>
    <t>2002 AUG</t>
  </si>
  <si>
    <t>2002 SEP</t>
  </si>
  <si>
    <t>2002 OCT</t>
  </si>
  <si>
    <t>2002 NOV</t>
  </si>
  <si>
    <t>2002 DEC</t>
  </si>
  <si>
    <t>2003 JAN</t>
  </si>
  <si>
    <t>2003 FEB</t>
  </si>
  <si>
    <t>2003 MAR</t>
  </si>
  <si>
    <t>2003 APR</t>
  </si>
  <si>
    <t>2003 MAY</t>
  </si>
  <si>
    <t>2003 JUN</t>
  </si>
  <si>
    <t>2003 JUL</t>
  </si>
  <si>
    <t>2003 AUG</t>
  </si>
  <si>
    <t>2003 SEP</t>
  </si>
  <si>
    <t>2003 OCT</t>
  </si>
  <si>
    <t>2003 NOV</t>
  </si>
  <si>
    <t>2003 DEC</t>
  </si>
  <si>
    <t>2004 JAN</t>
  </si>
  <si>
    <t>2004 FEB</t>
  </si>
  <si>
    <t>2004 MAR</t>
  </si>
  <si>
    <t>2004 APR</t>
  </si>
  <si>
    <t>2004 MAY</t>
  </si>
  <si>
    <t>2004 JUN</t>
  </si>
  <si>
    <t>2004 JUL</t>
  </si>
  <si>
    <t>2004 AUG</t>
  </si>
  <si>
    <t>2004 SEP</t>
  </si>
  <si>
    <t>2004 OCT</t>
  </si>
  <si>
    <t>2004 NOV</t>
  </si>
  <si>
    <t>2004 DEC</t>
  </si>
  <si>
    <t>2005 JAN</t>
  </si>
  <si>
    <t>2005 FEB</t>
  </si>
  <si>
    <t>2005 MAR</t>
  </si>
  <si>
    <t>2005 APR</t>
  </si>
  <si>
    <t>2005 MAY</t>
  </si>
  <si>
    <t>2005 JUN</t>
  </si>
  <si>
    <t>2005 JUL</t>
  </si>
  <si>
    <t>2005 AUG</t>
  </si>
  <si>
    <t>2005 SEP</t>
  </si>
  <si>
    <t>2005 OCT</t>
  </si>
  <si>
    <t>2005 NOV</t>
  </si>
  <si>
    <t>2005 DEC</t>
  </si>
  <si>
    <t>2006 JAN</t>
  </si>
  <si>
    <t>2006 FEB</t>
  </si>
  <si>
    <t>2006 MAR</t>
  </si>
  <si>
    <t>2006 APR</t>
  </si>
  <si>
    <t>2006 MAY</t>
  </si>
  <si>
    <t>2006 JUN</t>
  </si>
  <si>
    <t>2006 JUL</t>
  </si>
  <si>
    <t>2006 AUG</t>
  </si>
  <si>
    <t>2006 SEP</t>
  </si>
  <si>
    <t>2006 OCT</t>
  </si>
  <si>
    <t>2006 NOV</t>
  </si>
  <si>
    <t>2006 DEC</t>
  </si>
  <si>
    <t>2007 JAN</t>
  </si>
  <si>
    <t>2007 FEB</t>
  </si>
  <si>
    <t>2007 MAR</t>
  </si>
  <si>
    <t>2007 APR</t>
  </si>
  <si>
    <t>2007 MAY</t>
  </si>
  <si>
    <t>2007 JUN</t>
  </si>
  <si>
    <t>2007 JUL</t>
  </si>
  <si>
    <t>2007 AUG</t>
  </si>
  <si>
    <t>2007 SEP</t>
  </si>
  <si>
    <t>2007 OCT</t>
  </si>
  <si>
    <t>2007 NOV</t>
  </si>
  <si>
    <t>2007 DEC</t>
  </si>
  <si>
    <t>2008 JAN</t>
  </si>
  <si>
    <t>2008 FEB</t>
  </si>
  <si>
    <t>2008 MAR</t>
  </si>
  <si>
    <t>2008 APR</t>
  </si>
  <si>
    <t>2008 MAY</t>
  </si>
  <si>
    <t>2008 JUN</t>
  </si>
  <si>
    <t>2008 JUL</t>
  </si>
  <si>
    <t>2008 AUG</t>
  </si>
  <si>
    <t>2008 SEP</t>
  </si>
  <si>
    <t>2008 OCT</t>
  </si>
  <si>
    <t>2008 NOV</t>
  </si>
  <si>
    <t>2008 DEC</t>
  </si>
  <si>
    <t>2009 JAN</t>
  </si>
  <si>
    <t>2009 FEB</t>
  </si>
  <si>
    <t>2009 MAR</t>
  </si>
  <si>
    <t>2009 APR</t>
  </si>
  <si>
    <t>2009 MAY</t>
  </si>
  <si>
    <t>2009 JUN</t>
  </si>
  <si>
    <t>2009 JUL</t>
  </si>
  <si>
    <t>2009 AUG</t>
  </si>
  <si>
    <t>2009 SEP</t>
  </si>
  <si>
    <t>2009 OCT</t>
  </si>
  <si>
    <t>2009 NOV</t>
  </si>
  <si>
    <t>2009 DEC</t>
  </si>
  <si>
    <t>2010 JAN</t>
  </si>
  <si>
    <t>2010 FEB</t>
  </si>
  <si>
    <t>2010 MAR</t>
  </si>
  <si>
    <t>2010 APR</t>
  </si>
  <si>
    <t>2010 MAY</t>
  </si>
  <si>
    <t>2010 JUN</t>
  </si>
  <si>
    <t>2010 JUL</t>
  </si>
  <si>
    <t>2010 AUG</t>
  </si>
  <si>
    <t>2010 SEP</t>
  </si>
  <si>
    <t>2010 OCT</t>
  </si>
  <si>
    <t>2010 NOV</t>
  </si>
  <si>
    <t>2010 DEC</t>
  </si>
  <si>
    <t>2011 JAN</t>
  </si>
  <si>
    <t>2011 FEB</t>
  </si>
  <si>
    <t>2011 MAR</t>
  </si>
  <si>
    <t>2011 APR</t>
  </si>
  <si>
    <t>2011 MAY</t>
  </si>
  <si>
    <t>2011 JUN</t>
  </si>
  <si>
    <t>2011 JUL</t>
  </si>
  <si>
    <t>2011 AUG</t>
  </si>
  <si>
    <t>2011 SEP</t>
  </si>
  <si>
    <t>2011 OCT</t>
  </si>
  <si>
    <t>2011 NOV</t>
  </si>
  <si>
    <t>2011 DEC</t>
  </si>
  <si>
    <t>2012 JAN</t>
  </si>
  <si>
    <t>2012 FEB</t>
  </si>
  <si>
    <t>2012 MAR</t>
  </si>
  <si>
    <t>2012 APR</t>
  </si>
  <si>
    <t>2012 MAY</t>
  </si>
  <si>
    <t>2012 JUN</t>
  </si>
  <si>
    <t>2012 JUL</t>
  </si>
  <si>
    <t>2012 AUG</t>
  </si>
  <si>
    <t>2012 SEP</t>
  </si>
  <si>
    <t>2012 OCT</t>
  </si>
  <si>
    <t>2012 NOV</t>
  </si>
  <si>
    <t>2012 DEC</t>
  </si>
  <si>
    <t>2013 JAN</t>
  </si>
  <si>
    <t>2013 FEB</t>
  </si>
  <si>
    <t>2013 MAR</t>
  </si>
  <si>
    <t>2013 APR</t>
  </si>
  <si>
    <t>2013 MAY</t>
  </si>
  <si>
    <t>2013 JUN</t>
  </si>
  <si>
    <t>2013 JUL</t>
  </si>
  <si>
    <t>2013 AUG</t>
  </si>
  <si>
    <t>2013 SEP</t>
  </si>
  <si>
    <t>2013 OCT</t>
  </si>
  <si>
    <t>2013 NOV</t>
  </si>
  <si>
    <t>2013 DEC</t>
  </si>
  <si>
    <t>2014 JAN</t>
  </si>
  <si>
    <t>2014 FEB</t>
  </si>
  <si>
    <t>2014 MAR</t>
  </si>
  <si>
    <t>2014 APR</t>
  </si>
  <si>
    <t>2014 MAY</t>
  </si>
  <si>
    <t>2014 JUN</t>
  </si>
  <si>
    <t>2014 JUL</t>
  </si>
  <si>
    <t>2014 AUG</t>
  </si>
  <si>
    <t>2014 SEP</t>
  </si>
  <si>
    <t>2014 OCT</t>
  </si>
  <si>
    <t>2014 NOV</t>
  </si>
  <si>
    <t>2014 DEC</t>
  </si>
  <si>
    <t>2015 JAN</t>
  </si>
  <si>
    <t>2015 FEB</t>
  </si>
  <si>
    <t>2015 MAR</t>
  </si>
  <si>
    <t>2015 APR</t>
  </si>
  <si>
    <t>2015 MAY</t>
  </si>
  <si>
    <t>2015 JUN</t>
  </si>
  <si>
    <t>2015 JUL</t>
  </si>
  <si>
    <t>2015 AUG</t>
  </si>
  <si>
    <t>2015 SEP</t>
  </si>
  <si>
    <t>2015 OCT</t>
  </si>
  <si>
    <t>2015 NOV</t>
  </si>
  <si>
    <t>2015 DEC</t>
  </si>
  <si>
    <t>2016 JAN</t>
  </si>
  <si>
    <t>2016 FEB</t>
  </si>
  <si>
    <t>2016 MAR</t>
  </si>
  <si>
    <t>2016 APR</t>
  </si>
  <si>
    <t>2016 MAY</t>
  </si>
  <si>
    <t>2016 JUN</t>
  </si>
  <si>
    <t>2016 JUL</t>
  </si>
  <si>
    <t>2016 AUG</t>
  </si>
  <si>
    <t>2016 SEP</t>
  </si>
  <si>
    <t>2016 OCT</t>
  </si>
  <si>
    <t>2016 NOV</t>
  </si>
  <si>
    <t>2016 DEC</t>
  </si>
  <si>
    <t>2017 JAN</t>
  </si>
  <si>
    <t>2017 FEB</t>
  </si>
  <si>
    <t>2017 MAR</t>
  </si>
  <si>
    <t>Title</t>
  </si>
  <si>
    <t>Exchange rates for euro monthly average - sterling euro</t>
  </si>
  <si>
    <t>CDID</t>
  </si>
  <si>
    <t>THAP</t>
  </si>
  <si>
    <t>Source dataset ID</t>
  </si>
  <si>
    <t>MRET</t>
  </si>
  <si>
    <t>PreUnit</t>
  </si>
  <si>
    <t/>
  </si>
  <si>
    <t>Unit</t>
  </si>
  <si>
    <t>Release date</t>
  </si>
  <si>
    <t>11-05-2017</t>
  </si>
  <si>
    <t>Next release</t>
  </si>
  <si>
    <t>9 June 2017</t>
  </si>
  <si>
    <t>Important notes</t>
  </si>
  <si>
    <t>1975 Q1</t>
  </si>
  <si>
    <t>1975 Q2</t>
  </si>
  <si>
    <t>1975 Q3</t>
  </si>
  <si>
    <t>1975 Q4</t>
  </si>
  <si>
    <t>1976 Q1</t>
  </si>
  <si>
    <t>1976 Q2</t>
  </si>
  <si>
    <t>1976 Q3</t>
  </si>
  <si>
    <t>1976 Q4</t>
  </si>
  <si>
    <t>1977 Q1</t>
  </si>
  <si>
    <t>1977 Q2</t>
  </si>
  <si>
    <t>1977 Q3</t>
  </si>
  <si>
    <t>1977 Q4</t>
  </si>
  <si>
    <t>1978 Q1</t>
  </si>
  <si>
    <t>1978 Q2</t>
  </si>
  <si>
    <t>1978 Q3</t>
  </si>
  <si>
    <t>1978 Q4</t>
  </si>
  <si>
    <t>1979 Q1</t>
  </si>
  <si>
    <t>1979 Q2</t>
  </si>
  <si>
    <t>1979 Q3</t>
  </si>
  <si>
    <t>1979 Q4</t>
  </si>
  <si>
    <t>1980 Q1</t>
  </si>
  <si>
    <t>1980 Q2</t>
  </si>
  <si>
    <t>1980 Q3</t>
  </si>
  <si>
    <t>1980 Q4</t>
  </si>
  <si>
    <t>1981 Q1</t>
  </si>
  <si>
    <t>1981 Q2</t>
  </si>
  <si>
    <t>1981 Q3</t>
  </si>
  <si>
    <t>1981 Q4</t>
  </si>
  <si>
    <t>1982 Q1</t>
  </si>
  <si>
    <t>1982 Q2</t>
  </si>
  <si>
    <t>1982 Q3</t>
  </si>
  <si>
    <t>1982 Q4</t>
  </si>
  <si>
    <t>1983 Q1</t>
  </si>
  <si>
    <t>1983 Q2</t>
  </si>
  <si>
    <t>1983 Q3</t>
  </si>
  <si>
    <t>1983 Q4</t>
  </si>
  <si>
    <t>1984 Q1</t>
  </si>
  <si>
    <t>1984 Q2</t>
  </si>
  <si>
    <t>1984 Q3</t>
  </si>
  <si>
    <t>1984 Q4</t>
  </si>
  <si>
    <t>1985 Q1</t>
  </si>
  <si>
    <t>1985 Q2</t>
  </si>
  <si>
    <t>1985 Q3</t>
  </si>
  <si>
    <t>1985 Q4</t>
  </si>
  <si>
    <t>1986 Q1</t>
  </si>
  <si>
    <t>1986 Q2</t>
  </si>
  <si>
    <t>1986 Q3</t>
  </si>
  <si>
    <t>1986 Q4</t>
  </si>
  <si>
    <t>1987 Q1</t>
  </si>
  <si>
    <t>1987 Q2</t>
  </si>
  <si>
    <t>1987 Q3</t>
  </si>
  <si>
    <t>1987 Q4</t>
  </si>
  <si>
    <t>1988 Q1</t>
  </si>
  <si>
    <t>1988 Q2</t>
  </si>
  <si>
    <t>1988 Q3</t>
  </si>
  <si>
    <t>1988 Q4</t>
  </si>
  <si>
    <t>1989 Q1</t>
  </si>
  <si>
    <t>1989 Q2</t>
  </si>
  <si>
    <t>1989 Q3</t>
  </si>
  <si>
    <t>1989 Q4</t>
  </si>
  <si>
    <t>1990 Q1</t>
  </si>
  <si>
    <t>1990 Q2</t>
  </si>
  <si>
    <t>1990 Q3</t>
  </si>
  <si>
    <t>1990 Q4</t>
  </si>
  <si>
    <t>1991 Q1</t>
  </si>
  <si>
    <t>1991 Q2</t>
  </si>
  <si>
    <t>1991 Q3</t>
  </si>
  <si>
    <t>1991 Q4</t>
  </si>
  <si>
    <t>1992 Q1</t>
  </si>
  <si>
    <t>1992 Q2</t>
  </si>
  <si>
    <t>1992 Q3</t>
  </si>
  <si>
    <t>1992 Q4</t>
  </si>
  <si>
    <t>1993 Q1</t>
  </si>
  <si>
    <t>1993 Q2</t>
  </si>
  <si>
    <t>1993 Q3</t>
  </si>
  <si>
    <t>1993 Q4</t>
  </si>
  <si>
    <t>1994 Q1</t>
  </si>
  <si>
    <t>1994 Q2</t>
  </si>
  <si>
    <t>1994 Q3</t>
  </si>
  <si>
    <t>1994 Q4</t>
  </si>
  <si>
    <t>1995 Q1</t>
  </si>
  <si>
    <t>1995 Q2</t>
  </si>
  <si>
    <t>1995 Q3</t>
  </si>
  <si>
    <t>1995 Q4</t>
  </si>
  <si>
    <t>1996 Q1</t>
  </si>
  <si>
    <t>1996 Q2</t>
  </si>
  <si>
    <t>1996 Q3</t>
  </si>
  <si>
    <t>1996 Q4</t>
  </si>
  <si>
    <t>1997 Q1</t>
  </si>
  <si>
    <t>1997 Q2</t>
  </si>
  <si>
    <t>1997 Q3</t>
  </si>
  <si>
    <t>1997 Q4</t>
  </si>
  <si>
    <t>1998 Q1</t>
  </si>
  <si>
    <t>1998 Q2</t>
  </si>
  <si>
    <t>1998 Q3</t>
  </si>
  <si>
    <t>1998 Q4</t>
  </si>
  <si>
    <t>1999 Q1</t>
  </si>
  <si>
    <t>1999 Q2</t>
  </si>
  <si>
    <t>1999 Q3</t>
  </si>
  <si>
    <t>1999 Q4</t>
  </si>
  <si>
    <t>2000 Q1</t>
  </si>
  <si>
    <t>2000 Q2</t>
  </si>
  <si>
    <t>2000 Q3</t>
  </si>
  <si>
    <t>2000 Q4</t>
  </si>
  <si>
    <t>2001 Q1</t>
  </si>
  <si>
    <t>2001 Q2</t>
  </si>
  <si>
    <t>2001 Q3</t>
  </si>
  <si>
    <t>2001 Q4</t>
  </si>
  <si>
    <t>2002 Q1</t>
  </si>
  <si>
    <t>2002 Q2</t>
  </si>
  <si>
    <t>2002 Q3</t>
  </si>
  <si>
    <t>2002 Q4</t>
  </si>
  <si>
    <t>2003 Q1</t>
  </si>
  <si>
    <t>2003 Q2</t>
  </si>
  <si>
    <t>2003 Q3</t>
  </si>
  <si>
    <t>2003 Q4</t>
  </si>
  <si>
    <t>2004 Q1</t>
  </si>
  <si>
    <t>2004 Q2</t>
  </si>
  <si>
    <t>2004 Q3</t>
  </si>
  <si>
    <t>2004 Q4</t>
  </si>
  <si>
    <t>2005 Q1</t>
  </si>
  <si>
    <t>2005 Q2</t>
  </si>
  <si>
    <t>2005 Q3</t>
  </si>
  <si>
    <t>2005 Q4</t>
  </si>
  <si>
    <t>2006 Q1</t>
  </si>
  <si>
    <t>2006 Q2</t>
  </si>
  <si>
    <t>2006 Q3</t>
  </si>
  <si>
    <t>2006 Q4</t>
  </si>
  <si>
    <t>2007 Q1</t>
  </si>
  <si>
    <t>2007 Q2</t>
  </si>
  <si>
    <t>2007 Q3</t>
  </si>
  <si>
    <t>2007 Q4</t>
  </si>
  <si>
    <t>2008 Q1</t>
  </si>
  <si>
    <t>2008 Q2</t>
  </si>
  <si>
    <t>2008 Q3</t>
  </si>
  <si>
    <t>2008 Q4</t>
  </si>
  <si>
    <t>2009 Q1</t>
  </si>
  <si>
    <t>2009 Q2</t>
  </si>
  <si>
    <t>2009 Q3</t>
  </si>
  <si>
    <t>2009 Q4</t>
  </si>
  <si>
    <t>2010 Q1</t>
  </si>
  <si>
    <t>2010 Q2</t>
  </si>
  <si>
    <t>2010 Q3</t>
  </si>
  <si>
    <t>2010 Q4</t>
  </si>
  <si>
    <t>2011 Q1</t>
  </si>
  <si>
    <t>2011 Q2</t>
  </si>
  <si>
    <t>2011 Q3</t>
  </si>
  <si>
    <t>2011 Q4</t>
  </si>
  <si>
    <t>2012 Q1</t>
  </si>
  <si>
    <t>2012 Q2</t>
  </si>
  <si>
    <t>2012 Q3</t>
  </si>
  <si>
    <t>2012 Q4</t>
  </si>
  <si>
    <t>2013 Q1</t>
  </si>
  <si>
    <t>2013 Q2</t>
  </si>
  <si>
    <t>2013 Q3</t>
  </si>
  <si>
    <t>2013 Q4</t>
  </si>
  <si>
    <t>2014 Q1</t>
  </si>
  <si>
    <t>2014 Q2</t>
  </si>
  <si>
    <t>2014 Q3</t>
  </si>
  <si>
    <t>2014 Q4</t>
  </si>
  <si>
    <t>2015 Q1</t>
  </si>
  <si>
    <t>2015 Q2</t>
  </si>
  <si>
    <t>2015 Q3</t>
  </si>
  <si>
    <t>2015 Q4</t>
  </si>
  <si>
    <t>2016 Q1</t>
  </si>
  <si>
    <t>2016 Q2</t>
  </si>
  <si>
    <t>2016 Q3</t>
  </si>
  <si>
    <t>2016 Q4</t>
  </si>
  <si>
    <t>2017 Q1</t>
  </si>
  <si>
    <t>1975 JAN</t>
  </si>
  <si>
    <t>1975 FEB</t>
  </si>
  <si>
    <t>1975 MAR</t>
  </si>
  <si>
    <t>1975 APR</t>
  </si>
  <si>
    <t>1975 MAY</t>
  </si>
  <si>
    <t>1975 JUN</t>
  </si>
  <si>
    <t>1975 JUL</t>
  </si>
  <si>
    <t>1975 AUG</t>
  </si>
  <si>
    <t>1975 SEP</t>
  </si>
  <si>
    <t>1975 OCT</t>
  </si>
  <si>
    <t>1975 NOV</t>
  </si>
  <si>
    <t>1975 DEC</t>
  </si>
  <si>
    <t>1976 JAN</t>
  </si>
  <si>
    <t>1976 FEB</t>
  </si>
  <si>
    <t>1976 MAR</t>
  </si>
  <si>
    <t>1976 APR</t>
  </si>
  <si>
    <t>1976 MAY</t>
  </si>
  <si>
    <t>1976 JUN</t>
  </si>
  <si>
    <t>1976 JUL</t>
  </si>
  <si>
    <t>1976 AUG</t>
  </si>
  <si>
    <t>1976 SEP</t>
  </si>
  <si>
    <t>1976 OCT</t>
  </si>
  <si>
    <t>1976 NOV</t>
  </si>
  <si>
    <t>1976 DEC</t>
  </si>
  <si>
    <t>1977 JAN</t>
  </si>
  <si>
    <t>1977 FEB</t>
  </si>
  <si>
    <t>1977 MAR</t>
  </si>
  <si>
    <t>1977 APR</t>
  </si>
  <si>
    <t>1977 MAY</t>
  </si>
  <si>
    <t>1977 JUN</t>
  </si>
  <si>
    <t>1977 JUL</t>
  </si>
  <si>
    <t>1977 AUG</t>
  </si>
  <si>
    <t>1977 SEP</t>
  </si>
  <si>
    <t>1977 OCT</t>
  </si>
  <si>
    <t>1977 NOV</t>
  </si>
  <si>
    <t>1977 DEC</t>
  </si>
  <si>
    <t>1978 JAN</t>
  </si>
  <si>
    <t>1978 FEB</t>
  </si>
  <si>
    <t>1978 MAR</t>
  </si>
  <si>
    <t>1978 APR</t>
  </si>
  <si>
    <t>1978 MAY</t>
  </si>
  <si>
    <t>1978 JUN</t>
  </si>
  <si>
    <t>1978 JUL</t>
  </si>
  <si>
    <t>1978 AUG</t>
  </si>
  <si>
    <t>1978 SEP</t>
  </si>
  <si>
    <t>1978 OCT</t>
  </si>
  <si>
    <t>1978 NOV</t>
  </si>
  <si>
    <t>1978 DEC</t>
  </si>
  <si>
    <t>1979 JAN</t>
  </si>
  <si>
    <t>1979 FEB</t>
  </si>
  <si>
    <t>1979 MAR</t>
  </si>
  <si>
    <t>1979 APR</t>
  </si>
  <si>
    <t>1979 MAY</t>
  </si>
  <si>
    <t>1979 JUN</t>
  </si>
  <si>
    <t>1979 JUL</t>
  </si>
  <si>
    <t>1979 AUG</t>
  </si>
  <si>
    <t>1979 SEP</t>
  </si>
  <si>
    <t>1979 OCT</t>
  </si>
  <si>
    <t>1979 NOV</t>
  </si>
  <si>
    <t>1979 DEC</t>
  </si>
  <si>
    <t>1980 JAN</t>
  </si>
  <si>
    <t>1980 FEB</t>
  </si>
  <si>
    <t>1980 MAR</t>
  </si>
  <si>
    <t>1980 APR</t>
  </si>
  <si>
    <t>1980 MAY</t>
  </si>
  <si>
    <t>1980 JUN</t>
  </si>
  <si>
    <t>1980 JUL</t>
  </si>
  <si>
    <t>1980 AUG</t>
  </si>
  <si>
    <t>1980 SEP</t>
  </si>
  <si>
    <t>1980 OCT</t>
  </si>
  <si>
    <t>1980 NOV</t>
  </si>
  <si>
    <t>1980 DEC</t>
  </si>
  <si>
    <t>1981 JAN</t>
  </si>
  <si>
    <t>1981 FEB</t>
  </si>
  <si>
    <t>1981 MAR</t>
  </si>
  <si>
    <t>1981 APR</t>
  </si>
  <si>
    <t>1981 MAY</t>
  </si>
  <si>
    <t>1981 JUN</t>
  </si>
  <si>
    <t>1981 JUL</t>
  </si>
  <si>
    <t>1981 AUG</t>
  </si>
  <si>
    <t>1981 SEP</t>
  </si>
  <si>
    <t>1981 OCT</t>
  </si>
  <si>
    <t>1981 NOV</t>
  </si>
  <si>
    <t>1981 DEC</t>
  </si>
  <si>
    <t>1982 JAN</t>
  </si>
  <si>
    <t>1982 FEB</t>
  </si>
  <si>
    <t>1982 MAR</t>
  </si>
  <si>
    <t>1982 APR</t>
  </si>
  <si>
    <t>1982 MAY</t>
  </si>
  <si>
    <t>1982 JUN</t>
  </si>
  <si>
    <t>1982 JUL</t>
  </si>
  <si>
    <t>1982 AUG</t>
  </si>
  <si>
    <t>1982 SEP</t>
  </si>
  <si>
    <t>1982 OCT</t>
  </si>
  <si>
    <t>1982 NOV</t>
  </si>
  <si>
    <t>1982 DEC</t>
  </si>
  <si>
    <t>1983 JAN</t>
  </si>
  <si>
    <t>1983 FEB</t>
  </si>
  <si>
    <t>1983 MAR</t>
  </si>
  <si>
    <t>1983 APR</t>
  </si>
  <si>
    <t>1983 MAY</t>
  </si>
  <si>
    <t>1983 JUN</t>
  </si>
  <si>
    <t>1983 JUL</t>
  </si>
  <si>
    <t>1983 AUG</t>
  </si>
  <si>
    <t>1983 SEP</t>
  </si>
  <si>
    <t>1983 OCT</t>
  </si>
  <si>
    <t>1983 NOV</t>
  </si>
  <si>
    <t>1983 DEC</t>
  </si>
  <si>
    <t>1984 JAN</t>
  </si>
  <si>
    <t>1984 FEB</t>
  </si>
  <si>
    <t>1984 MAR</t>
  </si>
  <si>
    <t>1984 APR</t>
  </si>
  <si>
    <t>1984 MAY</t>
  </si>
  <si>
    <t>1984 JUN</t>
  </si>
  <si>
    <t>1984 JUL</t>
  </si>
  <si>
    <t>1984 AUG</t>
  </si>
  <si>
    <t>1984 SEP</t>
  </si>
  <si>
    <t>1984 OCT</t>
  </si>
  <si>
    <t>1984 NOV</t>
  </si>
  <si>
    <t>1984 DEC</t>
  </si>
  <si>
    <t>1985 JAN</t>
  </si>
  <si>
    <t>1985 FEB</t>
  </si>
  <si>
    <t>1985 MAR</t>
  </si>
  <si>
    <t>1985 APR</t>
  </si>
  <si>
    <t>1985 MAY</t>
  </si>
  <si>
    <t>1985 JUN</t>
  </si>
  <si>
    <t>1985 JUL</t>
  </si>
  <si>
    <t>1985 AUG</t>
  </si>
  <si>
    <t>1985 SEP</t>
  </si>
  <si>
    <t>1985 OCT</t>
  </si>
  <si>
    <t>1985 NOV</t>
  </si>
  <si>
    <t>1985 DEC</t>
  </si>
  <si>
    <t>1986 JAN</t>
  </si>
  <si>
    <t>1986 FEB</t>
  </si>
  <si>
    <t>1986 MAR</t>
  </si>
  <si>
    <t>1986 APR</t>
  </si>
  <si>
    <t>1986 MAY</t>
  </si>
  <si>
    <t>1986 JUN</t>
  </si>
  <si>
    <t>1986 JUL</t>
  </si>
  <si>
    <t>1986 AUG</t>
  </si>
  <si>
    <t>1986 SEP</t>
  </si>
  <si>
    <t>1986 OCT</t>
  </si>
  <si>
    <t>1986 NOV</t>
  </si>
  <si>
    <t>1986 DEC</t>
  </si>
  <si>
    <t>Month</t>
  </si>
  <si>
    <t>Year</t>
  </si>
  <si>
    <t>Index</t>
  </si>
  <si>
    <t>ONS RPI Data (Raw)</t>
  </si>
  <si>
    <t>Financial year average RPI index</t>
  </si>
  <si>
    <t>Start year</t>
  </si>
  <si>
    <t>End year</t>
  </si>
  <si>
    <t>Average index</t>
  </si>
  <si>
    <t>Conversion of different VOLL estimates into 2015/16 £</t>
  </si>
  <si>
    <t>(1) SEM Committee</t>
  </si>
  <si>
    <t>(2) Tol / RIIO-ED1 Reckon VOLL review</t>
  </si>
  <si>
    <t>(3) RIIO-ED1 VOLL estimate</t>
  </si>
  <si>
    <t>Average exchange rate</t>
  </si>
  <si>
    <t>(November 2007 to December 2008)</t>
  </si>
  <si>
    <t>Euro to Pound Exchange Rate Data</t>
  </si>
  <si>
    <t>VOLL Choice</t>
  </si>
  <si>
    <t>Distribution Revenue Exposed</t>
  </si>
  <si>
    <t>Charts for FD &gt;&gt;</t>
  </si>
  <si>
    <t>Choice</t>
  </si>
  <si>
    <t>Description</t>
  </si>
  <si>
    <t>VOLL (£ per KWh 2015/16 prices)</t>
  </si>
  <si>
    <t xml:space="preserve">VOLL Choice &gt;&gt; </t>
  </si>
  <si>
    <t>% of Distribution Revenue Exposed &gt;&gt;</t>
  </si>
  <si>
    <t>2015/16 prices (DD)</t>
  </si>
  <si>
    <t>Reward / Penalty start at target or at deadband?</t>
  </si>
  <si>
    <t>Target</t>
  </si>
  <si>
    <t>DD with 2016/17 included in historical averages and updated VOLL</t>
  </si>
  <si>
    <t>Sensitivity 1: UQ Benchmark</t>
  </si>
  <si>
    <t>Sensitivity 2: Using DPCR5 data only</t>
  </si>
  <si>
    <t>Sensitivity 3: 50% Benchmark 50% Historical Averages</t>
  </si>
  <si>
    <t>Adding 2015/16</t>
  </si>
  <si>
    <t>Adding 2016/17</t>
  </si>
  <si>
    <t>Adding 2017/18</t>
  </si>
  <si>
    <t>Adding 2018/19</t>
  </si>
  <si>
    <t>Adding 2019/20</t>
  </si>
  <si>
    <t>Adding 2020/21</t>
  </si>
  <si>
    <t>Adding 2021/22</t>
  </si>
  <si>
    <t>Adding 2022/23</t>
  </si>
  <si>
    <t>Adding 2023/24</t>
  </si>
  <si>
    <t>RP7</t>
  </si>
  <si>
    <t>Max reward (baseline)</t>
  </si>
  <si>
    <t>Dead band max (baseline)</t>
  </si>
  <si>
    <t>Unplanned customer minutes lost (baseline)</t>
  </si>
  <si>
    <t>Dead band min (baseline)</t>
  </si>
  <si>
    <t>Max penalty (baseline)</t>
  </si>
  <si>
    <t>Planned customer minutes lost (baseline)</t>
  </si>
  <si>
    <t>Weighted CML outturn (Planned (50%) + Unplanned (100%)) (baseline)</t>
  </si>
  <si>
    <t>Max reward (UQ)</t>
  </si>
  <si>
    <t>Dead band max (UQ)</t>
  </si>
  <si>
    <t>Unplanned customer minutes lost (UQ)</t>
  </si>
  <si>
    <t>Dead band min (UQ)</t>
  </si>
  <si>
    <t>Max penalty (UQ)</t>
  </si>
  <si>
    <t>Reliability Incentive</t>
  </si>
  <si>
    <t>Key</t>
  </si>
  <si>
    <t>Inputs</t>
  </si>
  <si>
    <t>Calculations</t>
  </si>
  <si>
    <t>Outputs</t>
  </si>
  <si>
    <t>Fixed inputs</t>
  </si>
  <si>
    <t>Total CML penalty or reward</t>
  </si>
  <si>
    <t>Link to other cell in spreadsheet</t>
  </si>
  <si>
    <t>Unplanned CML relaibility incentive</t>
  </si>
  <si>
    <t>Unplanned CML cap</t>
  </si>
  <si>
    <t>Unplanned CML achieved by NIE Networks</t>
  </si>
  <si>
    <t>Unplanned CML collar</t>
  </si>
  <si>
    <t>Planned CML relaibility incentive</t>
  </si>
  <si>
    <t>Planned CML cap</t>
  </si>
  <si>
    <t>Planned CML achieved by NIE Networks</t>
  </si>
  <si>
    <t>Planned CML collar</t>
  </si>
  <si>
    <t>Fixed inputs (do not change)</t>
  </si>
  <si>
    <t>Cost of unplanned customer minute lost (CML)</t>
  </si>
  <si>
    <t>Cost of planned customer minute lost (CML)</t>
  </si>
  <si>
    <t>% of revenue exposed to reliability incentive allocated to unplanned CML</t>
  </si>
  <si>
    <t>% of revenue exposed to reliability incentive allocated to planned CML</t>
  </si>
  <si>
    <t>Unplanned CML target - 2018/19</t>
  </si>
  <si>
    <t>Calculations dependent on changable input assumptions</t>
  </si>
  <si>
    <t>Unplanned CML target - 2019/20</t>
  </si>
  <si>
    <t>Average allowed distribution revenue between 2018/19 and 2023/24</t>
  </si>
  <si>
    <t>Unplanned CML target - 2020/21</t>
  </si>
  <si>
    <t>Amount of average allowed distrbution revenue between 2018/19 and 2023/24 exposed under the reliability incentive</t>
  </si>
  <si>
    <t>Unplanned CML target - 2021/22</t>
  </si>
  <si>
    <t>Amount of exposed distribution revenue under the reliability incentive allocated to unplanned customer minutes lost (CML)</t>
  </si>
  <si>
    <t>Unplanned CML target - 2022/23</t>
  </si>
  <si>
    <t>Amount of exposed distribution revenue under the reliability incentive allocated to planned customer minutes lost (CML)</t>
  </si>
  <si>
    <t>Unplanned CML target - 2023/24</t>
  </si>
  <si>
    <t>Unplanned customer minutes lost (CML) cap and collar</t>
  </si>
  <si>
    <t>Planned CML target - 2018/19</t>
  </si>
  <si>
    <t>Planned customer minutes lost (CML) cap and collar</t>
  </si>
  <si>
    <t>Planned CML target - 2019/20</t>
  </si>
  <si>
    <t>Unplanned customer minutes lost (CML) reliability incentive</t>
  </si>
  <si>
    <t>Planned CML target - 2020/21</t>
  </si>
  <si>
    <t>Unplanned customer minutes lost (CML) cap</t>
  </si>
  <si>
    <t>Planned CML target - 2021/22</t>
  </si>
  <si>
    <t>Planned CML target - 2022/23</t>
  </si>
  <si>
    <t>Unplanned customer minutes lost (CML) target</t>
  </si>
  <si>
    <t>Planned CML target - 2023/24</t>
  </si>
  <si>
    <t>Unplanned customer minutes lost (CML) collar</t>
  </si>
  <si>
    <t>Planned customer minutes lost (CML) reliability incentive</t>
  </si>
  <si>
    <t>Planned customer minutes lost (CML) cap</t>
  </si>
  <si>
    <t>Planned customer minutes lost (CML) target</t>
  </si>
  <si>
    <t>Planned customer minutes lost (CML) collar</t>
  </si>
  <si>
    <t>Unplanned CML penalty or reward calculation</t>
  </si>
  <si>
    <t>Achieved unplanned CML</t>
  </si>
  <si>
    <t>Did NIE Network beat their unplanned CML target?</t>
  </si>
  <si>
    <t>Difference between actual and target unplanned CML</t>
  </si>
  <si>
    <t>Unplanned CML penalty/reward calculation (unrestricted)</t>
  </si>
  <si>
    <t>Beyond cap and floor?</t>
  </si>
  <si>
    <t>Reward or Penalty?</t>
  </si>
  <si>
    <t>Unplanned CML penalty/reward calculation (restricted)</t>
  </si>
  <si>
    <t>Planned CML penalty or reward calculation</t>
  </si>
  <si>
    <t>Achieved planned CML</t>
  </si>
  <si>
    <t>Did NIE Network beat the target?</t>
  </si>
  <si>
    <t>Difference between actual and target planned CML</t>
  </si>
  <si>
    <t>Planned CML penalty/reward calculation (unrestricted)</t>
  </si>
  <si>
    <t>Planned CML penalty/reward calculation (restricted)</t>
  </si>
  <si>
    <t>Total CML penalty or reward calculation</t>
  </si>
  <si>
    <t>Total CML penalty or reward calculation (restricted)</t>
  </si>
  <si>
    <t>Average annual allowed RP6 distribution revenue</t>
  </si>
  <si>
    <t>Inputs to be changed when appropriate/available</t>
  </si>
  <si>
    <t>Inputs to be changed</t>
  </si>
  <si>
    <t>Unplanned CML target (updated over RP6 based on outturn data)</t>
  </si>
  <si>
    <t>Planned CML target (updated over RP6 based on outturn data)</t>
  </si>
  <si>
    <t>Licence term</t>
  </si>
  <si>
    <t>Reliability Incentive Rewards / Penalties (£ million 2015/16 prices)</t>
  </si>
  <si>
    <t>Comments</t>
  </si>
  <si>
    <t>UR RELIABILITY INCENTIVE MODEL FOR RP6 FINAL DETERMINATION</t>
  </si>
  <si>
    <t>Sensitivity Analysis</t>
  </si>
  <si>
    <t>Sensitivity Chart</t>
  </si>
  <si>
    <t>Sensitivity analysis for Annex M of final determination</t>
  </si>
  <si>
    <t>Sensitivity analysis charts for Annex M of final determination</t>
  </si>
  <si>
    <t>RI Allowance &gt;&gt;</t>
  </si>
  <si>
    <t>Summary</t>
  </si>
  <si>
    <t>RI Allowance Calculations</t>
  </si>
  <si>
    <t>Contains RI penalties or reward based on RP6 outturn data</t>
  </si>
  <si>
    <t>Calculates penalty or reward based on RP6 outturn data</t>
  </si>
  <si>
    <t>Selected for final determination</t>
  </si>
  <si>
    <t>Will be selected for 2019/20 update</t>
  </si>
  <si>
    <t>Will be selected for 2020/21 update</t>
  </si>
  <si>
    <t>Will be selected for 2021/22 update</t>
  </si>
  <si>
    <t>Will be selected for 2022/23 update</t>
  </si>
  <si>
    <t>Will be selected for 2023/24 update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</si>
</sst>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5" formatCode="&quot;£&quot;#,##0;\-&quot;£&quot;#,##0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0.0"/>
    <numFmt numFmtId="165" formatCode="#,##0.00_ ;\-#,##0.00\ "/>
    <numFmt numFmtId="166" formatCode="#,##0_ ;\-#,##0\ "/>
    <numFmt numFmtId="167" formatCode="_-[$£-809]* #,##0.00_-;\-[$£-809]* #,##0.00_-;_-[$£-809]* &quot;-&quot;??_-;_-@_-"/>
    <numFmt numFmtId="168" formatCode="_-[$£-809]* #,##0_-;\-[$£-809]* #,##0_-;_-[$£-809]* &quot;-&quot;??_-;_-@_-"/>
    <numFmt numFmtId="169" formatCode="[$€-1809]#,##0.00"/>
    <numFmt numFmtId="170" formatCode="&quot;£&quot;#,##0.00"/>
    <numFmt numFmtId="171" formatCode="0.0%"/>
    <numFmt numFmtId="172" formatCode="&quot;£&quot;#,##0"/>
    <numFmt numFmtId="173" formatCode="0.00_ ;\-0.00\ "/>
    <numFmt numFmtId="174" formatCode="_-* #,##0_-;\-* #,##0_-;_-* &quot;-&quot;??_-;_-@_-"/>
    <numFmt numFmtId="175" formatCode="0.000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0"/>
      <color theme="0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20"/>
      <color theme="0"/>
      <name val="Arial"/>
      <family val="2"/>
    </font>
    <font>
      <sz val="20"/>
      <color theme="0"/>
      <name val="Arial"/>
      <family val="2"/>
    </font>
    <font>
      <b/>
      <sz val="14"/>
      <color theme="1"/>
      <name val="Arial"/>
      <family val="2"/>
    </font>
    <font>
      <i/>
      <sz val="11"/>
      <color theme="1"/>
      <name val="Calibri"/>
      <family val="2"/>
      <scheme val="minor"/>
    </font>
    <font>
      <sz val="14"/>
      <color theme="0"/>
      <name val="Arial"/>
      <family val="2"/>
    </font>
    <font>
      <b/>
      <sz val="14"/>
      <color theme="0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b/>
      <sz val="11"/>
      <color rgb="FF0066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rgb="FF00660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1"/>
      <color theme="1"/>
      <name val="Arial"/>
      <family val="2"/>
    </font>
    <font>
      <b/>
      <i/>
      <sz val="11"/>
      <color theme="1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66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CC99"/>
      </patternFill>
    </fill>
    <fill>
      <patternFill patternType="solid">
        <fgColor theme="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3" tint="0.79998168889431442"/>
        <bgColor indexed="64"/>
      </patternFill>
    </fill>
  </fills>
  <borders count="5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0" fillId="7" borderId="49" applyNumberFormat="0" applyAlignment="0" applyProtection="0"/>
  </cellStyleXfs>
  <cellXfs count="349">
    <xf numFmtId="0" fontId="0" fillId="0" borderId="0" xfId="0"/>
    <xf numFmtId="0" fontId="0" fillId="2" borderId="0" xfId="0" applyFill="1"/>
    <xf numFmtId="0" fontId="2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2" fontId="0" fillId="2" borderId="0" xfId="0" applyNumberFormat="1" applyFill="1" applyAlignment="1">
      <alignment horizontal="center"/>
    </xf>
    <xf numFmtId="2" fontId="0" fillId="2" borderId="0" xfId="0" applyNumberFormat="1" applyFill="1"/>
    <xf numFmtId="0" fontId="0" fillId="2" borderId="10" xfId="0" applyFill="1" applyBorder="1"/>
    <xf numFmtId="43" fontId="0" fillId="2" borderId="11" xfId="1" applyFont="1" applyFill="1" applyBorder="1" applyAlignment="1">
      <alignment horizontal="center"/>
    </xf>
    <xf numFmtId="0" fontId="0" fillId="2" borderId="12" xfId="0" applyFill="1" applyBorder="1"/>
    <xf numFmtId="43" fontId="0" fillId="2" borderId="13" xfId="1" applyFont="1" applyFill="1" applyBorder="1" applyAlignment="1">
      <alignment horizontal="center"/>
    </xf>
    <xf numFmtId="0" fontId="0" fillId="2" borderId="17" xfId="0" applyFill="1" applyBorder="1"/>
    <xf numFmtId="0" fontId="0" fillId="2" borderId="18" xfId="0" applyFill="1" applyBorder="1"/>
    <xf numFmtId="0" fontId="0" fillId="2" borderId="20" xfId="0" applyFill="1" applyBorder="1"/>
    <xf numFmtId="2" fontId="0" fillId="2" borderId="0" xfId="0" applyNumberFormat="1" applyFill="1" applyBorder="1" applyAlignment="1">
      <alignment horizontal="center"/>
    </xf>
    <xf numFmtId="0" fontId="0" fillId="2" borderId="0" xfId="0" applyFill="1" applyBorder="1"/>
    <xf numFmtId="0" fontId="0" fillId="2" borderId="21" xfId="0" applyFill="1" applyBorder="1" applyAlignment="1">
      <alignment horizontal="center"/>
    </xf>
    <xf numFmtId="0" fontId="0" fillId="2" borderId="22" xfId="0" applyFill="1" applyBorder="1"/>
    <xf numFmtId="2" fontId="0" fillId="2" borderId="23" xfId="0" applyNumberFormat="1" applyFill="1" applyBorder="1" applyAlignment="1">
      <alignment horizontal="center"/>
    </xf>
    <xf numFmtId="0" fontId="0" fillId="2" borderId="23" xfId="0" applyFill="1" applyBorder="1"/>
    <xf numFmtId="2" fontId="0" fillId="2" borderId="21" xfId="0" applyNumberFormat="1" applyFill="1" applyBorder="1" applyAlignment="1">
      <alignment horizontal="center"/>
    </xf>
    <xf numFmtId="2" fontId="0" fillId="2" borderId="24" xfId="0" applyNumberFormat="1" applyFill="1" applyBorder="1" applyAlignment="1">
      <alignment horizontal="center"/>
    </xf>
    <xf numFmtId="0" fontId="5" fillId="3" borderId="16" xfId="0" applyFont="1" applyFill="1" applyBorder="1"/>
    <xf numFmtId="0" fontId="4" fillId="3" borderId="8" xfId="0" applyFont="1" applyFill="1" applyBorder="1"/>
    <xf numFmtId="0" fontId="5" fillId="3" borderId="9" xfId="0" applyFont="1" applyFill="1" applyBorder="1"/>
    <xf numFmtId="0" fontId="5" fillId="3" borderId="15" xfId="0" applyFont="1" applyFill="1" applyBorder="1" applyAlignment="1">
      <alignment horizontal="center"/>
    </xf>
    <xf numFmtId="0" fontId="5" fillId="3" borderId="18" xfId="0" applyFont="1" applyFill="1" applyBorder="1"/>
    <xf numFmtId="0" fontId="5" fillId="3" borderId="18" xfId="0" applyFont="1" applyFill="1" applyBorder="1" applyAlignment="1">
      <alignment horizontal="center"/>
    </xf>
    <xf numFmtId="0" fontId="5" fillId="3" borderId="19" xfId="0" applyFont="1" applyFill="1" applyBorder="1" applyAlignment="1">
      <alignment horizontal="center"/>
    </xf>
    <xf numFmtId="0" fontId="4" fillId="3" borderId="20" xfId="0" applyFont="1" applyFill="1" applyBorder="1"/>
    <xf numFmtId="2" fontId="0" fillId="2" borderId="21" xfId="1" applyNumberFormat="1" applyFont="1" applyFill="1" applyBorder="1" applyAlignment="1">
      <alignment horizontal="center"/>
    </xf>
    <xf numFmtId="2" fontId="0" fillId="2" borderId="0" xfId="1" applyNumberFormat="1" applyFont="1" applyFill="1" applyBorder="1" applyAlignment="1">
      <alignment horizontal="center"/>
    </xf>
    <xf numFmtId="0" fontId="4" fillId="3" borderId="22" xfId="0" applyFont="1" applyFill="1" applyBorder="1"/>
    <xf numFmtId="0" fontId="5" fillId="3" borderId="23" xfId="0" applyFont="1" applyFill="1" applyBorder="1"/>
    <xf numFmtId="0" fontId="4" fillId="3" borderId="23" xfId="0" applyFont="1" applyFill="1" applyBorder="1" applyAlignment="1">
      <alignment horizontal="center"/>
    </xf>
    <xf numFmtId="0" fontId="4" fillId="3" borderId="24" xfId="0" applyFont="1" applyFill="1" applyBorder="1" applyAlignment="1">
      <alignment horizontal="center"/>
    </xf>
    <xf numFmtId="0" fontId="5" fillId="3" borderId="19" xfId="0" applyFont="1" applyFill="1" applyBorder="1"/>
    <xf numFmtId="0" fontId="6" fillId="3" borderId="17" xfId="0" applyFont="1" applyFill="1" applyBorder="1"/>
    <xf numFmtId="0" fontId="0" fillId="4" borderId="27" xfId="0" applyFill="1" applyBorder="1"/>
    <xf numFmtId="0" fontId="0" fillId="4" borderId="25" xfId="0" applyFill="1" applyBorder="1"/>
    <xf numFmtId="0" fontId="2" fillId="4" borderId="16" xfId="0" applyFont="1" applyFill="1" applyBorder="1"/>
    <xf numFmtId="0" fontId="2" fillId="4" borderId="27" xfId="0" applyFont="1" applyFill="1" applyBorder="1"/>
    <xf numFmtId="0" fontId="2" fillId="4" borderId="25" xfId="0" applyFont="1" applyFill="1" applyBorder="1"/>
    <xf numFmtId="10" fontId="0" fillId="2" borderId="21" xfId="3" applyNumberFormat="1" applyFont="1" applyFill="1" applyBorder="1" applyAlignment="1">
      <alignment horizontal="center"/>
    </xf>
    <xf numFmtId="10" fontId="0" fillId="2" borderId="24" xfId="3" applyNumberFormat="1" applyFont="1" applyFill="1" applyBorder="1" applyAlignment="1">
      <alignment horizontal="center"/>
    </xf>
    <xf numFmtId="43" fontId="0" fillId="2" borderId="21" xfId="1" applyFont="1" applyFill="1" applyBorder="1"/>
    <xf numFmtId="0" fontId="5" fillId="3" borderId="21" xfId="0" applyFont="1" applyFill="1" applyBorder="1"/>
    <xf numFmtId="43" fontId="0" fillId="2" borderId="21" xfId="0" applyNumberFormat="1" applyFill="1" applyBorder="1"/>
    <xf numFmtId="43" fontId="5" fillId="3" borderId="24" xfId="0" applyNumberFormat="1" applyFont="1" applyFill="1" applyBorder="1"/>
    <xf numFmtId="0" fontId="4" fillId="3" borderId="16" xfId="0" applyFont="1" applyFill="1" applyBorder="1"/>
    <xf numFmtId="0" fontId="5" fillId="3" borderId="25" xfId="0" applyFont="1" applyFill="1" applyBorder="1"/>
    <xf numFmtId="0" fontId="4" fillId="3" borderId="27" xfId="0" applyFont="1" applyFill="1" applyBorder="1"/>
    <xf numFmtId="0" fontId="4" fillId="3" borderId="27" xfId="0" applyFont="1" applyFill="1" applyBorder="1" applyAlignment="1">
      <alignment horizontal="center"/>
    </xf>
    <xf numFmtId="0" fontId="4" fillId="3" borderId="25" xfId="0" applyFont="1" applyFill="1" applyBorder="1" applyAlignment="1">
      <alignment horizontal="center"/>
    </xf>
    <xf numFmtId="0" fontId="0" fillId="2" borderId="18" xfId="0" applyFill="1" applyBorder="1" applyAlignment="1">
      <alignment horizontal="center"/>
    </xf>
    <xf numFmtId="2" fontId="0" fillId="2" borderId="18" xfId="0" applyNumberFormat="1" applyFill="1" applyBorder="1" applyAlignment="1">
      <alignment horizontal="center"/>
    </xf>
    <xf numFmtId="2" fontId="0" fillId="2" borderId="19" xfId="0" applyNumberForma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23" xfId="0" applyFill="1" applyBorder="1" applyAlignment="1">
      <alignment horizontal="center"/>
    </xf>
    <xf numFmtId="2" fontId="0" fillId="2" borderId="23" xfId="1" applyNumberFormat="1" applyFont="1" applyFill="1" applyBorder="1" applyAlignment="1">
      <alignment horizontal="center"/>
    </xf>
    <xf numFmtId="2" fontId="0" fillId="2" borderId="24" xfId="1" applyNumberFormat="1" applyFont="1" applyFill="1" applyBorder="1" applyAlignment="1">
      <alignment horizontal="center"/>
    </xf>
    <xf numFmtId="0" fontId="5" fillId="3" borderId="27" xfId="0" applyFont="1" applyFill="1" applyBorder="1"/>
    <xf numFmtId="0" fontId="2" fillId="4" borderId="25" xfId="0" applyFont="1" applyFill="1" applyBorder="1" applyAlignment="1">
      <alignment horizontal="center"/>
    </xf>
    <xf numFmtId="0" fontId="3" fillId="2" borderId="0" xfId="0" applyFont="1" applyFill="1"/>
    <xf numFmtId="164" fontId="0" fillId="2" borderId="1" xfId="0" applyNumberFormat="1" applyFill="1" applyBorder="1" applyAlignment="1"/>
    <xf numFmtId="164" fontId="0" fillId="2" borderId="4" xfId="0" applyNumberFormat="1" applyFill="1" applyBorder="1"/>
    <xf numFmtId="0" fontId="0" fillId="2" borderId="4" xfId="0" applyFill="1" applyBorder="1"/>
    <xf numFmtId="2" fontId="0" fillId="2" borderId="4" xfId="0" applyNumberFormat="1" applyFill="1" applyBorder="1" applyAlignment="1">
      <alignment horizontal="center"/>
    </xf>
    <xf numFmtId="44" fontId="0" fillId="2" borderId="4" xfId="2" applyFont="1" applyFill="1" applyBorder="1"/>
    <xf numFmtId="165" fontId="0" fillId="2" borderId="4" xfId="1" applyNumberFormat="1" applyFont="1" applyFill="1" applyBorder="1" applyAlignment="1">
      <alignment horizontal="center"/>
    </xf>
    <xf numFmtId="3" fontId="0" fillId="2" borderId="4" xfId="0" applyNumberFormat="1" applyFill="1" applyBorder="1" applyAlignment="1">
      <alignment horizontal="center"/>
    </xf>
    <xf numFmtId="3" fontId="0" fillId="2" borderId="4" xfId="1" applyNumberFormat="1" applyFont="1" applyFill="1" applyBorder="1" applyAlignment="1">
      <alignment horizontal="center"/>
    </xf>
    <xf numFmtId="166" fontId="0" fillId="2" borderId="4" xfId="1" applyNumberFormat="1" applyFont="1" applyFill="1" applyBorder="1" applyAlignment="1">
      <alignment horizontal="center"/>
    </xf>
    <xf numFmtId="0" fontId="0" fillId="2" borderId="2" xfId="0" applyFill="1" applyBorder="1"/>
    <xf numFmtId="0" fontId="0" fillId="2" borderId="3" xfId="0" applyFill="1" applyBorder="1"/>
    <xf numFmtId="0" fontId="2" fillId="2" borderId="1" xfId="0" applyFont="1" applyFill="1" applyBorder="1"/>
    <xf numFmtId="168" fontId="0" fillId="2" borderId="4" xfId="1" applyNumberFormat="1" applyFont="1" applyFill="1" applyBorder="1"/>
    <xf numFmtId="0" fontId="0" fillId="2" borderId="4" xfId="0" quotePrefix="1" applyFill="1" applyBorder="1" applyAlignment="1">
      <alignment horizontal="center"/>
    </xf>
    <xf numFmtId="10" fontId="0" fillId="2" borderId="0" xfId="0" applyNumberFormat="1" applyFill="1" applyBorder="1" applyAlignment="1">
      <alignment horizontal="center"/>
    </xf>
    <xf numFmtId="0" fontId="7" fillId="3" borderId="16" xfId="0" applyFont="1" applyFill="1" applyBorder="1"/>
    <xf numFmtId="164" fontId="0" fillId="2" borderId="12" xfId="0" applyNumberFormat="1" applyFill="1" applyBorder="1" applyAlignment="1"/>
    <xf numFmtId="3" fontId="0" fillId="2" borderId="6" xfId="0" applyNumberFormat="1" applyFill="1" applyBorder="1" applyAlignment="1">
      <alignment horizontal="center"/>
    </xf>
    <xf numFmtId="0" fontId="4" fillId="3" borderId="16" xfId="0" applyFont="1" applyFill="1" applyBorder="1" applyAlignment="1">
      <alignment horizontal="left"/>
    </xf>
    <xf numFmtId="0" fontId="0" fillId="2" borderId="28" xfId="0" applyFill="1" applyBorder="1"/>
    <xf numFmtId="0" fontId="0" fillId="2" borderId="30" xfId="0" applyFill="1" applyBorder="1"/>
    <xf numFmtId="2" fontId="0" fillId="2" borderId="31" xfId="0" applyNumberFormat="1" applyFill="1" applyBorder="1" applyAlignment="1">
      <alignment horizontal="center"/>
    </xf>
    <xf numFmtId="0" fontId="0" fillId="2" borderId="32" xfId="0" applyFill="1" applyBorder="1"/>
    <xf numFmtId="2" fontId="0" fillId="2" borderId="33" xfId="0" applyNumberFormat="1" applyFill="1" applyBorder="1" applyAlignment="1">
      <alignment horizontal="center"/>
    </xf>
    <xf numFmtId="2" fontId="0" fillId="2" borderId="34" xfId="0" applyNumberFormat="1" applyFill="1" applyBorder="1" applyAlignment="1">
      <alignment horizontal="center"/>
    </xf>
    <xf numFmtId="0" fontId="0" fillId="2" borderId="35" xfId="0" applyFill="1" applyBorder="1"/>
    <xf numFmtId="0" fontId="0" fillId="2" borderId="5" xfId="0" applyFill="1" applyBorder="1" applyAlignment="1">
      <alignment horizontal="center" vertical="center"/>
    </xf>
    <xf numFmtId="0" fontId="0" fillId="2" borderId="26" xfId="0" applyFill="1" applyBorder="1" applyAlignment="1">
      <alignment horizontal="center" vertical="center"/>
    </xf>
    <xf numFmtId="2" fontId="0" fillId="2" borderId="6" xfId="0" applyNumberFormat="1" applyFill="1" applyBorder="1" applyAlignment="1">
      <alignment horizontal="center"/>
    </xf>
    <xf numFmtId="2" fontId="0" fillId="2" borderId="29" xfId="0" applyNumberFormat="1" applyFill="1" applyBorder="1" applyAlignment="1">
      <alignment horizontal="center"/>
    </xf>
    <xf numFmtId="0" fontId="0" fillId="2" borderId="36" xfId="0" applyFill="1" applyBorder="1"/>
    <xf numFmtId="2" fontId="0" fillId="2" borderId="14" xfId="0" applyNumberFormat="1" applyFill="1" applyBorder="1" applyAlignment="1">
      <alignment horizontal="center"/>
    </xf>
    <xf numFmtId="2" fontId="0" fillId="2" borderId="37" xfId="0" applyNumberFormat="1" applyFill="1" applyBorder="1" applyAlignment="1">
      <alignment horizontal="center"/>
    </xf>
    <xf numFmtId="164" fontId="0" fillId="2" borderId="4" xfId="0" applyNumberFormat="1" applyFill="1" applyBorder="1" applyAlignment="1">
      <alignment horizontal="center"/>
    </xf>
    <xf numFmtId="0" fontId="9" fillId="0" borderId="0" xfId="0" applyFont="1"/>
    <xf numFmtId="0" fontId="9" fillId="0" borderId="0" xfId="0" applyFont="1" applyAlignment="1">
      <alignment horizontal="center"/>
    </xf>
    <xf numFmtId="2" fontId="9" fillId="0" borderId="0" xfId="0" applyNumberFormat="1" applyFont="1" applyAlignment="1">
      <alignment horizontal="center"/>
    </xf>
    <xf numFmtId="0" fontId="10" fillId="0" borderId="0" xfId="0" applyFont="1"/>
    <xf numFmtId="0" fontId="10" fillId="0" borderId="0" xfId="0" applyFont="1" applyAlignment="1">
      <alignment horizontal="center"/>
    </xf>
    <xf numFmtId="43" fontId="10" fillId="0" borderId="0" xfId="1" applyFont="1" applyAlignment="1">
      <alignment horizontal="center"/>
    </xf>
    <xf numFmtId="43" fontId="10" fillId="0" borderId="0" xfId="1" applyFont="1" applyAlignment="1">
      <alignment horizontal="right"/>
    </xf>
    <xf numFmtId="2" fontId="10" fillId="0" borderId="0" xfId="0" applyNumberFormat="1" applyFont="1" applyAlignment="1">
      <alignment horizontal="center"/>
    </xf>
    <xf numFmtId="43" fontId="10" fillId="0" borderId="0" xfId="1" applyFont="1"/>
    <xf numFmtId="9" fontId="10" fillId="0" borderId="0" xfId="3" applyNumberFormat="1" applyFont="1"/>
    <xf numFmtId="9" fontId="10" fillId="0" borderId="0" xfId="3" applyFont="1"/>
    <xf numFmtId="0" fontId="2" fillId="4" borderId="1" xfId="0" applyFont="1" applyFill="1" applyBorder="1"/>
    <xf numFmtId="43" fontId="2" fillId="4" borderId="3" xfId="1" applyFont="1" applyFill="1" applyBorder="1" applyAlignment="1">
      <alignment horizontal="center"/>
    </xf>
    <xf numFmtId="43" fontId="2" fillId="4" borderId="3" xfId="1" applyFont="1" applyFill="1" applyBorder="1"/>
    <xf numFmtId="43" fontId="2" fillId="4" borderId="3" xfId="0" applyNumberFormat="1" applyFont="1" applyFill="1" applyBorder="1"/>
    <xf numFmtId="0" fontId="8" fillId="2" borderId="0" xfId="0" applyFont="1" applyFill="1"/>
    <xf numFmtId="0" fontId="11" fillId="3" borderId="16" xfId="0" applyFont="1" applyFill="1" applyBorder="1"/>
    <xf numFmtId="0" fontId="12" fillId="3" borderId="27" xfId="0" applyFont="1" applyFill="1" applyBorder="1"/>
    <xf numFmtId="0" fontId="12" fillId="3" borderId="25" xfId="0" applyFont="1" applyFill="1" applyBorder="1"/>
    <xf numFmtId="0" fontId="8" fillId="2" borderId="20" xfId="0" applyFont="1" applyFill="1" applyBorder="1"/>
    <xf numFmtId="0" fontId="8" fillId="2" borderId="0" xfId="0" applyFont="1" applyFill="1" applyBorder="1"/>
    <xf numFmtId="0" fontId="8" fillId="2" borderId="21" xfId="0" applyFont="1" applyFill="1" applyBorder="1"/>
    <xf numFmtId="0" fontId="8" fillId="2" borderId="22" xfId="0" applyFont="1" applyFill="1" applyBorder="1"/>
    <xf numFmtId="0" fontId="8" fillId="2" borderId="23" xfId="0" applyFont="1" applyFill="1" applyBorder="1"/>
    <xf numFmtId="0" fontId="8" fillId="2" borderId="24" xfId="0" applyFont="1" applyFill="1" applyBorder="1"/>
    <xf numFmtId="0" fontId="8" fillId="2" borderId="0" xfId="0" applyFont="1" applyFill="1" applyBorder="1" applyAlignment="1">
      <alignment horizontal="left" indent="2"/>
    </xf>
    <xf numFmtId="0" fontId="8" fillId="2" borderId="0" xfId="0" applyFont="1" applyFill="1" applyBorder="1" applyAlignment="1">
      <alignment horizontal="left"/>
    </xf>
    <xf numFmtId="0" fontId="13" fillId="2" borderId="0" xfId="0" applyFont="1" applyFill="1" applyBorder="1"/>
    <xf numFmtId="0" fontId="14" fillId="2" borderId="0" xfId="0" applyFont="1" applyFill="1" applyAlignment="1">
      <alignment horizontal="left" indent="1"/>
    </xf>
    <xf numFmtId="165" fontId="0" fillId="2" borderId="4" xfId="0" applyNumberFormat="1" applyFill="1" applyBorder="1" applyAlignment="1">
      <alignment horizontal="center"/>
    </xf>
    <xf numFmtId="0" fontId="4" fillId="3" borderId="1" xfId="0" applyFont="1" applyFill="1" applyBorder="1" applyAlignment="1"/>
    <xf numFmtId="0" fontId="4" fillId="3" borderId="3" xfId="0" applyFont="1" applyFill="1" applyBorder="1" applyAlignment="1"/>
    <xf numFmtId="0" fontId="4" fillId="2" borderId="0" xfId="0" applyFont="1" applyFill="1" applyBorder="1" applyAlignment="1"/>
    <xf numFmtId="0" fontId="15" fillId="3" borderId="27" xfId="0" applyFont="1" applyFill="1" applyBorder="1"/>
    <xf numFmtId="0" fontId="15" fillId="3" borderId="25" xfId="0" applyFont="1" applyFill="1" applyBorder="1"/>
    <xf numFmtId="0" fontId="16" fillId="3" borderId="16" xfId="0" applyFont="1" applyFill="1" applyBorder="1"/>
    <xf numFmtId="0" fontId="17" fillId="2" borderId="0" xfId="0" applyFont="1" applyFill="1" applyBorder="1"/>
    <xf numFmtId="0" fontId="8" fillId="2" borderId="0" xfId="0" applyFont="1" applyFill="1" applyBorder="1" applyAlignment="1">
      <alignment horizontal="left" indent="1"/>
    </xf>
    <xf numFmtId="0" fontId="8" fillId="2" borderId="0" xfId="0" applyFont="1" applyFill="1" applyBorder="1" applyAlignment="1">
      <alignment horizontal="center"/>
    </xf>
    <xf numFmtId="0" fontId="6" fillId="3" borderId="16" xfId="0" applyFont="1" applyFill="1" applyBorder="1"/>
    <xf numFmtId="0" fontId="6" fillId="3" borderId="27" xfId="0" applyFont="1" applyFill="1" applyBorder="1"/>
    <xf numFmtId="0" fontId="6" fillId="3" borderId="27" xfId="0" applyFont="1" applyFill="1" applyBorder="1" applyAlignment="1">
      <alignment horizontal="center"/>
    </xf>
    <xf numFmtId="0" fontId="6" fillId="3" borderId="25" xfId="0" applyFont="1" applyFill="1" applyBorder="1"/>
    <xf numFmtId="10" fontId="0" fillId="2" borderId="0" xfId="3" applyNumberFormat="1" applyFont="1" applyFill="1" applyBorder="1" applyAlignment="1">
      <alignment horizontal="center"/>
    </xf>
    <xf numFmtId="0" fontId="2" fillId="2" borderId="16" xfId="0" applyFont="1" applyFill="1" applyBorder="1"/>
    <xf numFmtId="0" fontId="2" fillId="2" borderId="27" xfId="0" applyFont="1" applyFill="1" applyBorder="1"/>
    <xf numFmtId="0" fontId="2" fillId="2" borderId="27" xfId="0" applyFont="1" applyFill="1" applyBorder="1" applyAlignment="1">
      <alignment horizontal="center"/>
    </xf>
    <xf numFmtId="0" fontId="2" fillId="2" borderId="25" xfId="0" applyFont="1" applyFill="1" applyBorder="1" applyAlignment="1">
      <alignment horizontal="center"/>
    </xf>
    <xf numFmtId="0" fontId="0" fillId="2" borderId="16" xfId="0" applyFill="1" applyBorder="1"/>
    <xf numFmtId="0" fontId="0" fillId="2" borderId="27" xfId="0" applyFill="1" applyBorder="1"/>
    <xf numFmtId="0" fontId="0" fillId="2" borderId="27" xfId="0" applyFill="1" applyBorder="1" applyAlignment="1">
      <alignment horizontal="center"/>
    </xf>
    <xf numFmtId="2" fontId="0" fillId="2" borderId="27" xfId="0" applyNumberFormat="1" applyFill="1" applyBorder="1" applyAlignment="1">
      <alignment horizontal="center"/>
    </xf>
    <xf numFmtId="2" fontId="0" fillId="2" borderId="25" xfId="0" applyNumberFormat="1" applyFill="1" applyBorder="1" applyAlignment="1">
      <alignment horizontal="center"/>
    </xf>
    <xf numFmtId="2" fontId="0" fillId="2" borderId="39" xfId="0" applyNumberFormat="1" applyFill="1" applyBorder="1" applyAlignment="1">
      <alignment horizontal="center"/>
    </xf>
    <xf numFmtId="2" fontId="0" fillId="2" borderId="40" xfId="0" applyNumberFormat="1" applyFill="1" applyBorder="1" applyAlignment="1">
      <alignment horizontal="center"/>
    </xf>
    <xf numFmtId="0" fontId="4" fillId="3" borderId="15" xfId="0" applyFont="1" applyFill="1" applyBorder="1"/>
    <xf numFmtId="0" fontId="4" fillId="3" borderId="15" xfId="0" applyFont="1" applyFill="1" applyBorder="1" applyAlignment="1">
      <alignment horizontal="center"/>
    </xf>
    <xf numFmtId="0" fontId="18" fillId="2" borderId="0" xfId="0" applyFont="1" applyFill="1" applyBorder="1"/>
    <xf numFmtId="0" fontId="0" fillId="2" borderId="39" xfId="0" applyFill="1" applyBorder="1" applyAlignment="1">
      <alignment horizontal="center"/>
    </xf>
    <xf numFmtId="0" fontId="0" fillId="2" borderId="40" xfId="0" applyFill="1" applyBorder="1" applyAlignment="1">
      <alignment horizontal="center"/>
    </xf>
    <xf numFmtId="0" fontId="0" fillId="4" borderId="15" xfId="0" applyFont="1" applyFill="1" applyBorder="1" applyAlignment="1">
      <alignment horizontal="center"/>
    </xf>
    <xf numFmtId="0" fontId="8" fillId="4" borderId="15" xfId="0" applyFont="1" applyFill="1" applyBorder="1" applyAlignment="1">
      <alignment horizontal="center"/>
    </xf>
    <xf numFmtId="0" fontId="0" fillId="2" borderId="21" xfId="0" applyFont="1" applyFill="1" applyBorder="1" applyAlignment="1">
      <alignment horizontal="center"/>
    </xf>
    <xf numFmtId="0" fontId="0" fillId="2" borderId="38" xfId="0" applyFont="1" applyFill="1" applyBorder="1" applyAlignment="1">
      <alignment horizontal="left"/>
    </xf>
    <xf numFmtId="2" fontId="0" fillId="2" borderId="40" xfId="0" applyNumberFormat="1" applyFont="1" applyFill="1" applyBorder="1" applyAlignment="1">
      <alignment horizontal="left"/>
    </xf>
    <xf numFmtId="0" fontId="0" fillId="2" borderId="24" xfId="0" applyFill="1" applyBorder="1"/>
    <xf numFmtId="0" fontId="0" fillId="2" borderId="25" xfId="0" applyFill="1" applyBorder="1"/>
    <xf numFmtId="169" fontId="0" fillId="2" borderId="20" xfId="0" applyNumberFormat="1" applyFill="1" applyBorder="1"/>
    <xf numFmtId="0" fontId="0" fillId="2" borderId="21" xfId="0" applyFill="1" applyBorder="1"/>
    <xf numFmtId="170" fontId="0" fillId="2" borderId="20" xfId="0" applyNumberFormat="1" applyFill="1" applyBorder="1"/>
    <xf numFmtId="10" fontId="0" fillId="2" borderId="41" xfId="3" applyNumberFormat="1" applyFont="1" applyFill="1" applyBorder="1"/>
    <xf numFmtId="0" fontId="0" fillId="2" borderId="7" xfId="0" applyFill="1" applyBorder="1"/>
    <xf numFmtId="0" fontId="0" fillId="2" borderId="42" xfId="0" applyFill="1" applyBorder="1"/>
    <xf numFmtId="170" fontId="0" fillId="2" borderId="22" xfId="0" applyNumberFormat="1" applyFill="1" applyBorder="1"/>
    <xf numFmtId="10" fontId="0" fillId="2" borderId="23" xfId="0" applyNumberFormat="1" applyFill="1" applyBorder="1"/>
    <xf numFmtId="170" fontId="0" fillId="2" borderId="23" xfId="0" applyNumberFormat="1" applyFill="1" applyBorder="1"/>
    <xf numFmtId="0" fontId="0" fillId="2" borderId="19" xfId="0" applyFill="1" applyBorder="1"/>
    <xf numFmtId="2" fontId="0" fillId="2" borderId="0" xfId="0" applyNumberFormat="1" applyFill="1" applyBorder="1"/>
    <xf numFmtId="0" fontId="0" fillId="2" borderId="41" xfId="0" applyFill="1" applyBorder="1"/>
    <xf numFmtId="2" fontId="0" fillId="2" borderId="7" xfId="0" applyNumberFormat="1" applyFill="1" applyBorder="1"/>
    <xf numFmtId="10" fontId="0" fillId="2" borderId="0" xfId="3" applyNumberFormat="1" applyFont="1" applyFill="1" applyBorder="1"/>
    <xf numFmtId="0" fontId="5" fillId="2" borderId="0" xfId="0" applyFont="1" applyFill="1" applyAlignment="1"/>
    <xf numFmtId="0" fontId="4" fillId="5" borderId="17" xfId="0" applyFont="1" applyFill="1" applyBorder="1" applyAlignment="1"/>
    <xf numFmtId="0" fontId="5" fillId="5" borderId="18" xfId="0" applyFont="1" applyFill="1" applyBorder="1" applyAlignment="1"/>
    <xf numFmtId="0" fontId="5" fillId="5" borderId="19" xfId="0" applyFont="1" applyFill="1" applyBorder="1" applyAlignment="1"/>
    <xf numFmtId="0" fontId="0" fillId="2" borderId="20" xfId="0" applyNumberFormat="1" applyFill="1" applyBorder="1"/>
    <xf numFmtId="0" fontId="0" fillId="2" borderId="15" xfId="0" applyNumberFormat="1" applyFill="1" applyBorder="1"/>
    <xf numFmtId="0" fontId="0" fillId="2" borderId="15" xfId="0" applyFill="1" applyBorder="1"/>
    <xf numFmtId="0" fontId="0" fillId="2" borderId="39" xfId="0" applyFill="1" applyBorder="1"/>
    <xf numFmtId="0" fontId="0" fillId="2" borderId="40" xfId="0" applyFill="1" applyBorder="1"/>
    <xf numFmtId="0" fontId="0" fillId="2" borderId="39" xfId="0" applyNumberFormat="1" applyFill="1" applyBorder="1" applyAlignment="1">
      <alignment horizontal="left"/>
    </xf>
    <xf numFmtId="0" fontId="0" fillId="2" borderId="40" xfId="0" applyNumberFormat="1" applyFill="1" applyBorder="1" applyAlignment="1">
      <alignment horizontal="left"/>
    </xf>
    <xf numFmtId="0" fontId="0" fillId="2" borderId="39" xfId="0" applyFill="1" applyBorder="1" applyAlignment="1">
      <alignment horizontal="left"/>
    </xf>
    <xf numFmtId="0" fontId="0" fillId="2" borderId="40" xfId="0" applyFill="1" applyBorder="1" applyAlignment="1">
      <alignment horizontal="left"/>
    </xf>
    <xf numFmtId="0" fontId="0" fillId="2" borderId="21" xfId="0" applyFill="1" applyBorder="1" applyAlignment="1">
      <alignment horizontal="left"/>
    </xf>
    <xf numFmtId="0" fontId="0" fillId="2" borderId="24" xfId="0" applyFill="1" applyBorder="1" applyAlignment="1">
      <alignment horizontal="left"/>
    </xf>
    <xf numFmtId="0" fontId="0" fillId="2" borderId="15" xfId="0" applyFill="1" applyBorder="1" applyAlignment="1">
      <alignment horizontal="center" vertical="center" wrapText="1"/>
    </xf>
    <xf numFmtId="17" fontId="0" fillId="2" borderId="40" xfId="0" applyNumberFormat="1" applyFill="1" applyBorder="1" applyAlignment="1">
      <alignment horizontal="center"/>
    </xf>
    <xf numFmtId="0" fontId="0" fillId="2" borderId="15" xfId="0" applyFill="1" applyBorder="1" applyAlignment="1">
      <alignment vertical="center" wrapText="1"/>
    </xf>
    <xf numFmtId="17" fontId="0" fillId="2" borderId="40" xfId="0" applyNumberFormat="1" applyFill="1" applyBorder="1"/>
    <xf numFmtId="0" fontId="4" fillId="5" borderId="16" xfId="0" applyFont="1" applyFill="1" applyBorder="1"/>
    <xf numFmtId="0" fontId="4" fillId="5" borderId="27" xfId="0" applyFont="1" applyFill="1" applyBorder="1"/>
    <xf numFmtId="0" fontId="4" fillId="5" borderId="25" xfId="0" applyFont="1" applyFill="1" applyBorder="1"/>
    <xf numFmtId="0" fontId="5" fillId="6" borderId="27" xfId="0" applyFont="1" applyFill="1" applyBorder="1"/>
    <xf numFmtId="0" fontId="5" fillId="6" borderId="25" xfId="0" applyFont="1" applyFill="1" applyBorder="1"/>
    <xf numFmtId="0" fontId="4" fillId="6" borderId="16" xfId="0" applyFont="1" applyFill="1" applyBorder="1"/>
    <xf numFmtId="0" fontId="4" fillId="6" borderId="27" xfId="0" applyFont="1" applyFill="1" applyBorder="1"/>
    <xf numFmtId="0" fontId="4" fillId="6" borderId="25" xfId="0" applyFont="1" applyFill="1" applyBorder="1"/>
    <xf numFmtId="0" fontId="0" fillId="2" borderId="0" xfId="0" applyNumberFormat="1" applyFill="1" applyBorder="1"/>
    <xf numFmtId="0" fontId="0" fillId="2" borderId="23" xfId="0" applyNumberFormat="1" applyFill="1" applyBorder="1"/>
    <xf numFmtId="0" fontId="0" fillId="2" borderId="43" xfId="0" applyFill="1" applyBorder="1"/>
    <xf numFmtId="0" fontId="0" fillId="2" borderId="44" xfId="0" applyFill="1" applyBorder="1"/>
    <xf numFmtId="0" fontId="0" fillId="2" borderId="45" xfId="0" applyFill="1" applyBorder="1"/>
    <xf numFmtId="0" fontId="0" fillId="2" borderId="47" xfId="0" applyFill="1" applyBorder="1"/>
    <xf numFmtId="0" fontId="0" fillId="2" borderId="48" xfId="0" applyFill="1" applyBorder="1"/>
    <xf numFmtId="0" fontId="0" fillId="2" borderId="46" xfId="0" applyFill="1" applyBorder="1"/>
    <xf numFmtId="9" fontId="8" fillId="4" borderId="15" xfId="3" applyFont="1" applyFill="1" applyBorder="1" applyAlignment="1">
      <alignment horizontal="center"/>
    </xf>
    <xf numFmtId="10" fontId="8" fillId="4" borderId="15" xfId="3" applyNumberFormat="1" applyFont="1" applyFill="1" applyBorder="1" applyAlignment="1">
      <alignment horizontal="center"/>
    </xf>
    <xf numFmtId="0" fontId="19" fillId="4" borderId="15" xfId="0" applyFont="1" applyFill="1" applyBorder="1" applyAlignment="1">
      <alignment horizontal="center"/>
    </xf>
    <xf numFmtId="0" fontId="0" fillId="2" borderId="39" xfId="0" applyFill="1" applyBorder="1" applyAlignment="1">
      <alignment horizontal="center" vertical="center"/>
    </xf>
    <xf numFmtId="0" fontId="0" fillId="2" borderId="39" xfId="0" applyFill="1" applyBorder="1" applyAlignment="1">
      <alignment wrapText="1"/>
    </xf>
    <xf numFmtId="164" fontId="0" fillId="2" borderId="39" xfId="0" applyNumberFormat="1" applyFill="1" applyBorder="1" applyAlignment="1">
      <alignment horizontal="center"/>
    </xf>
    <xf numFmtId="164" fontId="0" fillId="2" borderId="40" xfId="0" applyNumberFormat="1" applyFill="1" applyBorder="1" applyAlignment="1">
      <alignment horizontal="center"/>
    </xf>
    <xf numFmtId="0" fontId="0" fillId="3" borderId="0" xfId="0" applyFill="1"/>
    <xf numFmtId="167" fontId="0" fillId="2" borderId="0" xfId="0" applyNumberFormat="1" applyFill="1" applyBorder="1" applyAlignment="1">
      <alignment horizontal="center"/>
    </xf>
    <xf numFmtId="0" fontId="4" fillId="2" borderId="0" xfId="0" applyFont="1" applyFill="1" applyBorder="1"/>
    <xf numFmtId="10" fontId="19" fillId="4" borderId="15" xfId="0" applyNumberFormat="1" applyFont="1" applyFill="1" applyBorder="1" applyAlignment="1">
      <alignment horizontal="center"/>
    </xf>
    <xf numFmtId="0" fontId="0" fillId="3" borderId="27" xfId="0" applyFill="1" applyBorder="1"/>
    <xf numFmtId="2" fontId="0" fillId="2" borderId="4" xfId="3" applyNumberFormat="1" applyFont="1" applyFill="1" applyBorder="1" applyAlignment="1">
      <alignment horizontal="center"/>
    </xf>
    <xf numFmtId="0" fontId="0" fillId="2" borderId="38" xfId="0" applyFill="1" applyBorder="1" applyAlignment="1">
      <alignment horizontal="center" vertical="center"/>
    </xf>
    <xf numFmtId="0" fontId="0" fillId="2" borderId="38" xfId="0" applyFill="1" applyBorder="1" applyAlignment="1">
      <alignment wrapText="1"/>
    </xf>
    <xf numFmtId="164" fontId="0" fillId="2" borderId="38" xfId="0" applyNumberFormat="1" applyFill="1" applyBorder="1" applyAlignment="1">
      <alignment horizontal="center"/>
    </xf>
    <xf numFmtId="0" fontId="4" fillId="5" borderId="0" xfId="0" applyFont="1" applyFill="1"/>
    <xf numFmtId="0" fontId="9" fillId="0" borderId="0" xfId="0" applyFont="1" applyBorder="1"/>
    <xf numFmtId="43" fontId="10" fillId="0" borderId="0" xfId="0" applyNumberFormat="1" applyFont="1" applyBorder="1" applyAlignment="1"/>
    <xf numFmtId="0" fontId="10" fillId="0" borderId="0" xfId="0" applyFont="1" applyBorder="1"/>
    <xf numFmtId="9" fontId="10" fillId="0" borderId="0" xfId="0" applyNumberFormat="1" applyFont="1" applyBorder="1"/>
    <xf numFmtId="0" fontId="20" fillId="2" borderId="0" xfId="4" applyFill="1" applyBorder="1"/>
    <xf numFmtId="10" fontId="0" fillId="2" borderId="0" xfId="3" applyNumberFormat="1" applyFont="1" applyFill="1"/>
    <xf numFmtId="0" fontId="2" fillId="2" borderId="0" xfId="0" applyFont="1" applyFill="1" applyBorder="1" applyAlignment="1">
      <alignment horizontal="center"/>
    </xf>
    <xf numFmtId="0" fontId="6" fillId="3" borderId="16" xfId="0" applyFont="1" applyFill="1" applyBorder="1" applyProtection="1">
      <protection locked="0"/>
    </xf>
    <xf numFmtId="0" fontId="5" fillId="3" borderId="27" xfId="0" applyFont="1" applyFill="1" applyBorder="1" applyProtection="1">
      <protection locked="0"/>
    </xf>
    <xf numFmtId="0" fontId="0" fillId="3" borderId="27" xfId="0" applyFill="1" applyBorder="1" applyProtection="1">
      <protection locked="0"/>
    </xf>
    <xf numFmtId="0" fontId="0" fillId="3" borderId="25" xfId="0" applyFill="1" applyBorder="1" applyProtection="1">
      <protection locked="0"/>
    </xf>
    <xf numFmtId="0" fontId="0" fillId="2" borderId="0" xfId="0" applyFill="1" applyBorder="1" applyProtection="1">
      <protection locked="0"/>
    </xf>
    <xf numFmtId="0" fontId="21" fillId="8" borderId="16" xfId="0" applyFont="1" applyFill="1" applyBorder="1" applyProtection="1">
      <protection locked="0"/>
    </xf>
    <xf numFmtId="0" fontId="22" fillId="8" borderId="25" xfId="0" applyFont="1" applyFill="1" applyBorder="1" applyProtection="1">
      <protection locked="0"/>
    </xf>
    <xf numFmtId="0" fontId="21" fillId="5" borderId="22" xfId="0" applyFont="1" applyFill="1" applyBorder="1" applyProtection="1">
      <protection locked="0"/>
    </xf>
    <xf numFmtId="0" fontId="5" fillId="5" borderId="24" xfId="0" applyFont="1" applyFill="1" applyBorder="1" applyProtection="1">
      <protection locked="0"/>
    </xf>
    <xf numFmtId="0" fontId="5" fillId="5" borderId="23" xfId="0" applyFont="1" applyFill="1" applyBorder="1" applyProtection="1">
      <protection locked="0"/>
    </xf>
    <xf numFmtId="0" fontId="21" fillId="5" borderId="16" xfId="0" applyFont="1" applyFill="1" applyBorder="1" applyProtection="1">
      <protection locked="0"/>
    </xf>
    <xf numFmtId="0" fontId="5" fillId="5" borderId="27" xfId="0" applyFont="1" applyFill="1" applyBorder="1" applyProtection="1">
      <protection locked="0"/>
    </xf>
    <xf numFmtId="0" fontId="5" fillId="5" borderId="25" xfId="0" applyFon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23" fillId="4" borderId="16" xfId="0" applyFont="1" applyFill="1" applyBorder="1" applyProtection="1">
      <protection locked="0"/>
    </xf>
    <xf numFmtId="0" fontId="24" fillId="4" borderId="25" xfId="0" applyFont="1" applyFill="1" applyBorder="1" applyProtection="1">
      <protection locked="0"/>
    </xf>
    <xf numFmtId="0" fontId="24" fillId="4" borderId="27" xfId="0" applyFont="1" applyFill="1" applyBorder="1" applyProtection="1">
      <protection locked="0"/>
    </xf>
    <xf numFmtId="0" fontId="0" fillId="4" borderId="27" xfId="0" applyFill="1" applyBorder="1" applyProtection="1">
      <protection locked="0"/>
    </xf>
    <xf numFmtId="0" fontId="0" fillId="4" borderId="25" xfId="0" applyFill="1" applyBorder="1" applyProtection="1">
      <protection locked="0"/>
    </xf>
    <xf numFmtId="0" fontId="0" fillId="10" borderId="15" xfId="0" applyFill="1" applyBorder="1" applyAlignment="1" applyProtection="1">
      <alignment horizontal="center"/>
      <protection locked="0"/>
    </xf>
    <xf numFmtId="0" fontId="19" fillId="10" borderId="16" xfId="0" applyFont="1" applyFill="1" applyBorder="1" applyProtection="1">
      <protection locked="0"/>
    </xf>
    <xf numFmtId="0" fontId="25" fillId="10" borderId="25" xfId="0" applyFont="1" applyFill="1" applyBorder="1" applyProtection="1">
      <protection locked="0"/>
    </xf>
    <xf numFmtId="0" fontId="0" fillId="10" borderId="15" xfId="0" applyFill="1" applyBorder="1" applyProtection="1">
      <protection locked="0"/>
    </xf>
    <xf numFmtId="0" fontId="0" fillId="2" borderId="43" xfId="0" applyFill="1" applyBorder="1" applyProtection="1">
      <protection locked="0"/>
    </xf>
    <xf numFmtId="172" fontId="23" fillId="9" borderId="45" xfId="0" applyNumberFormat="1" applyFont="1" applyFill="1" applyBorder="1" applyProtection="1">
      <protection locked="0"/>
    </xf>
    <xf numFmtId="0" fontId="0" fillId="2" borderId="44" xfId="0" applyFill="1" applyBorder="1" applyProtection="1">
      <protection locked="0"/>
    </xf>
    <xf numFmtId="0" fontId="0" fillId="2" borderId="45" xfId="0" applyFill="1" applyBorder="1" applyProtection="1">
      <protection locked="0"/>
    </xf>
    <xf numFmtId="0" fontId="0" fillId="2" borderId="0" xfId="0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0" fillId="2" borderId="47" xfId="0" applyFill="1" applyBorder="1" applyProtection="1">
      <protection locked="0"/>
    </xf>
    <xf numFmtId="172" fontId="23" fillId="9" borderId="48" xfId="0" applyNumberFormat="1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48" xfId="0" applyFill="1" applyBorder="1" applyProtection="1">
      <protection locked="0"/>
    </xf>
    <xf numFmtId="0" fontId="2" fillId="4" borderId="15" xfId="0" applyFont="1" applyFill="1" applyBorder="1" applyProtection="1">
      <protection locked="0"/>
    </xf>
    <xf numFmtId="0" fontId="0" fillId="2" borderId="22" xfId="0" applyFill="1" applyBorder="1" applyProtection="1">
      <protection locked="0"/>
    </xf>
    <xf numFmtId="172" fontId="23" fillId="9" borderId="21" xfId="0" applyNumberFormat="1" applyFont="1" applyFill="1" applyBorder="1" applyProtection="1">
      <protection locked="0"/>
    </xf>
    <xf numFmtId="0" fontId="0" fillId="2" borderId="21" xfId="0" applyFill="1" applyBorder="1" applyProtection="1">
      <protection locked="0"/>
    </xf>
    <xf numFmtId="5" fontId="0" fillId="10" borderId="15" xfId="0" applyNumberFormat="1" applyFill="1" applyBorder="1" applyProtection="1">
      <protection locked="0"/>
    </xf>
    <xf numFmtId="0" fontId="0" fillId="10" borderId="16" xfId="0" applyFill="1" applyBorder="1" applyProtection="1">
      <protection locked="0"/>
    </xf>
    <xf numFmtId="2" fontId="0" fillId="13" borderId="50" xfId="0" applyNumberFormat="1" applyFill="1" applyBorder="1" applyProtection="1"/>
    <xf numFmtId="2" fontId="0" fillId="12" borderId="46" xfId="0" applyNumberFormat="1" applyFill="1" applyBorder="1" applyProtection="1"/>
    <xf numFmtId="2" fontId="0" fillId="13" borderId="40" xfId="0" applyNumberFormat="1" applyFill="1" applyBorder="1" applyProtection="1"/>
    <xf numFmtId="173" fontId="0" fillId="13" borderId="50" xfId="0" applyNumberFormat="1" applyFill="1" applyBorder="1" applyProtection="1"/>
    <xf numFmtId="173" fontId="0" fillId="12" borderId="46" xfId="0" applyNumberFormat="1" applyFill="1" applyBorder="1" applyProtection="1"/>
    <xf numFmtId="173" fontId="0" fillId="13" borderId="39" xfId="0" applyNumberFormat="1" applyFill="1" applyBorder="1" applyProtection="1"/>
    <xf numFmtId="0" fontId="0" fillId="2" borderId="50" xfId="0" applyFill="1" applyBorder="1" applyProtection="1">
      <protection locked="0"/>
    </xf>
    <xf numFmtId="2" fontId="0" fillId="12" borderId="50" xfId="0" applyNumberFormat="1" applyFill="1" applyBorder="1" applyAlignment="1" applyProtection="1">
      <alignment horizontal="right"/>
    </xf>
    <xf numFmtId="0" fontId="0" fillId="2" borderId="46" xfId="0" applyFill="1" applyBorder="1" applyProtection="1">
      <protection locked="0"/>
    </xf>
    <xf numFmtId="5" fontId="0" fillId="13" borderId="46" xfId="1" applyNumberFormat="1" applyFont="1" applyFill="1" applyBorder="1" applyAlignment="1" applyProtection="1">
      <alignment horizontal="right"/>
    </xf>
    <xf numFmtId="2" fontId="0" fillId="13" borderId="46" xfId="0" applyNumberFormat="1" applyFill="1" applyBorder="1" applyAlignment="1" applyProtection="1">
      <alignment horizontal="right"/>
    </xf>
    <xf numFmtId="174" fontId="0" fillId="0" borderId="46" xfId="1" applyNumberFormat="1" applyFont="1" applyBorder="1" applyAlignment="1" applyProtection="1">
      <alignment horizontal="right"/>
    </xf>
    <xf numFmtId="0" fontId="0" fillId="0" borderId="46" xfId="0" applyBorder="1" applyAlignment="1" applyProtection="1">
      <alignment horizontal="right"/>
    </xf>
    <xf numFmtId="0" fontId="0" fillId="2" borderId="23" xfId="0" applyFill="1" applyBorder="1" applyProtection="1">
      <protection locked="0"/>
    </xf>
    <xf numFmtId="0" fontId="0" fillId="2" borderId="24" xfId="0" applyFill="1" applyBorder="1" applyProtection="1">
      <protection locked="0"/>
    </xf>
    <xf numFmtId="0" fontId="0" fillId="2" borderId="40" xfId="0" applyFill="1" applyBorder="1" applyProtection="1">
      <protection locked="0"/>
    </xf>
    <xf numFmtId="0" fontId="0" fillId="2" borderId="0" xfId="0" applyFill="1" applyProtection="1">
      <protection locked="0"/>
    </xf>
    <xf numFmtId="44" fontId="5" fillId="11" borderId="45" xfId="0" applyNumberFormat="1" applyFont="1" applyFill="1" applyBorder="1" applyProtection="1"/>
    <xf numFmtId="44" fontId="5" fillId="11" borderId="48" xfId="0" applyNumberFormat="1" applyFont="1" applyFill="1" applyBorder="1" applyProtection="1"/>
    <xf numFmtId="171" fontId="5" fillId="11" borderId="48" xfId="3" applyNumberFormat="1" applyFont="1" applyFill="1" applyBorder="1" applyProtection="1"/>
    <xf numFmtId="172" fontId="0" fillId="13" borderId="50" xfId="0" applyNumberFormat="1" applyFill="1" applyBorder="1" applyProtection="1"/>
    <xf numFmtId="172" fontId="0" fillId="13" borderId="46" xfId="0" applyNumberFormat="1" applyFill="1" applyBorder="1" applyProtection="1"/>
    <xf numFmtId="2" fontId="0" fillId="13" borderId="46" xfId="0" applyNumberFormat="1" applyFill="1" applyBorder="1" applyProtection="1"/>
    <xf numFmtId="0" fontId="0" fillId="10" borderId="38" xfId="0" applyFill="1" applyBorder="1" applyProtection="1">
      <protection locked="0"/>
    </xf>
    <xf numFmtId="2" fontId="0" fillId="2" borderId="15" xfId="0" applyNumberFormat="1" applyFill="1" applyBorder="1" applyAlignment="1" applyProtection="1">
      <alignment horizontal="center"/>
    </xf>
    <xf numFmtId="0" fontId="0" fillId="2" borderId="15" xfId="0" applyFill="1" applyBorder="1" applyProtection="1"/>
    <xf numFmtId="172" fontId="0" fillId="12" borderId="15" xfId="0" applyNumberFormat="1" applyFill="1" applyBorder="1" applyAlignment="1" applyProtection="1">
      <alignment horizontal="center"/>
    </xf>
    <xf numFmtId="172" fontId="0" fillId="12" borderId="25" xfId="0" applyNumberFormat="1" applyFill="1" applyBorder="1" applyAlignment="1" applyProtection="1">
      <alignment horizontal="center"/>
    </xf>
    <xf numFmtId="2" fontId="0" fillId="12" borderId="17" xfId="0" applyNumberFormat="1" applyFill="1" applyBorder="1" applyAlignment="1" applyProtection="1">
      <alignment horizontal="center"/>
    </xf>
    <xf numFmtId="2" fontId="0" fillId="12" borderId="18" xfId="0" applyNumberFormat="1" applyFill="1" applyBorder="1" applyAlignment="1" applyProtection="1">
      <alignment horizontal="center"/>
    </xf>
    <xf numFmtId="2" fontId="0" fillId="12" borderId="19" xfId="0" applyNumberFormat="1" applyFill="1" applyBorder="1" applyAlignment="1" applyProtection="1">
      <alignment horizontal="center"/>
    </xf>
    <xf numFmtId="2" fontId="0" fillId="12" borderId="20" xfId="0" applyNumberFormat="1" applyFill="1" applyBorder="1" applyAlignment="1" applyProtection="1">
      <alignment horizontal="center"/>
    </xf>
    <xf numFmtId="2" fontId="0" fillId="12" borderId="0" xfId="0" applyNumberFormat="1" applyFill="1" applyBorder="1" applyAlignment="1" applyProtection="1">
      <alignment horizontal="center"/>
    </xf>
    <xf numFmtId="2" fontId="0" fillId="12" borderId="21" xfId="0" applyNumberFormat="1" applyFill="1" applyBorder="1" applyAlignment="1" applyProtection="1">
      <alignment horizontal="center"/>
    </xf>
    <xf numFmtId="2" fontId="0" fillId="12" borderId="22" xfId="0" applyNumberFormat="1" applyFill="1" applyBorder="1" applyAlignment="1" applyProtection="1">
      <alignment horizontal="center"/>
    </xf>
    <xf numFmtId="2" fontId="0" fillId="12" borderId="23" xfId="0" applyNumberFormat="1" applyFill="1" applyBorder="1" applyAlignment="1" applyProtection="1">
      <alignment horizontal="center"/>
    </xf>
    <xf numFmtId="2" fontId="0" fillId="12" borderId="24" xfId="0" applyNumberFormat="1" applyFill="1" applyBorder="1" applyAlignment="1" applyProtection="1">
      <alignment horizontal="center"/>
    </xf>
    <xf numFmtId="0" fontId="0" fillId="9" borderId="15" xfId="0" applyFill="1" applyBorder="1" applyProtection="1">
      <protection locked="0"/>
    </xf>
    <xf numFmtId="0" fontId="0" fillId="11" borderId="15" xfId="0" applyFill="1" applyBorder="1" applyProtection="1">
      <protection locked="0"/>
    </xf>
    <xf numFmtId="0" fontId="0" fillId="12" borderId="15" xfId="0" applyFill="1" applyBorder="1" applyProtection="1">
      <protection locked="0"/>
    </xf>
    <xf numFmtId="0" fontId="0" fillId="13" borderId="15" xfId="0" applyFill="1" applyBorder="1" applyProtection="1">
      <protection locked="0"/>
    </xf>
    <xf numFmtId="0" fontId="0" fillId="14" borderId="15" xfId="0" applyFill="1" applyBorder="1" applyProtection="1">
      <protection locked="0"/>
    </xf>
    <xf numFmtId="43" fontId="23" fillId="9" borderId="45" xfId="0" applyNumberFormat="1" applyFont="1" applyFill="1" applyBorder="1" applyProtection="1">
      <protection locked="0"/>
    </xf>
    <xf numFmtId="43" fontId="23" fillId="9" borderId="48" xfId="0" applyNumberFormat="1" applyFont="1" applyFill="1" applyBorder="1" applyProtection="1">
      <protection locked="0"/>
    </xf>
    <xf numFmtId="43" fontId="24" fillId="9" borderId="48" xfId="1" applyFont="1" applyFill="1" applyBorder="1" applyProtection="1"/>
    <xf numFmtId="43" fontId="24" fillId="9" borderId="24" xfId="1" applyFont="1" applyFill="1" applyBorder="1" applyProtection="1"/>
    <xf numFmtId="175" fontId="0" fillId="2" borderId="0" xfId="0" applyNumberFormat="1" applyFill="1" applyBorder="1" applyAlignment="1">
      <alignment horizontal="center"/>
    </xf>
    <xf numFmtId="175" fontId="0" fillId="2" borderId="21" xfId="0" applyNumberFormat="1" applyFill="1" applyBorder="1" applyAlignment="1">
      <alignment horizontal="center"/>
    </xf>
    <xf numFmtId="43" fontId="10" fillId="15" borderId="4" xfId="1" applyFont="1" applyFill="1" applyBorder="1" applyAlignment="1">
      <alignment horizontal="center"/>
    </xf>
    <xf numFmtId="9" fontId="10" fillId="0" borderId="0" xfId="3" applyNumberFormat="1" applyFont="1" applyAlignment="1">
      <alignment horizontal="center"/>
    </xf>
    <xf numFmtId="9" fontId="10" fillId="0" borderId="0" xfId="3" applyFont="1" applyAlignment="1">
      <alignment horizontal="center"/>
    </xf>
    <xf numFmtId="0" fontId="9" fillId="15" borderId="4" xfId="0" applyFont="1" applyFill="1" applyBorder="1" applyAlignment="1">
      <alignment horizontal="center"/>
    </xf>
    <xf numFmtId="0" fontId="8" fillId="2" borderId="51" xfId="0" applyFont="1" applyFill="1" applyBorder="1"/>
    <xf numFmtId="0" fontId="28" fillId="2" borderId="10" xfId="0" applyFont="1" applyFill="1" applyBorder="1"/>
    <xf numFmtId="0" fontId="8" fillId="2" borderId="10" xfId="0" applyFont="1" applyFill="1" applyBorder="1"/>
    <xf numFmtId="0" fontId="8" fillId="2" borderId="52" xfId="0" applyFont="1" applyFill="1" applyBorder="1"/>
    <xf numFmtId="0" fontId="29" fillId="2" borderId="10" xfId="0" applyFont="1" applyFill="1" applyBorder="1"/>
    <xf numFmtId="0" fontId="8" fillId="2" borderId="0" xfId="0" applyFont="1" applyFill="1" applyAlignment="1">
      <alignment horizontal="left" indent="1"/>
    </xf>
    <xf numFmtId="0" fontId="13" fillId="2" borderId="0" xfId="0" applyFont="1" applyFill="1"/>
    <xf numFmtId="0" fontId="13" fillId="2" borderId="0" xfId="0" applyFont="1" applyFill="1" applyAlignment="1">
      <alignment horizontal="left"/>
    </xf>
    <xf numFmtId="0" fontId="25" fillId="10" borderId="19" xfId="0" applyFont="1" applyFill="1" applyBorder="1" applyProtection="1">
      <protection locked="0"/>
    </xf>
    <xf numFmtId="0" fontId="25" fillId="10" borderId="24" xfId="0" applyFont="1" applyFill="1" applyBorder="1" applyProtection="1">
      <protection locked="0"/>
    </xf>
    <xf numFmtId="0" fontId="19" fillId="10" borderId="17" xfId="0" applyFont="1" applyFill="1" applyBorder="1" applyProtection="1">
      <protection locked="0"/>
    </xf>
    <xf numFmtId="0" fontId="19" fillId="10" borderId="22" xfId="0" applyFont="1" applyFill="1" applyBorder="1" applyProtection="1">
      <protection locked="0"/>
    </xf>
    <xf numFmtId="43" fontId="23" fillId="9" borderId="24" xfId="0" applyNumberFormat="1" applyFont="1" applyFill="1" applyBorder="1" applyProtection="1">
      <protection locked="0"/>
    </xf>
    <xf numFmtId="5" fontId="0" fillId="2" borderId="46" xfId="1" applyNumberFormat="1" applyFont="1" applyFill="1" applyBorder="1" applyAlignment="1" applyProtection="1">
      <alignment horizontal="right"/>
    </xf>
    <xf numFmtId="172" fontId="0" fillId="13" borderId="40" xfId="0" applyNumberFormat="1" applyFill="1" applyBorder="1" applyAlignment="1" applyProtection="1">
      <alignment horizontal="right"/>
    </xf>
    <xf numFmtId="172" fontId="0" fillId="2" borderId="40" xfId="0" applyNumberFormat="1" applyFill="1" applyBorder="1" applyAlignment="1" applyProtection="1">
      <alignment horizontal="right"/>
    </xf>
    <xf numFmtId="172" fontId="0" fillId="12" borderId="50" xfId="0" applyNumberFormat="1" applyFill="1" applyBorder="1" applyAlignment="1" applyProtection="1">
      <alignment horizontal="right"/>
    </xf>
    <xf numFmtId="172" fontId="0" fillId="12" borderId="46" xfId="0" applyNumberFormat="1" applyFill="1" applyBorder="1" applyAlignment="1" applyProtection="1">
      <alignment horizontal="right"/>
    </xf>
    <xf numFmtId="0" fontId="4" fillId="5" borderId="16" xfId="0" applyFont="1" applyFill="1" applyBorder="1" applyAlignment="1">
      <alignment horizontal="center" vertical="center" wrapText="1"/>
    </xf>
    <xf numFmtId="0" fontId="4" fillId="5" borderId="27" xfId="0" applyFont="1" applyFill="1" applyBorder="1" applyAlignment="1">
      <alignment horizontal="center" vertical="center" wrapText="1"/>
    </xf>
    <xf numFmtId="0" fontId="4" fillId="5" borderId="25" xfId="0" applyFont="1" applyFill="1" applyBorder="1" applyAlignment="1">
      <alignment horizontal="center" vertical="center" wrapText="1"/>
    </xf>
  </cellXfs>
  <cellStyles count="5">
    <cellStyle name="Comma" xfId="1" builtinId="3"/>
    <cellStyle name="Currency" xfId="2" builtinId="4"/>
    <cellStyle name="Input" xfId="4" builtinId="20"/>
    <cellStyle name="Normal" xfId="0" builtinId="0"/>
    <cellStyle name="Percent" xfId="3" builtinId="5"/>
  </cellStyles>
  <dxfs count="14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0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chartsheet" Target="chartsheets/sheet3.xml"/><Relationship Id="rId17" Type="http://schemas.openxmlformats.org/officeDocument/2006/relationships/worksheet" Target="worksheets/sheet1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2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hartsheet" Target="chartsheets/sheet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1.xml"/><Relationship Id="rId10" Type="http://schemas.openxmlformats.org/officeDocument/2006/relationships/chartsheet" Target="chartsheets/sheet1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hartsheet" Target="chartsheets/sheet4.xml"/><Relationship Id="rId22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9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'CML analysis 1'!$B$70</c:f>
              <c:strCache>
                <c:ptCount val="1"/>
                <c:pt idx="0">
                  <c:v>Max reward</c:v>
                </c:pt>
              </c:strCache>
            </c:strRef>
          </c:tx>
          <c:spPr>
            <a:ln w="28575" cap="rnd">
              <a:solidFill>
                <a:schemeClr val="accent3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'CML analysis 1'!$C$68:$AA$68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'CML analysis 1'!$C$70:$AA$70</c:f>
              <c:numCache>
                <c:formatCode>General</c:formatCode>
                <c:ptCount val="25"/>
                <c:pt idx="19" formatCode="0.00">
                  <c:v>50.371549776589397</c:v>
                </c:pt>
                <c:pt idx="20" formatCode="0.00">
                  <c:v>49.556903821357245</c:v>
                </c:pt>
                <c:pt idx="21" formatCode="0.00">
                  <c:v>48.742257866125101</c:v>
                </c:pt>
                <c:pt idx="22" formatCode="0.00">
                  <c:v>47.927611910892956</c:v>
                </c:pt>
                <c:pt idx="23" formatCode="0.00">
                  <c:v>47.112965955660805</c:v>
                </c:pt>
                <c:pt idx="24" formatCode="0.00">
                  <c:v>46.29832000042866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'CML analysis 1'!$B$72</c:f>
              <c:strCache>
                <c:ptCount val="1"/>
                <c:pt idx="0">
                  <c:v>Unplanned customer minutes lost (unweighted, excluding exceptional events)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'CML analysis 1'!$C$68:$AA$68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'CML analysis 1'!$C$72:$AA$72</c:f>
              <c:numCache>
                <c:formatCode>0.00</c:formatCode>
                <c:ptCount val="25"/>
                <c:pt idx="0">
                  <c:v>100.4</c:v>
                </c:pt>
                <c:pt idx="1">
                  <c:v>114.7</c:v>
                </c:pt>
                <c:pt idx="2">
                  <c:v>105.6</c:v>
                </c:pt>
                <c:pt idx="3">
                  <c:v>89.2</c:v>
                </c:pt>
                <c:pt idx="4">
                  <c:v>84.3</c:v>
                </c:pt>
                <c:pt idx="5">
                  <c:v>73.099999999999994</c:v>
                </c:pt>
                <c:pt idx="6">
                  <c:v>73.8</c:v>
                </c:pt>
                <c:pt idx="7">
                  <c:v>82.899999999999991</c:v>
                </c:pt>
                <c:pt idx="8">
                  <c:v>79.599999999999994</c:v>
                </c:pt>
                <c:pt idx="9">
                  <c:v>62.2</c:v>
                </c:pt>
                <c:pt idx="10">
                  <c:v>59.1</c:v>
                </c:pt>
                <c:pt idx="11">
                  <c:v>66.3</c:v>
                </c:pt>
                <c:pt idx="12">
                  <c:v>53.1</c:v>
                </c:pt>
                <c:pt idx="13">
                  <c:v>53.099999999999994</c:v>
                </c:pt>
                <c:pt idx="14">
                  <c:v>52.5</c:v>
                </c:pt>
                <c:pt idx="15">
                  <c:v>64.099999999999994</c:v>
                </c:pt>
                <c:pt idx="16">
                  <c:v>62.4</c:v>
                </c:pt>
                <c:pt idx="17">
                  <c:v>55.4</c:v>
                </c:pt>
                <c:pt idx="19">
                  <c:v>57.860354044767853</c:v>
                </c:pt>
                <c:pt idx="20">
                  <c:v>57.045708089535701</c:v>
                </c:pt>
                <c:pt idx="21">
                  <c:v>56.231062134303556</c:v>
                </c:pt>
                <c:pt idx="22">
                  <c:v>55.416416179071412</c:v>
                </c:pt>
                <c:pt idx="23">
                  <c:v>54.60177022383926</c:v>
                </c:pt>
                <c:pt idx="24">
                  <c:v>53.787124268607116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'CML analysis 1'!$B$74</c:f>
              <c:strCache>
                <c:ptCount val="1"/>
                <c:pt idx="0">
                  <c:v>Max penalty</c:v>
                </c:pt>
              </c:strCache>
            </c:strRef>
          </c:tx>
          <c:spPr>
            <a:ln w="28575" cap="rnd">
              <a:solidFill>
                <a:schemeClr val="accent3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'CML analysis 1'!$C$68:$AA$68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'CML analysis 1'!$C$74:$AA$74</c:f>
              <c:numCache>
                <c:formatCode>General</c:formatCode>
                <c:ptCount val="25"/>
                <c:pt idx="19" formatCode="0.00">
                  <c:v>65.349158312946301</c:v>
                </c:pt>
                <c:pt idx="20" formatCode="0.00">
                  <c:v>64.534512357714149</c:v>
                </c:pt>
                <c:pt idx="21" formatCode="0.00">
                  <c:v>63.719866402482012</c:v>
                </c:pt>
                <c:pt idx="22" formatCode="0.00">
                  <c:v>62.905220447249867</c:v>
                </c:pt>
                <c:pt idx="23" formatCode="0.00">
                  <c:v>62.090574492017716</c:v>
                </c:pt>
                <c:pt idx="24" formatCode="0.00">
                  <c:v>61.275928536785571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14720200"/>
        <c:axId val="1114722944"/>
        <c:extLst>
          <c:ext xmlns:c15="http://schemas.microsoft.com/office/drawing/2012/chart" uri="{02D57815-91ED-43cb-92C2-25804820EDAC}">
            <c15:filteredLine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'CML analysis 1'!$B$71</c15:sqref>
                        </c15:formulaRef>
                      </c:ext>
                    </c:extLst>
                    <c:strCache>
                      <c:ptCount val="1"/>
                      <c:pt idx="0">
                        <c:v>Dead band max</c:v>
                      </c:pt>
                    </c:strCache>
                  </c:strRef>
                </c:tx>
                <c:spPr>
                  <a:ln w="28575" cap="rnd">
                    <a:solidFill>
                      <a:schemeClr val="accent3"/>
                    </a:solidFill>
                    <a:prstDash val="dash"/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'CML analysis 1'!$C$68:$AA$68</c15:sqref>
                        </c15:formulaRef>
                      </c:ext>
                    </c:extLst>
                    <c:numCache>
                      <c:formatCode>General</c:formatCode>
                      <c:ptCount val="25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2020</c:v>
                      </c:pt>
                      <c:pt idx="21">
                        <c:v>2021</c:v>
                      </c:pt>
                      <c:pt idx="22">
                        <c:v>2022</c:v>
                      </c:pt>
                      <c:pt idx="23">
                        <c:v>2023</c:v>
                      </c:pt>
                      <c:pt idx="24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'CML analysis 1'!$C$71:$AA$71</c15:sqref>
                        </c15:formulaRef>
                      </c:ext>
                    </c:extLst>
                    <c:numCache>
                      <c:formatCode>General</c:formatCode>
                      <c:ptCount val="25"/>
                      <c:pt idx="19" formatCode="0.00">
                        <c:v>57.860354044767853</c:v>
                      </c:pt>
                      <c:pt idx="20" formatCode="0.00">
                        <c:v>57.045708089535701</c:v>
                      </c:pt>
                      <c:pt idx="21" formatCode="0.00">
                        <c:v>56.231062134303556</c:v>
                      </c:pt>
                      <c:pt idx="22" formatCode="0.00">
                        <c:v>55.416416179071412</c:v>
                      </c:pt>
                      <c:pt idx="23" formatCode="0.00">
                        <c:v>54.60177022383926</c:v>
                      </c:pt>
                      <c:pt idx="24" formatCode="0.00">
                        <c:v>53.787124268607116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'CML analysis 1'!$B$73</c15:sqref>
                        </c15:formulaRef>
                      </c:ext>
                    </c:extLst>
                    <c:strCache>
                      <c:ptCount val="1"/>
                      <c:pt idx="0">
                        <c:v>Dead band min</c:v>
                      </c:pt>
                    </c:strCache>
                  </c:strRef>
                </c:tx>
                <c:spPr>
                  <a:ln w="28575" cap="rnd">
                    <a:solidFill>
                      <a:schemeClr val="accent3"/>
                    </a:solidFill>
                    <a:prstDash val="dash"/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'CML analysis 1'!$C$68:$AA$68</c15:sqref>
                        </c15:formulaRef>
                      </c:ext>
                    </c:extLst>
                    <c:numCache>
                      <c:formatCode>General</c:formatCode>
                      <c:ptCount val="25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2020</c:v>
                      </c:pt>
                      <c:pt idx="21">
                        <c:v>2021</c:v>
                      </c:pt>
                      <c:pt idx="22">
                        <c:v>2022</c:v>
                      </c:pt>
                      <c:pt idx="23">
                        <c:v>2023</c:v>
                      </c:pt>
                      <c:pt idx="24">
                        <c:v>2024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'CML analysis 1'!$C$73:$AA$73</c15:sqref>
                        </c15:formulaRef>
                      </c:ext>
                    </c:extLst>
                    <c:numCache>
                      <c:formatCode>General</c:formatCode>
                      <c:ptCount val="25"/>
                      <c:pt idx="19" formatCode="0.00">
                        <c:v>57.860354044767853</c:v>
                      </c:pt>
                      <c:pt idx="20" formatCode="0.00">
                        <c:v>57.045708089535701</c:v>
                      </c:pt>
                      <c:pt idx="21" formatCode="0.00">
                        <c:v>56.231062134303556</c:v>
                      </c:pt>
                      <c:pt idx="22" formatCode="0.00">
                        <c:v>55.416416179071412</c:v>
                      </c:pt>
                      <c:pt idx="23" formatCode="0.00">
                        <c:v>54.60177022383926</c:v>
                      </c:pt>
                      <c:pt idx="24" formatCode="0.00">
                        <c:v>53.787124268607116</c:v>
                      </c:pt>
                    </c:numCache>
                  </c:numRef>
                </c:val>
                <c:smooth val="0"/>
              </c15:ser>
            </c15:filteredLineSeries>
          </c:ext>
        </c:extLst>
      </c:lineChart>
      <c:catAx>
        <c:axId val="1114720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14722944"/>
        <c:crosses val="autoZero"/>
        <c:auto val="1"/>
        <c:lblAlgn val="ctr"/>
        <c:lblOffset val="100"/>
        <c:noMultiLvlLbl val="0"/>
      </c:catAx>
      <c:valAx>
        <c:axId val="1114722944"/>
        <c:scaling>
          <c:orientation val="minMax"/>
          <c:min val="30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147202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400" b="1">
          <a:solidFill>
            <a:sysClr val="windowText" lastClr="000000"/>
          </a:solidFill>
        </a:defRPr>
      </a:pPr>
      <a:endParaRPr lang="en-US"/>
    </a:p>
  </c:txPr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'CML analysis 1'!$B$76</c:f>
              <c:strCache>
                <c:ptCount val="1"/>
                <c:pt idx="0">
                  <c:v>Max reward</c:v>
                </c:pt>
              </c:strCache>
            </c:strRef>
          </c:tx>
          <c:spPr>
            <a:ln w="28575" cap="rnd">
              <a:solidFill>
                <a:schemeClr val="accent3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'CML analysis 1'!$C$68:$AA$68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'CML analysis 1'!$C$76:$AA$76</c:f>
              <c:numCache>
                <c:formatCode>General</c:formatCode>
                <c:ptCount val="25"/>
                <c:pt idx="19" formatCode="0.00">
                  <c:v>50.385195731821533</c:v>
                </c:pt>
                <c:pt idx="20" formatCode="0.00">
                  <c:v>50.385195731821533</c:v>
                </c:pt>
                <c:pt idx="21" formatCode="0.00">
                  <c:v>50.385195731821533</c:v>
                </c:pt>
                <c:pt idx="22" formatCode="0.00">
                  <c:v>50.385195731821533</c:v>
                </c:pt>
                <c:pt idx="23" formatCode="0.00">
                  <c:v>50.385195731821533</c:v>
                </c:pt>
                <c:pt idx="24" formatCode="0.00">
                  <c:v>50.385195731821533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'CML analysis 1'!$B$78</c:f>
              <c:strCache>
                <c:ptCount val="1"/>
                <c:pt idx="0">
                  <c:v>Planned customer minutes lost (unweighted)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'CML analysis 1'!$C$68:$AA$68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'CML analysis 1'!$C$78:$AA$78</c:f>
              <c:numCache>
                <c:formatCode>0.00</c:formatCode>
                <c:ptCount val="25"/>
                <c:pt idx="0">
                  <c:v>101.8</c:v>
                </c:pt>
                <c:pt idx="1">
                  <c:v>99.4</c:v>
                </c:pt>
                <c:pt idx="2">
                  <c:v>67.900000000000006</c:v>
                </c:pt>
                <c:pt idx="3">
                  <c:v>46.8</c:v>
                </c:pt>
                <c:pt idx="4">
                  <c:v>52.2</c:v>
                </c:pt>
                <c:pt idx="5">
                  <c:v>50.4</c:v>
                </c:pt>
                <c:pt idx="6">
                  <c:v>46.8</c:v>
                </c:pt>
                <c:pt idx="7">
                  <c:v>50.1</c:v>
                </c:pt>
                <c:pt idx="8">
                  <c:v>64.8</c:v>
                </c:pt>
                <c:pt idx="9">
                  <c:v>63.2</c:v>
                </c:pt>
                <c:pt idx="10">
                  <c:v>51.8</c:v>
                </c:pt>
                <c:pt idx="11">
                  <c:v>58.7</c:v>
                </c:pt>
                <c:pt idx="12">
                  <c:v>59.2</c:v>
                </c:pt>
                <c:pt idx="13">
                  <c:v>54.5</c:v>
                </c:pt>
                <c:pt idx="14">
                  <c:v>47.6</c:v>
                </c:pt>
                <c:pt idx="15">
                  <c:v>52.3</c:v>
                </c:pt>
                <c:pt idx="16">
                  <c:v>70.2</c:v>
                </c:pt>
                <c:pt idx="17">
                  <c:v>57.873999999999988</c:v>
                </c:pt>
                <c:pt idx="19">
                  <c:v>57.873999999999988</c:v>
                </c:pt>
                <c:pt idx="20">
                  <c:v>57.873999999999988</c:v>
                </c:pt>
                <c:pt idx="21">
                  <c:v>57.873999999999988</c:v>
                </c:pt>
                <c:pt idx="22">
                  <c:v>57.873999999999988</c:v>
                </c:pt>
                <c:pt idx="23">
                  <c:v>57.873999999999988</c:v>
                </c:pt>
                <c:pt idx="24">
                  <c:v>57.873999999999988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'CML analysis 1'!$B$80</c:f>
              <c:strCache>
                <c:ptCount val="1"/>
                <c:pt idx="0">
                  <c:v>Max penalty</c:v>
                </c:pt>
              </c:strCache>
            </c:strRef>
          </c:tx>
          <c:spPr>
            <a:ln w="28575" cap="rnd">
              <a:solidFill>
                <a:schemeClr val="accent3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'CML analysis 1'!$C$68:$AA$68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'CML analysis 1'!$C$80:$AA$80</c:f>
              <c:numCache>
                <c:formatCode>General</c:formatCode>
                <c:ptCount val="25"/>
                <c:pt idx="19" formatCode="0.00">
                  <c:v>65.362804268178436</c:v>
                </c:pt>
                <c:pt idx="20" formatCode="0.00">
                  <c:v>65.362804268178436</c:v>
                </c:pt>
                <c:pt idx="21" formatCode="0.00">
                  <c:v>65.362804268178436</c:v>
                </c:pt>
                <c:pt idx="22" formatCode="0.00">
                  <c:v>65.362804268178436</c:v>
                </c:pt>
                <c:pt idx="23" formatCode="0.00">
                  <c:v>65.362804268178436</c:v>
                </c:pt>
                <c:pt idx="24" formatCode="0.00">
                  <c:v>65.362804268178436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14717848"/>
        <c:axId val="1114719416"/>
        <c:extLst>
          <c:ext xmlns:c15="http://schemas.microsoft.com/office/drawing/2012/chart" uri="{02D57815-91ED-43cb-92C2-25804820EDAC}">
            <c15:filteredLine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'CML analysis 1'!$B$77</c15:sqref>
                        </c15:formulaRef>
                      </c:ext>
                    </c:extLst>
                    <c:strCache>
                      <c:ptCount val="1"/>
                      <c:pt idx="0">
                        <c:v>Dead band max</c:v>
                      </c:pt>
                    </c:strCache>
                  </c:strRef>
                </c:tx>
                <c:spPr>
                  <a:ln w="28575" cap="rnd">
                    <a:solidFill>
                      <a:schemeClr val="accent3"/>
                    </a:solidFill>
                    <a:prstDash val="dash"/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'CML analysis 1'!$C$68:$AA$68</c15:sqref>
                        </c15:formulaRef>
                      </c:ext>
                    </c:extLst>
                    <c:numCache>
                      <c:formatCode>General</c:formatCode>
                      <c:ptCount val="25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2020</c:v>
                      </c:pt>
                      <c:pt idx="21">
                        <c:v>2021</c:v>
                      </c:pt>
                      <c:pt idx="22">
                        <c:v>2022</c:v>
                      </c:pt>
                      <c:pt idx="23">
                        <c:v>2023</c:v>
                      </c:pt>
                      <c:pt idx="24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'CML analysis 1'!$C$77:$AA$77</c15:sqref>
                        </c15:formulaRef>
                      </c:ext>
                    </c:extLst>
                    <c:numCache>
                      <c:formatCode>General</c:formatCode>
                      <c:ptCount val="25"/>
                      <c:pt idx="19" formatCode="0.00">
                        <c:v>57.873999999999988</c:v>
                      </c:pt>
                      <c:pt idx="20" formatCode="0.00">
                        <c:v>57.873999999999988</c:v>
                      </c:pt>
                      <c:pt idx="21" formatCode="0.00">
                        <c:v>57.873999999999988</c:v>
                      </c:pt>
                      <c:pt idx="22" formatCode="0.00">
                        <c:v>57.873999999999988</c:v>
                      </c:pt>
                      <c:pt idx="23" formatCode="0.00">
                        <c:v>57.873999999999988</c:v>
                      </c:pt>
                      <c:pt idx="24" formatCode="0.00">
                        <c:v>57.873999999999988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'CML analysis 1'!$B$79</c15:sqref>
                        </c15:formulaRef>
                      </c:ext>
                    </c:extLst>
                    <c:strCache>
                      <c:ptCount val="1"/>
                      <c:pt idx="0">
                        <c:v>Dead band min</c:v>
                      </c:pt>
                    </c:strCache>
                  </c:strRef>
                </c:tx>
                <c:spPr>
                  <a:ln w="28575" cap="rnd">
                    <a:solidFill>
                      <a:schemeClr val="accent3"/>
                    </a:solidFill>
                    <a:prstDash val="dash"/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'CML analysis 1'!$C$68:$AA$68</c15:sqref>
                        </c15:formulaRef>
                      </c:ext>
                    </c:extLst>
                    <c:numCache>
                      <c:formatCode>General</c:formatCode>
                      <c:ptCount val="25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2020</c:v>
                      </c:pt>
                      <c:pt idx="21">
                        <c:v>2021</c:v>
                      </c:pt>
                      <c:pt idx="22">
                        <c:v>2022</c:v>
                      </c:pt>
                      <c:pt idx="23">
                        <c:v>2023</c:v>
                      </c:pt>
                      <c:pt idx="24">
                        <c:v>2024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'CML analysis 1'!$C$79:$AA$79</c15:sqref>
                        </c15:formulaRef>
                      </c:ext>
                    </c:extLst>
                    <c:numCache>
                      <c:formatCode>General</c:formatCode>
                      <c:ptCount val="25"/>
                      <c:pt idx="19" formatCode="0.00">
                        <c:v>57.873999999999988</c:v>
                      </c:pt>
                      <c:pt idx="20" formatCode="0.00">
                        <c:v>57.873999999999988</c:v>
                      </c:pt>
                      <c:pt idx="21" formatCode="0.00">
                        <c:v>57.873999999999988</c:v>
                      </c:pt>
                      <c:pt idx="22" formatCode="0.00">
                        <c:v>57.873999999999988</c:v>
                      </c:pt>
                      <c:pt idx="23" formatCode="0.00">
                        <c:v>57.873999999999988</c:v>
                      </c:pt>
                      <c:pt idx="24" formatCode="0.00">
                        <c:v>57.873999999999988</c:v>
                      </c:pt>
                    </c:numCache>
                  </c:numRef>
                </c:val>
                <c:smooth val="0"/>
              </c15:ser>
            </c15:filteredLineSeries>
          </c:ext>
        </c:extLst>
      </c:lineChart>
      <c:catAx>
        <c:axId val="1114717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14719416"/>
        <c:crosses val="autoZero"/>
        <c:auto val="1"/>
        <c:lblAlgn val="ctr"/>
        <c:lblOffset val="100"/>
        <c:noMultiLvlLbl val="0"/>
      </c:catAx>
      <c:valAx>
        <c:axId val="1114719416"/>
        <c:scaling>
          <c:orientation val="minMax"/>
          <c:min val="30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147178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400" b="1">
          <a:solidFill>
            <a:sysClr val="windowText" lastClr="000000"/>
          </a:solidFill>
        </a:defRPr>
      </a:pPr>
      <a:endParaRPr lang="en-US"/>
    </a:p>
  </c:txPr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'CML analysis 1'!$B$82</c:f>
              <c:strCache>
                <c:ptCount val="1"/>
                <c:pt idx="0">
                  <c:v>Max reward</c:v>
                </c:pt>
              </c:strCache>
            </c:strRef>
          </c:tx>
          <c:spPr>
            <a:ln w="28575" cap="rnd">
              <a:solidFill>
                <a:schemeClr val="accent3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'CML analysis 1'!$C$68:$AA$68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'CML analysis 1'!$C$82:$AA$82</c:f>
              <c:numCache>
                <c:formatCode>General</c:formatCode>
                <c:ptCount val="25"/>
                <c:pt idx="19" formatCode="0.00">
                  <c:v>75.56414764250016</c:v>
                </c:pt>
                <c:pt idx="20" formatCode="0.00">
                  <c:v>74.749501687268008</c:v>
                </c:pt>
                <c:pt idx="21" formatCode="0.00">
                  <c:v>73.934855732035871</c:v>
                </c:pt>
                <c:pt idx="22" formatCode="0.00">
                  <c:v>73.120209776803719</c:v>
                </c:pt>
                <c:pt idx="23" formatCode="0.00">
                  <c:v>72.305563821571567</c:v>
                </c:pt>
                <c:pt idx="24" formatCode="0.00">
                  <c:v>71.49091786633943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'CML analysis 1'!$B$83</c:f>
              <c:strCache>
                <c:ptCount val="1"/>
                <c:pt idx="0">
                  <c:v>Dead band max</c:v>
                </c:pt>
              </c:strCache>
            </c:strRef>
          </c:tx>
          <c:spPr>
            <a:ln w="28575" cap="rnd">
              <a:solidFill>
                <a:schemeClr val="accent3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'CML analysis 1'!$C$68:$AA$68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'CML analysis 1'!$C$83:$AA$83</c:f>
              <c:numCache>
                <c:formatCode>General</c:formatCode>
                <c:ptCount val="25"/>
                <c:pt idx="19" formatCode="0.00">
                  <c:v>86.797354044767843</c:v>
                </c:pt>
                <c:pt idx="20" formatCode="0.00">
                  <c:v>85.982708089535691</c:v>
                </c:pt>
                <c:pt idx="21" formatCode="0.00">
                  <c:v>85.168062134303554</c:v>
                </c:pt>
                <c:pt idx="22" formatCode="0.00">
                  <c:v>84.353416179071402</c:v>
                </c:pt>
                <c:pt idx="23" formatCode="0.00">
                  <c:v>83.538770223839251</c:v>
                </c:pt>
                <c:pt idx="24" formatCode="0.00">
                  <c:v>82.724124268607113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'CML analysis 1'!$B$84</c:f>
              <c:strCache>
                <c:ptCount val="1"/>
                <c:pt idx="0">
                  <c:v>Weighted CML outturn (Planned (50%) + Unplanned (100%))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'CML analysis 1'!$C$68:$AA$68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'CML analysis 1'!$C$84:$AA$84</c:f>
              <c:numCache>
                <c:formatCode>0.00</c:formatCode>
                <c:ptCount val="25"/>
                <c:pt idx="0">
                  <c:v>151.30000000000001</c:v>
                </c:pt>
                <c:pt idx="1">
                  <c:v>164.4</c:v>
                </c:pt>
                <c:pt idx="2">
                  <c:v>139.55000000000001</c:v>
                </c:pt>
                <c:pt idx="3">
                  <c:v>112.6</c:v>
                </c:pt>
                <c:pt idx="4">
                  <c:v>110.4</c:v>
                </c:pt>
                <c:pt idx="5">
                  <c:v>98.3</c:v>
                </c:pt>
                <c:pt idx="6">
                  <c:v>97.199999999999989</c:v>
                </c:pt>
                <c:pt idx="7">
                  <c:v>107.94999999999999</c:v>
                </c:pt>
                <c:pt idx="8">
                  <c:v>112</c:v>
                </c:pt>
                <c:pt idx="9">
                  <c:v>93.800000000000011</c:v>
                </c:pt>
                <c:pt idx="10">
                  <c:v>85</c:v>
                </c:pt>
                <c:pt idx="11">
                  <c:v>95.65</c:v>
                </c:pt>
                <c:pt idx="12">
                  <c:v>82.7</c:v>
                </c:pt>
                <c:pt idx="13">
                  <c:v>80.349999999999994</c:v>
                </c:pt>
                <c:pt idx="14">
                  <c:v>76.3</c:v>
                </c:pt>
                <c:pt idx="15">
                  <c:v>90.25</c:v>
                </c:pt>
                <c:pt idx="16">
                  <c:v>97.5</c:v>
                </c:pt>
                <c:pt idx="17">
                  <c:v>84.336999999999989</c:v>
                </c:pt>
                <c:pt idx="19">
                  <c:v>86.797354044767843</c:v>
                </c:pt>
                <c:pt idx="20">
                  <c:v>85.982708089535691</c:v>
                </c:pt>
                <c:pt idx="21">
                  <c:v>85.168062134303554</c:v>
                </c:pt>
                <c:pt idx="22">
                  <c:v>84.353416179071402</c:v>
                </c:pt>
                <c:pt idx="23">
                  <c:v>83.538770223839251</c:v>
                </c:pt>
                <c:pt idx="24">
                  <c:v>82.724124268607113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'CML analysis 1'!$B$85</c:f>
              <c:strCache>
                <c:ptCount val="1"/>
                <c:pt idx="0">
                  <c:v>Dead band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'CML analysis 1'!$C$68:$AA$68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'CML analysis 1'!$C$85:$AA$85</c:f>
              <c:numCache>
                <c:formatCode>General</c:formatCode>
                <c:ptCount val="25"/>
                <c:pt idx="19" formatCode="0.00">
                  <c:v>86.797354044767843</c:v>
                </c:pt>
                <c:pt idx="20" formatCode="0.00">
                  <c:v>85.982708089535691</c:v>
                </c:pt>
                <c:pt idx="21" formatCode="0.00">
                  <c:v>85.168062134303554</c:v>
                </c:pt>
                <c:pt idx="22" formatCode="0.00">
                  <c:v>84.353416179071402</c:v>
                </c:pt>
                <c:pt idx="23" formatCode="0.00">
                  <c:v>83.538770223839251</c:v>
                </c:pt>
                <c:pt idx="24" formatCode="0.00">
                  <c:v>82.724124268607113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'CML analysis 1'!$B$86</c:f>
              <c:strCache>
                <c:ptCount val="1"/>
                <c:pt idx="0">
                  <c:v>Max penalty</c:v>
                </c:pt>
              </c:strCache>
            </c:strRef>
          </c:tx>
          <c:spPr>
            <a:ln w="28575" cap="rnd">
              <a:solidFill>
                <a:schemeClr val="accent3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'CML analysis 1'!$C$68:$AA$68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'CML analysis 1'!$C$86:$AA$86</c:f>
              <c:numCache>
                <c:formatCode>General</c:formatCode>
                <c:ptCount val="25"/>
                <c:pt idx="19" formatCode="0.00">
                  <c:v>98.030560447035526</c:v>
                </c:pt>
                <c:pt idx="20" formatCode="0.00">
                  <c:v>97.215914491803375</c:v>
                </c:pt>
                <c:pt idx="21" formatCode="0.00">
                  <c:v>96.401268536571223</c:v>
                </c:pt>
                <c:pt idx="22" formatCode="0.00">
                  <c:v>95.586622581339086</c:v>
                </c:pt>
                <c:pt idx="23" formatCode="0.00">
                  <c:v>94.771976626106934</c:v>
                </c:pt>
                <c:pt idx="24" formatCode="0.00">
                  <c:v>93.957330670874796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14723728"/>
        <c:axId val="1114720984"/>
      </c:lineChart>
      <c:catAx>
        <c:axId val="1114723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14720984"/>
        <c:crosses val="autoZero"/>
        <c:auto val="1"/>
        <c:lblAlgn val="ctr"/>
        <c:lblOffset val="100"/>
        <c:noMultiLvlLbl val="0"/>
      </c:catAx>
      <c:valAx>
        <c:axId val="1114720984"/>
        <c:scaling>
          <c:orientation val="minMax"/>
          <c:min val="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147237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 b="1">
          <a:solidFill>
            <a:sysClr val="windowText" lastClr="000000"/>
          </a:solidFill>
        </a:defRPr>
      </a:pPr>
      <a:endParaRPr lang="en-US"/>
    </a:p>
  </c:txPr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2869045508975462E-2"/>
          <c:y val="1.7906748567423837E-2"/>
          <c:w val="0.93892888136576125"/>
          <c:h val="0.87199355284867164"/>
        </c:manualLayout>
      </c:layout>
      <c:lineChart>
        <c:grouping val="standard"/>
        <c:varyColors val="0"/>
        <c:ser>
          <c:idx val="0"/>
          <c:order val="0"/>
          <c:tx>
            <c:v>Baseline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delete val="1"/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'CML analysis 1'!$C$68:$AA$68</c15:sqref>
                  </c15:fullRef>
                </c:ext>
              </c:extLst>
              <c:f>'CML analysis 1'!$J$68:$AA$68</c:f>
              <c:numCache>
                <c:formatCode>General</c:formatCode>
                <c:ptCount val="18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  <c:pt idx="16">
                  <c:v>2023</c:v>
                </c:pt>
                <c:pt idx="17">
                  <c:v>2024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'Sensitivity Analysis'!$C$5:$AA$5</c15:sqref>
                  </c15:fullRef>
                </c:ext>
              </c:extLst>
              <c:f>'Sensitivity Analysis'!$J$5:$AA$5</c:f>
              <c:numCache>
                <c:formatCode>General</c:formatCode>
                <c:ptCount val="18"/>
                <c:pt idx="12" formatCode="0.00">
                  <c:v>50.371549776589397</c:v>
                </c:pt>
                <c:pt idx="13" formatCode="0.00">
                  <c:v>49.556903821357245</c:v>
                </c:pt>
                <c:pt idx="14" formatCode="0.00">
                  <c:v>48.742257866125101</c:v>
                </c:pt>
                <c:pt idx="15" formatCode="0.00">
                  <c:v>47.927611910892956</c:v>
                </c:pt>
                <c:pt idx="16" formatCode="0.00">
                  <c:v>47.112965955660805</c:v>
                </c:pt>
                <c:pt idx="17" formatCode="0.00">
                  <c:v>46.29832000042866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'Sensitivity Analysis'!$B$7</c:f>
              <c:strCache>
                <c:ptCount val="1"/>
                <c:pt idx="0">
                  <c:v>Unplanned customer minutes lost (baseline)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dLbl>
              <c:idx val="10"/>
              <c:layout>
                <c:manualLayout>
                  <c:x val="-1.7733538366239105E-2"/>
                  <c:y val="-2.53455909634332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3.0038831353979587E-2"/>
                  <c:y val="-2.11755868346261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2.5938345442631353E-2"/>
                  <c:y val="-2.326958004948748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2.7304994658818364E-2"/>
                  <c:y val="-2.53653885315380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2.8672828053136871E-2"/>
                  <c:y val="-2.536538853153795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3.0038293091192589E-2"/>
                  <c:y val="-2.746152706216835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1.4028097102176165E-2"/>
                  <c:y val="-2.536538853153795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'CML analysis 1'!$C$68:$AA$68</c15:sqref>
                  </c15:fullRef>
                </c:ext>
              </c:extLst>
              <c:f>'CML analysis 1'!$J$68:$AA$68</c:f>
              <c:numCache>
                <c:formatCode>General</c:formatCode>
                <c:ptCount val="18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  <c:pt idx="16">
                  <c:v>2023</c:v>
                </c:pt>
                <c:pt idx="17">
                  <c:v>2024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'Sensitivity Analysis'!$C$7:$AA$7</c15:sqref>
                  </c15:fullRef>
                </c:ext>
              </c:extLst>
              <c:f>'Sensitivity Analysis'!$J$7:$AA$7</c:f>
              <c:numCache>
                <c:formatCode>0.00</c:formatCode>
                <c:ptCount val="18"/>
                <c:pt idx="0">
                  <c:v>82.899999999999991</c:v>
                </c:pt>
                <c:pt idx="1">
                  <c:v>79.599999999999994</c:v>
                </c:pt>
                <c:pt idx="2">
                  <c:v>62.2</c:v>
                </c:pt>
                <c:pt idx="3">
                  <c:v>59.1</c:v>
                </c:pt>
                <c:pt idx="4">
                  <c:v>66.3</c:v>
                </c:pt>
                <c:pt idx="5">
                  <c:v>53.1</c:v>
                </c:pt>
                <c:pt idx="6">
                  <c:v>53.099999999999994</c:v>
                </c:pt>
                <c:pt idx="7">
                  <c:v>52.5</c:v>
                </c:pt>
                <c:pt idx="8">
                  <c:v>64.099999999999994</c:v>
                </c:pt>
                <c:pt idx="9">
                  <c:v>62.4</c:v>
                </c:pt>
                <c:pt idx="10">
                  <c:v>55.6</c:v>
                </c:pt>
                <c:pt idx="12">
                  <c:v>57.860354044767853</c:v>
                </c:pt>
                <c:pt idx="13">
                  <c:v>57.045708089535701</c:v>
                </c:pt>
                <c:pt idx="14">
                  <c:v>56.231062134303556</c:v>
                </c:pt>
                <c:pt idx="15">
                  <c:v>55.416416179071412</c:v>
                </c:pt>
                <c:pt idx="16">
                  <c:v>54.60177022383926</c:v>
                </c:pt>
                <c:pt idx="17">
                  <c:v>53.787124268607116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'Sensitivity Analysis'!$B$9</c:f>
              <c:strCache>
                <c:ptCount val="1"/>
                <c:pt idx="0">
                  <c:v>Max penalty (baseline)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delete val="1"/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'CML analysis 1'!$C$68:$AA$68</c15:sqref>
                  </c15:fullRef>
                </c:ext>
              </c:extLst>
              <c:f>'CML analysis 1'!$J$68:$AA$68</c:f>
              <c:numCache>
                <c:formatCode>General</c:formatCode>
                <c:ptCount val="18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  <c:pt idx="16">
                  <c:v>2023</c:v>
                </c:pt>
                <c:pt idx="17">
                  <c:v>2024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'Sensitivity Analysis'!$C$9:$AA$9</c15:sqref>
                  </c15:fullRef>
                </c:ext>
              </c:extLst>
              <c:f>'Sensitivity Analysis'!$J$9:$AA$9</c:f>
              <c:numCache>
                <c:formatCode>General</c:formatCode>
                <c:ptCount val="18"/>
                <c:pt idx="12" formatCode="0.00">
                  <c:v>65.349158312946301</c:v>
                </c:pt>
                <c:pt idx="13" formatCode="0.00">
                  <c:v>64.534512357714149</c:v>
                </c:pt>
                <c:pt idx="14" formatCode="0.00">
                  <c:v>63.719866402482012</c:v>
                </c:pt>
                <c:pt idx="15" formatCode="0.00">
                  <c:v>62.905220447249867</c:v>
                </c:pt>
                <c:pt idx="16" formatCode="0.00">
                  <c:v>62.090574492017716</c:v>
                </c:pt>
                <c:pt idx="17" formatCode="0.00">
                  <c:v>61.275928536785571</c:v>
                </c:pt>
              </c:numCache>
            </c:numRef>
          </c:val>
          <c:smooth val="0"/>
        </c:ser>
        <c:ser>
          <c:idx val="5"/>
          <c:order val="5"/>
          <c:tx>
            <c:v>Sensitivity 1: upper quartile benchmark</c:v>
          </c:tx>
          <c:spPr>
            <a:ln w="28575" cap="rnd">
              <a:solidFill>
                <a:schemeClr val="accent3"/>
              </a:solidFill>
              <a:prstDash val="solid"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delete val="1"/>
          </c:dLbls>
          <c:cat>
            <c:strLit>
              <c:ptCount val="18"/>
              <c:pt idx="0">
                <c:v>2007</c:v>
              </c:pt>
              <c:pt idx="1">
                <c:v>2008</c:v>
              </c:pt>
              <c:pt idx="2">
                <c:v>2009</c:v>
              </c:pt>
              <c:pt idx="3">
                <c:v>2010</c:v>
              </c:pt>
              <c:pt idx="4">
                <c:v>2011</c:v>
              </c:pt>
              <c:pt idx="5">
                <c:v>2012</c:v>
              </c:pt>
              <c:pt idx="6">
                <c:v>2013</c:v>
              </c:pt>
              <c:pt idx="7">
                <c:v>2014</c:v>
              </c:pt>
              <c:pt idx="8">
                <c:v>2015</c:v>
              </c:pt>
              <c:pt idx="9">
                <c:v>2016</c:v>
              </c:pt>
              <c:pt idx="10">
                <c:v>2017</c:v>
              </c:pt>
              <c:pt idx="11">
                <c:v>2018</c:v>
              </c:pt>
              <c:pt idx="12">
                <c:v>2019</c:v>
              </c:pt>
              <c:pt idx="13">
                <c:v>2020</c:v>
              </c:pt>
              <c:pt idx="14">
                <c:v>2021</c:v>
              </c:pt>
              <c:pt idx="15">
                <c:v>2022</c:v>
              </c:pt>
              <c:pt idx="16">
                <c:v>2023</c:v>
              </c:pt>
              <c:pt idx="17">
                <c:v>2024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'Sensitivity Analysis'!$C$26:$AA$26</c15:sqref>
                  </c15:fullRef>
                </c:ext>
              </c:extLst>
              <c:f>'Sensitivity Analysis'!$J$26:$AA$26</c:f>
              <c:numCache>
                <c:formatCode>General</c:formatCode>
                <c:ptCount val="18"/>
                <c:pt idx="12" formatCode="0.00">
                  <c:v>49.630074411076464</c:v>
                </c:pt>
                <c:pt idx="13" formatCode="0.00">
                  <c:v>48.073953090331393</c:v>
                </c:pt>
                <c:pt idx="14" formatCode="0.00">
                  <c:v>46.517831769586316</c:v>
                </c:pt>
                <c:pt idx="15" formatCode="0.00">
                  <c:v>44.961710448841238</c:v>
                </c:pt>
                <c:pt idx="16" formatCode="0.00">
                  <c:v>43.405589128096167</c:v>
                </c:pt>
                <c:pt idx="17" formatCode="0.00">
                  <c:v>41.84946780735109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'Sensitivity Analysis'!$B$28</c:f>
              <c:strCache>
                <c:ptCount val="1"/>
                <c:pt idx="0">
                  <c:v>Unplanned customer minutes lost (UQ)</c:v>
                </c:pt>
              </c:strCache>
              <c:extLst xmlns:c15="http://schemas.microsoft.com/office/drawing/2012/chart"/>
            </c:strRef>
          </c:tx>
          <c:spPr>
            <a:ln w="28575" cap="rnd">
              <a:solidFill>
                <a:schemeClr val="accent2"/>
              </a:solidFill>
              <a:prstDash val="dash"/>
              <a:round/>
            </a:ln>
            <a:effectLst/>
          </c:spPr>
          <c:marker>
            <c:symbol val="none"/>
          </c:marker>
          <c:dPt>
            <c:idx val="12"/>
            <c:marker>
              <c:symbol val="circle"/>
              <c:size val="7"/>
              <c:spPr>
                <a:solidFill>
                  <a:schemeClr val="accent3"/>
                </a:solidFill>
                <a:ln w="9525">
                  <a:solidFill>
                    <a:schemeClr val="accent3"/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chemeClr val="accent3"/>
                </a:solidFill>
                <a:prstDash val="dash"/>
                <a:round/>
              </a:ln>
              <a:effectLst/>
            </c:spPr>
          </c:dPt>
          <c:dPt>
            <c:idx val="13"/>
            <c:marker>
              <c:symbol val="circle"/>
              <c:size val="7"/>
              <c:spPr>
                <a:solidFill>
                  <a:schemeClr val="accent3"/>
                </a:solidFill>
                <a:ln w="9525">
                  <a:solidFill>
                    <a:schemeClr val="accent3"/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chemeClr val="accent3"/>
                </a:solidFill>
                <a:prstDash val="solid"/>
                <a:round/>
              </a:ln>
              <a:effectLst/>
            </c:spPr>
          </c:dPt>
          <c:dPt>
            <c:idx val="14"/>
            <c:marker>
              <c:symbol val="circle"/>
              <c:size val="7"/>
              <c:spPr>
                <a:solidFill>
                  <a:schemeClr val="accent3"/>
                </a:solidFill>
                <a:ln w="9525">
                  <a:solidFill>
                    <a:schemeClr val="accent3"/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chemeClr val="accent3"/>
                </a:solidFill>
                <a:prstDash val="solid"/>
                <a:round/>
              </a:ln>
              <a:effectLst/>
            </c:spPr>
          </c:dPt>
          <c:dPt>
            <c:idx val="15"/>
            <c:marker>
              <c:symbol val="circle"/>
              <c:size val="7"/>
              <c:spPr>
                <a:solidFill>
                  <a:schemeClr val="accent3"/>
                </a:solidFill>
                <a:ln w="9525">
                  <a:solidFill>
                    <a:schemeClr val="accent3"/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chemeClr val="accent3"/>
                </a:solidFill>
                <a:prstDash val="solid"/>
                <a:round/>
              </a:ln>
              <a:effectLst/>
            </c:spPr>
          </c:dPt>
          <c:dPt>
            <c:idx val="16"/>
            <c:marker>
              <c:symbol val="circle"/>
              <c:size val="7"/>
              <c:spPr>
                <a:solidFill>
                  <a:schemeClr val="accent3"/>
                </a:solidFill>
                <a:ln w="9525">
                  <a:solidFill>
                    <a:schemeClr val="accent3"/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chemeClr val="accent3"/>
                </a:solidFill>
                <a:prstDash val="solid"/>
                <a:round/>
              </a:ln>
              <a:effectLst/>
            </c:spPr>
          </c:dPt>
          <c:dPt>
            <c:idx val="17"/>
            <c:marker>
              <c:symbol val="circle"/>
              <c:size val="7"/>
              <c:spPr>
                <a:solidFill>
                  <a:schemeClr val="accent3"/>
                </a:solidFill>
                <a:ln w="9525">
                  <a:solidFill>
                    <a:schemeClr val="accent3"/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chemeClr val="accent3"/>
                </a:solidFill>
                <a:prstDash val="solid"/>
                <a:round/>
              </a:ln>
              <a:effectLst/>
            </c:spPr>
          </c:dPt>
          <c:dLbls>
            <c:dLbl>
              <c:idx val="0"/>
              <c:delete val="1"/>
              <c:extLst xmlns:c15="http://schemas.microsoft.com/office/drawing/2012/chart"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 xmlns:c15="http://schemas.microsoft.com/office/drawing/2012/chart"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 xmlns:c15="http://schemas.microsoft.com/office/drawing/2012/chart"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 xmlns:c15="http://schemas.microsoft.com/office/drawing/2012/chart"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 xmlns:c15="http://schemas.microsoft.com/office/drawing/2012/chart"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 xmlns:c15="http://schemas.microsoft.com/office/drawing/2012/chart"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 xmlns:c15="http://schemas.microsoft.com/office/drawing/2012/chart"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 xmlns:c15="http://schemas.microsoft.com/office/drawing/2012/chart"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 xmlns:c15="http://schemas.microsoft.com/office/drawing/2012/chart"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 xmlns:c15="http://schemas.microsoft.com/office/drawing/2012/chart"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 xmlns:c15="http://schemas.microsoft.com/office/drawing/2012/chart"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4.6441158450983504E-2"/>
                  <c:y val="2.283926289318539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5="http://schemas.microsoft.com/office/drawing/2012/chart"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4.6440835598413159E-2"/>
                  <c:y val="2.28420662076926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5="http://schemas.microsoft.com/office/drawing/2012/chart"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3.5505448090760103E-2"/>
                  <c:y val="2.91233956581063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5="http://schemas.microsoft.com/office/drawing/2012/chart"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3.8239260931995644E-2"/>
                  <c:y val="2.49322192724480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5="http://schemas.microsoft.com/office/drawing/2012/chart"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3.9605831449219545E-2"/>
                  <c:y val="2.2840747000865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5="http://schemas.microsoft.com/office/drawing/2012/chart"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2.1333559760602867E-2"/>
                  <c:y val="1.863346662818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5="http://schemas.microsoft.com/office/drawing/2012/chart"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8"/>
              <c:pt idx="0">
                <c:v>2007</c:v>
              </c:pt>
              <c:pt idx="1">
                <c:v>2008</c:v>
              </c:pt>
              <c:pt idx="2">
                <c:v>2009</c:v>
              </c:pt>
              <c:pt idx="3">
                <c:v>2010</c:v>
              </c:pt>
              <c:pt idx="4">
                <c:v>2011</c:v>
              </c:pt>
              <c:pt idx="5">
                <c:v>2012</c:v>
              </c:pt>
              <c:pt idx="6">
                <c:v>2013</c:v>
              </c:pt>
              <c:pt idx="7">
                <c:v>2014</c:v>
              </c:pt>
              <c:pt idx="8">
                <c:v>2015</c:v>
              </c:pt>
              <c:pt idx="9">
                <c:v>2016</c:v>
              </c:pt>
              <c:pt idx="10">
                <c:v>2017</c:v>
              </c:pt>
              <c:pt idx="11">
                <c:v>2018</c:v>
              </c:pt>
              <c:pt idx="12">
                <c:v>2019</c:v>
              </c:pt>
              <c:pt idx="13">
                <c:v>2020</c:v>
              </c:pt>
              <c:pt idx="14">
                <c:v>2021</c:v>
              </c:pt>
              <c:pt idx="15">
                <c:v>2022</c:v>
              </c:pt>
              <c:pt idx="16">
                <c:v>2023</c:v>
              </c:pt>
              <c:pt idx="17">
                <c:v>2024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'Sensitivity Analysis'!$C$28:$AA$28</c15:sqref>
                  </c15:fullRef>
                </c:ext>
              </c:extLst>
              <c:f>'Sensitivity Analysis'!$J$28:$AA$28</c:f>
              <c:numCache>
                <c:formatCode>0.00</c:formatCode>
                <c:ptCount val="18"/>
                <c:pt idx="0">
                  <c:v>82.899999999999991</c:v>
                </c:pt>
                <c:pt idx="1">
                  <c:v>79.599999999999994</c:v>
                </c:pt>
                <c:pt idx="2">
                  <c:v>62.2</c:v>
                </c:pt>
                <c:pt idx="3">
                  <c:v>59.1</c:v>
                </c:pt>
                <c:pt idx="4">
                  <c:v>66.3</c:v>
                </c:pt>
                <c:pt idx="5">
                  <c:v>53.1</c:v>
                </c:pt>
                <c:pt idx="6">
                  <c:v>53.099999999999994</c:v>
                </c:pt>
                <c:pt idx="7">
                  <c:v>52.5</c:v>
                </c:pt>
                <c:pt idx="8">
                  <c:v>64.099999999999994</c:v>
                </c:pt>
                <c:pt idx="9">
                  <c:v>62.4</c:v>
                </c:pt>
                <c:pt idx="10">
                  <c:v>55.6</c:v>
                </c:pt>
                <c:pt idx="12">
                  <c:v>57.118878679254919</c:v>
                </c:pt>
                <c:pt idx="13">
                  <c:v>55.562757358509849</c:v>
                </c:pt>
                <c:pt idx="14">
                  <c:v>54.006636037764771</c:v>
                </c:pt>
                <c:pt idx="15">
                  <c:v>52.450514717019693</c:v>
                </c:pt>
                <c:pt idx="16">
                  <c:v>50.894393396274623</c:v>
                </c:pt>
                <c:pt idx="17">
                  <c:v>49.338272075529545</c:v>
                </c:pt>
              </c:numCache>
            </c:numRef>
          </c:val>
          <c:smooth val="0"/>
          <c:extLst xmlns:c15="http://schemas.microsoft.com/office/drawing/2012/chart">
            <c:ext xmlns:c15="http://schemas.microsoft.com/office/drawing/2012/chart" uri="{02D57815-91ED-43cb-92C2-25804820EDAC}">
              <c15:categoryFilterExceptions>
                <c15:categoryFilterException>
                  <c15:sqref>'Sensitivity Analysis'!$C$28</c15:sqref>
                  <c15:dLbl>
                    <c:idx val="-1"/>
                    <c:delete val="1"/>
                    <c:extLst>
                      <c:ext uri="{CE6537A1-D6FC-4f65-9D91-7224C49458BB}"/>
                    </c:extLst>
                  </c15:dLbl>
                </c15:categoryFilterException>
                <c15:categoryFilterException>
                  <c15:sqref>'Sensitivity Analysis'!$D$28</c15:sqref>
                  <c15:dLbl>
                    <c:idx val="-1"/>
                    <c:delete val="1"/>
                    <c:extLst>
                      <c:ext uri="{CE6537A1-D6FC-4f65-9D91-7224C49458BB}"/>
                    </c:extLst>
                  </c15:dLbl>
                </c15:categoryFilterException>
                <c15:categoryFilterException>
                  <c15:sqref>'Sensitivity Analysis'!$E$28</c15:sqref>
                  <c15:dLbl>
                    <c:idx val="-1"/>
                    <c:delete val="1"/>
                    <c:extLst>
                      <c:ext uri="{CE6537A1-D6FC-4f65-9D91-7224C49458BB}"/>
                    </c:extLst>
                  </c15:dLbl>
                </c15:categoryFilterException>
                <c15:categoryFilterException>
                  <c15:sqref>'Sensitivity Analysis'!$F$28</c15:sqref>
                  <c15:dLbl>
                    <c:idx val="-1"/>
                    <c:delete val="1"/>
                    <c:extLst>
                      <c:ext uri="{CE6537A1-D6FC-4f65-9D91-7224C49458BB}"/>
                    </c:extLst>
                  </c15:dLbl>
                </c15:categoryFilterException>
                <c15:categoryFilterException>
                  <c15:sqref>'Sensitivity Analysis'!$G$28</c15:sqref>
                  <c15:dLbl>
                    <c:idx val="-1"/>
                    <c:delete val="1"/>
                    <c:extLst>
                      <c:ext uri="{CE6537A1-D6FC-4f65-9D91-7224C49458BB}"/>
                    </c:extLst>
                  </c15:dLbl>
                </c15:categoryFilterException>
                <c15:categoryFilterException>
                  <c15:sqref>'Sensitivity Analysis'!$H$28</c15:sqref>
                  <c15:dLbl>
                    <c:idx val="-1"/>
                    <c:delete val="1"/>
                    <c:extLst>
                      <c:ext uri="{CE6537A1-D6FC-4f65-9D91-7224C49458BB}"/>
                    </c:extLst>
                  </c15:dLbl>
                </c15:categoryFilterException>
                <c15:categoryFilterException>
                  <c15:sqref>'Sensitivity Analysis'!$I$28</c15:sqref>
                  <c15:dLbl>
                    <c:idx val="-1"/>
                    <c:delete val="1"/>
                    <c:extLst>
                      <c:ext uri="{CE6537A1-D6FC-4f65-9D91-7224C49458BB}"/>
                    </c:extLst>
                  </c15:dLbl>
                </c15:categoryFilterException>
              </c15:categoryFilterExceptions>
            </c:ext>
          </c:extLst>
        </c:ser>
        <c:ser>
          <c:idx val="9"/>
          <c:order val="9"/>
          <c:tx>
            <c:strRef>
              <c:f>'Sensitivity Analysis'!$B$30</c:f>
              <c:strCache>
                <c:ptCount val="1"/>
                <c:pt idx="0">
                  <c:v>Max penalty (UQ)</c:v>
                </c:pt>
              </c:strCache>
              <c:extLst xmlns:c15="http://schemas.microsoft.com/office/drawing/2012/chart"/>
            </c:strRef>
          </c:tx>
          <c:spPr>
            <a:ln w="28575" cap="rnd">
              <a:solidFill>
                <a:schemeClr val="accent3"/>
              </a:solidFill>
              <a:prstDash val="solid"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delete val="1"/>
          </c:dLbls>
          <c:cat>
            <c:strLit>
              <c:ptCount val="18"/>
              <c:pt idx="0">
                <c:v>2007</c:v>
              </c:pt>
              <c:pt idx="1">
                <c:v>2008</c:v>
              </c:pt>
              <c:pt idx="2">
                <c:v>2009</c:v>
              </c:pt>
              <c:pt idx="3">
                <c:v>2010</c:v>
              </c:pt>
              <c:pt idx="4">
                <c:v>2011</c:v>
              </c:pt>
              <c:pt idx="5">
                <c:v>2012</c:v>
              </c:pt>
              <c:pt idx="6">
                <c:v>2013</c:v>
              </c:pt>
              <c:pt idx="7">
                <c:v>2014</c:v>
              </c:pt>
              <c:pt idx="8">
                <c:v>2015</c:v>
              </c:pt>
              <c:pt idx="9">
                <c:v>2016</c:v>
              </c:pt>
              <c:pt idx="10">
                <c:v>2017</c:v>
              </c:pt>
              <c:pt idx="11">
                <c:v>2018</c:v>
              </c:pt>
              <c:pt idx="12">
                <c:v>2019</c:v>
              </c:pt>
              <c:pt idx="13">
                <c:v>2020</c:v>
              </c:pt>
              <c:pt idx="14">
                <c:v>2021</c:v>
              </c:pt>
              <c:pt idx="15">
                <c:v>2022</c:v>
              </c:pt>
              <c:pt idx="16">
                <c:v>2023</c:v>
              </c:pt>
              <c:pt idx="17">
                <c:v>2024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'Sensitivity Analysis'!$C$30:$AA$30</c15:sqref>
                  </c15:fullRef>
                </c:ext>
              </c:extLst>
              <c:f>'Sensitivity Analysis'!$J$30:$AA$30</c:f>
              <c:numCache>
                <c:formatCode>General</c:formatCode>
                <c:ptCount val="18"/>
                <c:pt idx="12" formatCode="0.00">
                  <c:v>64.607682947433375</c:v>
                </c:pt>
                <c:pt idx="13" formatCode="0.00">
                  <c:v>63.051561626688304</c:v>
                </c:pt>
                <c:pt idx="14" formatCode="0.00">
                  <c:v>61.495440305943227</c:v>
                </c:pt>
                <c:pt idx="15" formatCode="0.00">
                  <c:v>59.939318985198149</c:v>
                </c:pt>
                <c:pt idx="16" formatCode="0.00">
                  <c:v>58.383197664453078</c:v>
                </c:pt>
                <c:pt idx="17" formatCode="0.00">
                  <c:v>56.827076343708001</c:v>
                </c:pt>
              </c:numCache>
            </c:numRef>
          </c:val>
          <c:smooth val="0"/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114717456"/>
        <c:axId val="1114721376"/>
        <c:extLst>
          <c:ext xmlns:c15="http://schemas.microsoft.com/office/drawing/2012/chart" uri="{02D57815-91ED-43cb-92C2-25804820EDAC}">
            <c15:filteredLine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'Sensitivity Analysis'!$B$6</c15:sqref>
                        </c15:formulaRef>
                      </c:ext>
                    </c:extLst>
                    <c:strCache>
                      <c:ptCount val="1"/>
                      <c:pt idx="0">
                        <c:v>Dead band max (baseline)</c:v>
                      </c:pt>
                    </c:strCache>
                  </c:strRef>
                </c:tx>
                <c:spPr>
                  <a:ln w="28575" cap="rnd">
                    <a:solidFill>
                      <a:schemeClr val="accent3"/>
                    </a:solidFill>
                    <a:prstDash val="dash"/>
                    <a:round/>
                  </a:ln>
                  <a:effectLst/>
                </c:spPr>
                <c:marker>
                  <c:symbol val="none"/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400" b="1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>
                      <c:ext uri="{02D57815-91ED-43cb-92C2-25804820EDAC}">
                        <c15:fullRef>
                          <c15:sqref>'CML analysis 1'!$C$68:$AA$68</c15:sqref>
                        </c15:fullRef>
                        <c15:formulaRef>
                          <c15:sqref>'CML analysis 1'!$J$68:$AA$68</c15:sqref>
                        </c15:formulaRef>
                      </c:ext>
                    </c:extLst>
                    <c:numCache>
                      <c:formatCode>General</c:formatCode>
                      <c:ptCount val="18"/>
                      <c:pt idx="0">
                        <c:v>2007</c:v>
                      </c:pt>
                      <c:pt idx="1">
                        <c:v>2008</c:v>
                      </c:pt>
                      <c:pt idx="2">
                        <c:v>2009</c:v>
                      </c:pt>
                      <c:pt idx="3">
                        <c:v>2010</c:v>
                      </c:pt>
                      <c:pt idx="4">
                        <c:v>2011</c:v>
                      </c:pt>
                      <c:pt idx="5">
                        <c:v>2012</c:v>
                      </c:pt>
                      <c:pt idx="6">
                        <c:v>2013</c:v>
                      </c:pt>
                      <c:pt idx="7">
                        <c:v>2014</c:v>
                      </c:pt>
                      <c:pt idx="8">
                        <c:v>2015</c:v>
                      </c:pt>
                      <c:pt idx="9">
                        <c:v>2016</c:v>
                      </c:pt>
                      <c:pt idx="10">
                        <c:v>2017</c:v>
                      </c:pt>
                      <c:pt idx="11">
                        <c:v>2018</c:v>
                      </c:pt>
                      <c:pt idx="12">
                        <c:v>2019</c:v>
                      </c:pt>
                      <c:pt idx="13">
                        <c:v>2020</c:v>
                      </c:pt>
                      <c:pt idx="14">
                        <c:v>2021</c:v>
                      </c:pt>
                      <c:pt idx="15">
                        <c:v>2022</c:v>
                      </c:pt>
                      <c:pt idx="16">
                        <c:v>2023</c:v>
                      </c:pt>
                      <c:pt idx="17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ullRef>
                          <c15:sqref>'Sensitivity Analysis'!$C$6:$AA$6</c15:sqref>
                        </c15:fullRef>
                        <c15:formulaRef>
                          <c15:sqref>'Sensitivity Analysis'!$J$6:$AA$6</c15:sqref>
                        </c15:formulaRef>
                      </c:ext>
                    </c:extLst>
                    <c:numCache>
                      <c:formatCode>General</c:formatCode>
                      <c:ptCount val="18"/>
                      <c:pt idx="12" formatCode="0.00">
                        <c:v>57.860354044767853</c:v>
                      </c:pt>
                      <c:pt idx="13" formatCode="0.00">
                        <c:v>57.045708089535701</c:v>
                      </c:pt>
                      <c:pt idx="14" formatCode="0.00">
                        <c:v>56.231062134303556</c:v>
                      </c:pt>
                      <c:pt idx="15" formatCode="0.00">
                        <c:v>55.416416179071412</c:v>
                      </c:pt>
                      <c:pt idx="16" formatCode="0.00">
                        <c:v>54.60177022383926</c:v>
                      </c:pt>
                      <c:pt idx="17" formatCode="0.00">
                        <c:v>53.787124268607116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'Sensitivity Analysis'!$B$8</c15:sqref>
                        </c15:formulaRef>
                      </c:ext>
                    </c:extLst>
                    <c:strCache>
                      <c:ptCount val="1"/>
                      <c:pt idx="0">
                        <c:v>Dead band min (baseline)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prstDash val="dash"/>
                    <a:round/>
                  </a:ln>
                  <a:effectLst/>
                </c:spPr>
                <c:marker>
                  <c:symbol val="none"/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400" b="1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'CML analysis 1'!$C$68:$AA$68</c15:sqref>
                        </c15:fullRef>
                        <c15:formulaRef>
                          <c15:sqref>'CML analysis 1'!$J$68:$AA$68</c15:sqref>
                        </c15:formulaRef>
                      </c:ext>
                    </c:extLst>
                    <c:numCache>
                      <c:formatCode>General</c:formatCode>
                      <c:ptCount val="18"/>
                      <c:pt idx="0">
                        <c:v>2007</c:v>
                      </c:pt>
                      <c:pt idx="1">
                        <c:v>2008</c:v>
                      </c:pt>
                      <c:pt idx="2">
                        <c:v>2009</c:v>
                      </c:pt>
                      <c:pt idx="3">
                        <c:v>2010</c:v>
                      </c:pt>
                      <c:pt idx="4">
                        <c:v>2011</c:v>
                      </c:pt>
                      <c:pt idx="5">
                        <c:v>2012</c:v>
                      </c:pt>
                      <c:pt idx="6">
                        <c:v>2013</c:v>
                      </c:pt>
                      <c:pt idx="7">
                        <c:v>2014</c:v>
                      </c:pt>
                      <c:pt idx="8">
                        <c:v>2015</c:v>
                      </c:pt>
                      <c:pt idx="9">
                        <c:v>2016</c:v>
                      </c:pt>
                      <c:pt idx="10">
                        <c:v>2017</c:v>
                      </c:pt>
                      <c:pt idx="11">
                        <c:v>2018</c:v>
                      </c:pt>
                      <c:pt idx="12">
                        <c:v>2019</c:v>
                      </c:pt>
                      <c:pt idx="13">
                        <c:v>2020</c:v>
                      </c:pt>
                      <c:pt idx="14">
                        <c:v>2021</c:v>
                      </c:pt>
                      <c:pt idx="15">
                        <c:v>2022</c:v>
                      </c:pt>
                      <c:pt idx="16">
                        <c:v>2023</c:v>
                      </c:pt>
                      <c:pt idx="17">
                        <c:v>2024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'Sensitivity Analysis'!$C$8:$AA$8</c15:sqref>
                        </c15:fullRef>
                        <c15:formulaRef>
                          <c15:sqref>'Sensitivity Analysis'!$J$8:$AA$8</c15:sqref>
                        </c15:formulaRef>
                      </c:ext>
                    </c:extLst>
                    <c:numCache>
                      <c:formatCode>General</c:formatCode>
                      <c:ptCount val="18"/>
                      <c:pt idx="12" formatCode="0.00">
                        <c:v>57.860354044767853</c:v>
                      </c:pt>
                      <c:pt idx="13" formatCode="0.00">
                        <c:v>57.045708089535701</c:v>
                      </c:pt>
                      <c:pt idx="14" formatCode="0.00">
                        <c:v>56.231062134303556</c:v>
                      </c:pt>
                      <c:pt idx="15" formatCode="0.00">
                        <c:v>55.416416179071412</c:v>
                      </c:pt>
                      <c:pt idx="16" formatCode="0.00">
                        <c:v>54.60177022383926</c:v>
                      </c:pt>
                      <c:pt idx="17" formatCode="0.00">
                        <c:v>53.787124268607116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'Sensitivity Analysis'!$B$27</c15:sqref>
                        </c15:formulaRef>
                      </c:ext>
                    </c:extLst>
                    <c:strCache>
                      <c:ptCount val="1"/>
                      <c:pt idx="0">
                        <c:v>Dead band max (UQ)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400" b="1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'Sensitivity Analysis'!$C$27:$AA$27</c15:sqref>
                        </c15:fullRef>
                        <c15:formulaRef>
                          <c15:sqref>'Sensitivity Analysis'!$J$27:$AA$27</c15:sqref>
                        </c15:formulaRef>
                      </c:ext>
                    </c:extLst>
                    <c:numCache>
                      <c:formatCode>General</c:formatCode>
                      <c:ptCount val="18"/>
                      <c:pt idx="12" formatCode="0.00">
                        <c:v>57.118878679254919</c:v>
                      </c:pt>
                      <c:pt idx="13" formatCode="0.00">
                        <c:v>55.562757358509849</c:v>
                      </c:pt>
                      <c:pt idx="14" formatCode="0.00">
                        <c:v>54.006636037764771</c:v>
                      </c:pt>
                      <c:pt idx="15" formatCode="0.00">
                        <c:v>52.450514717019693</c:v>
                      </c:pt>
                      <c:pt idx="16" formatCode="0.00">
                        <c:v>50.894393396274623</c:v>
                      </c:pt>
                      <c:pt idx="17" formatCode="0.00">
                        <c:v>49.338272075529545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'Sensitivity Analysis'!$B$29</c15:sqref>
                        </c15:formulaRef>
                      </c:ext>
                    </c:extLst>
                    <c:strCache>
                      <c:ptCount val="1"/>
                      <c:pt idx="0">
                        <c:v>Dead band min (UQ)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prstDash val="dash"/>
                    <a:round/>
                  </a:ln>
                  <a:effectLst/>
                </c:spPr>
                <c:marker>
                  <c:symbol val="circle"/>
                  <c:size val="7"/>
                  <c:spPr>
                    <a:solidFill>
                      <a:schemeClr val="accent2"/>
                    </a:solidFill>
                    <a:ln w="9525">
                      <a:solidFill>
                        <a:schemeClr val="accent2"/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400" b="1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'Sensitivity Analysis'!$C$29:$AA$29</c15:sqref>
                        </c15:fullRef>
                        <c15:formulaRef>
                          <c15:sqref>'Sensitivity Analysis'!$J$29:$AA$29</c15:sqref>
                        </c15:formulaRef>
                      </c:ext>
                    </c:extLst>
                    <c:numCache>
                      <c:formatCode>General</c:formatCode>
                      <c:ptCount val="18"/>
                      <c:pt idx="12" formatCode="0.00">
                        <c:v>57.118878679254919</c:v>
                      </c:pt>
                      <c:pt idx="13" formatCode="0.00">
                        <c:v>55.562757358509849</c:v>
                      </c:pt>
                      <c:pt idx="14" formatCode="0.00">
                        <c:v>54.006636037764771</c:v>
                      </c:pt>
                      <c:pt idx="15" formatCode="0.00">
                        <c:v>52.450514717019693</c:v>
                      </c:pt>
                      <c:pt idx="16" formatCode="0.00">
                        <c:v>50.894393396274623</c:v>
                      </c:pt>
                      <c:pt idx="17" formatCode="0.00">
                        <c:v>49.338272075529545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'Sensitivity Analysis'!$B$68</c15:sqref>
                        </c15:formulaRef>
                      </c:ext>
                    </c:extLst>
                    <c:strCache>
                      <c:ptCount val="1"/>
                      <c:pt idx="0">
                        <c:v>Max reward</c:v>
                      </c:pt>
                    </c:strCache>
                  </c:strRef>
                </c:tx>
                <c:spPr>
                  <a:ln w="28575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/>
                    </a:solidFill>
                    <a:ln w="9525">
                      <a:solidFill>
                        <a:schemeClr val="accent3"/>
                      </a:solidFill>
                    </a:ln>
                    <a:effectLst/>
                  </c:spPr>
                </c:marker>
                <c:dLbls>
                  <c:delete val="1"/>
                </c:dLbls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'Sensitivity Analysis'!$C$47:$AA$47</c15:sqref>
                        </c15:fullRef>
                        <c15:formulaRef>
                          <c15:sqref>'Sensitivity Analysis'!$J$47:$AA$47</c15:sqref>
                        </c15:formulaRef>
                      </c:ext>
                    </c:extLst>
                    <c:numCache>
                      <c:formatCode>General</c:formatCode>
                      <c:ptCount val="18"/>
                      <c:pt idx="12" formatCode="0.00">
                        <c:v>50.690892064310653</c:v>
                      </c:pt>
                      <c:pt idx="13" formatCode="0.00">
                        <c:v>50.195588396799756</c:v>
                      </c:pt>
                      <c:pt idx="14" formatCode="0.00">
                        <c:v>49.700284729288867</c:v>
                      </c:pt>
                      <c:pt idx="15" formatCode="0.00">
                        <c:v>49.204981061777978</c:v>
                      </c:pt>
                      <c:pt idx="16" formatCode="0.00">
                        <c:v>48.709677394267082</c:v>
                      </c:pt>
                      <c:pt idx="17" formatCode="0.00">
                        <c:v>48.214373726756193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'Sensitivity Analysis'!$B$69</c15:sqref>
                        </c15:formulaRef>
                      </c:ext>
                    </c:extLst>
                    <c:strCache>
                      <c:ptCount val="1"/>
                      <c:pt idx="0">
                        <c:v>Dead band max</c:v>
                      </c:pt>
                    </c:strCache>
                  </c:strRef>
                </c:tx>
                <c:spPr>
                  <a:ln w="28575" cap="rnd">
                    <a:solidFill>
                      <a:schemeClr val="accent6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400" b="1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'Sensitivity Analysis'!$C$69:$AA$69</c15:sqref>
                        </c15:fullRef>
                        <c15:formulaRef>
                          <c15:sqref>'Sensitivity Analysis'!$J$69:$AA$69</c15:sqref>
                        </c15:formulaRef>
                      </c:ext>
                    </c:extLst>
                    <c:numCache>
                      <c:formatCode>General</c:formatCode>
                      <c:ptCount val="18"/>
                      <c:pt idx="12" formatCode="0.00">
                        <c:v>58.131902696511901</c:v>
                      </c:pt>
                      <c:pt idx="13" formatCode="0.00">
                        <c:v>57.588805393023797</c:v>
                      </c:pt>
                      <c:pt idx="14" formatCode="0.00">
                        <c:v>57.045708089535701</c:v>
                      </c:pt>
                      <c:pt idx="15" formatCode="0.00">
                        <c:v>56.502610786047605</c:v>
                      </c:pt>
                      <c:pt idx="16" formatCode="0.00">
                        <c:v>55.959513482559501</c:v>
                      </c:pt>
                      <c:pt idx="17" formatCode="0.00">
                        <c:v>55.416416179071405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'Sensitivity Analysis'!$B$70</c15:sqref>
                        </c15:formulaRef>
                      </c:ext>
                    </c:extLst>
                    <c:strCache>
                      <c:ptCount val="1"/>
                      <c:pt idx="0">
                        <c:v>Unplanned customer minutes lost (unweighted, excluding exceptional events)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circle"/>
                  <c:size val="7"/>
                  <c:spPr>
                    <a:solidFill>
                      <a:schemeClr val="accent2"/>
                    </a:solidFill>
                    <a:ln w="9525">
                      <a:solidFill>
                        <a:schemeClr val="accent2"/>
                      </a:solidFill>
                    </a:ln>
                    <a:effectLst/>
                  </c:spPr>
                </c:marker>
                <c:dPt>
                  <c:idx val="12"/>
                  <c:marker>
                    <c:symbol val="circle"/>
                    <c:size val="7"/>
                    <c:spPr>
                      <a:solidFill>
                        <a:schemeClr val="accent3"/>
                      </a:solidFill>
                      <a:ln w="9525">
                        <a:solidFill>
                          <a:schemeClr val="accent3"/>
                        </a:solidFill>
                      </a:ln>
                      <a:effectLst/>
                    </c:spPr>
                  </c:marker>
                  <c:bubble3D val="0"/>
                </c:dPt>
                <c:dPt>
                  <c:idx val="13"/>
                  <c:marker>
                    <c:symbol val="circle"/>
                    <c:size val="7"/>
                    <c:spPr>
                      <a:solidFill>
                        <a:schemeClr val="accent3"/>
                      </a:solidFill>
                      <a:ln w="9525">
                        <a:solidFill>
                          <a:schemeClr val="accent3"/>
                        </a:solidFill>
                      </a:ln>
                      <a:effectLst/>
                    </c:spPr>
                  </c:marker>
                  <c:bubble3D val="0"/>
                  <c:spPr>
                    <a:ln w="28575" cap="rnd">
                      <a:solidFill>
                        <a:schemeClr val="accent3"/>
                      </a:solidFill>
                      <a:round/>
                    </a:ln>
                    <a:effectLst/>
                  </c:spPr>
                </c:dPt>
                <c:dPt>
                  <c:idx val="14"/>
                  <c:marker>
                    <c:symbol val="circle"/>
                    <c:size val="7"/>
                    <c:spPr>
                      <a:solidFill>
                        <a:schemeClr val="accent3"/>
                      </a:solidFill>
                      <a:ln w="9525">
                        <a:solidFill>
                          <a:schemeClr val="accent3"/>
                        </a:solidFill>
                      </a:ln>
                      <a:effectLst/>
                    </c:spPr>
                  </c:marker>
                  <c:bubble3D val="0"/>
                  <c:spPr>
                    <a:ln w="28575" cap="rnd">
                      <a:solidFill>
                        <a:schemeClr val="accent3"/>
                      </a:solidFill>
                      <a:round/>
                    </a:ln>
                    <a:effectLst/>
                  </c:spPr>
                </c:dPt>
                <c:dPt>
                  <c:idx val="15"/>
                  <c:marker>
                    <c:symbol val="circle"/>
                    <c:size val="7"/>
                    <c:spPr>
                      <a:solidFill>
                        <a:schemeClr val="accent3"/>
                      </a:solidFill>
                      <a:ln w="9525">
                        <a:solidFill>
                          <a:schemeClr val="accent3"/>
                        </a:solidFill>
                      </a:ln>
                      <a:effectLst/>
                    </c:spPr>
                  </c:marker>
                  <c:bubble3D val="0"/>
                  <c:spPr>
                    <a:ln w="28575" cap="rnd">
                      <a:solidFill>
                        <a:schemeClr val="accent3"/>
                      </a:solidFill>
                      <a:round/>
                    </a:ln>
                    <a:effectLst/>
                  </c:spPr>
                </c:dPt>
                <c:dPt>
                  <c:idx val="16"/>
                  <c:marker>
                    <c:symbol val="circle"/>
                    <c:size val="7"/>
                    <c:spPr>
                      <a:solidFill>
                        <a:schemeClr val="accent3"/>
                      </a:solidFill>
                      <a:ln w="9525">
                        <a:solidFill>
                          <a:schemeClr val="accent3"/>
                        </a:solidFill>
                      </a:ln>
                      <a:effectLst/>
                    </c:spPr>
                  </c:marker>
                  <c:bubble3D val="0"/>
                  <c:spPr>
                    <a:ln w="28575" cap="rnd">
                      <a:solidFill>
                        <a:schemeClr val="accent3"/>
                      </a:solidFill>
                      <a:round/>
                    </a:ln>
                    <a:effectLst/>
                  </c:spPr>
                </c:dPt>
                <c:dPt>
                  <c:idx val="17"/>
                  <c:marker>
                    <c:symbol val="circle"/>
                    <c:size val="7"/>
                    <c:spPr>
                      <a:solidFill>
                        <a:schemeClr val="accent3"/>
                      </a:solidFill>
                      <a:ln w="9525">
                        <a:solidFill>
                          <a:schemeClr val="accent3"/>
                        </a:solidFill>
                      </a:ln>
                      <a:effectLst/>
                    </c:spPr>
                  </c:marker>
                  <c:bubble3D val="0"/>
                  <c:spPr>
                    <a:ln w="28575" cap="rnd">
                      <a:solidFill>
                        <a:schemeClr val="accent3"/>
                      </a:solidFill>
                      <a:round/>
                    </a:ln>
                    <a:effectLst/>
                  </c:spPr>
                </c:dPt>
                <c:dLbls>
                  <c:dLbl>
                    <c:idx val="0"/>
                    <c:delete val="1"/>
                    <c:extLst>
                      <c:ext xmlns:c15="http://schemas.microsoft.com/office/drawing/2012/chart" uri="{CE6537A1-D6FC-4f65-9D91-7224C49458BB}"/>
                    </c:extLst>
                  </c:dLbl>
                  <c:dLbl>
                    <c:idx val="1"/>
                    <c:delete val="1"/>
                    <c:extLst>
                      <c:ext xmlns:c15="http://schemas.microsoft.com/office/drawing/2012/chart" uri="{CE6537A1-D6FC-4f65-9D91-7224C49458BB}"/>
                    </c:extLst>
                  </c:dLbl>
                  <c:dLbl>
                    <c:idx val="2"/>
                    <c:delete val="1"/>
                    <c:extLst>
                      <c:ext xmlns:c15="http://schemas.microsoft.com/office/drawing/2012/chart" uri="{CE6537A1-D6FC-4f65-9D91-7224C49458BB}"/>
                    </c:extLst>
                  </c:dLbl>
                  <c:dLbl>
                    <c:idx val="3"/>
                    <c:delete val="1"/>
                    <c:extLst>
                      <c:ext xmlns:c15="http://schemas.microsoft.com/office/drawing/2012/chart" uri="{CE6537A1-D6FC-4f65-9D91-7224C49458BB}"/>
                    </c:extLst>
                  </c:dLbl>
                  <c:dLbl>
                    <c:idx val="4"/>
                    <c:delete val="1"/>
                    <c:extLst>
                      <c:ext xmlns:c15="http://schemas.microsoft.com/office/drawing/2012/chart" uri="{CE6537A1-D6FC-4f65-9D91-7224C49458BB}"/>
                    </c:extLst>
                  </c:dLbl>
                  <c:dLbl>
                    <c:idx val="5"/>
                    <c:delete val="1"/>
                    <c:extLst>
                      <c:ext xmlns:c15="http://schemas.microsoft.com/office/drawing/2012/chart" uri="{CE6537A1-D6FC-4f65-9D91-7224C49458BB}"/>
                    </c:extLst>
                  </c:dLbl>
                  <c:dLbl>
                    <c:idx val="6"/>
                    <c:delete val="1"/>
                    <c:extLst>
                      <c:ext xmlns:c15="http://schemas.microsoft.com/office/drawing/2012/chart" uri="{CE6537A1-D6FC-4f65-9D91-7224C49458BB}"/>
                    </c:extLst>
                  </c:dLbl>
                  <c:dLbl>
                    <c:idx val="7"/>
                    <c:delete val="1"/>
                    <c:extLst>
                      <c:ext xmlns:c15="http://schemas.microsoft.com/office/drawing/2012/chart" uri="{CE6537A1-D6FC-4f65-9D91-7224C49458BB}"/>
                    </c:extLst>
                  </c:dLbl>
                  <c:dLbl>
                    <c:idx val="8"/>
                    <c:delete val="1"/>
                    <c:extLst>
                      <c:ext xmlns:c15="http://schemas.microsoft.com/office/drawing/2012/chart" uri="{CE6537A1-D6FC-4f65-9D91-7224C49458BB}"/>
                    </c:extLst>
                  </c:dLbl>
                  <c:dLbl>
                    <c:idx val="9"/>
                    <c:delete val="1"/>
                    <c:extLst>
                      <c:ext xmlns:c15="http://schemas.microsoft.com/office/drawing/2012/chart" uri="{CE6537A1-D6FC-4f65-9D91-7224C49458BB}"/>
                    </c:extLst>
                  </c:dLbl>
                  <c:dLbl>
                    <c:idx val="10"/>
                    <c:delete val="1"/>
                    <c:extLst>
                      <c:ext xmlns:c15="http://schemas.microsoft.com/office/drawing/2012/chart" uri="{CE6537A1-D6FC-4f65-9D91-7224C49458BB}"/>
                    </c:extLst>
                  </c:dLbl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1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layout/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accent3"/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'Sensitivity Analysis'!$C$49:$AA$49</c15:sqref>
                        </c15:fullRef>
                        <c15:formulaRef>
                          <c15:sqref>'Sensitivity Analysis'!$J$49:$AA$49</c15:sqref>
                        </c15:formulaRef>
                      </c:ext>
                    </c:extLst>
                    <c:numCache>
                      <c:formatCode>0.00</c:formatCode>
                      <c:ptCount val="18"/>
                      <c:pt idx="0">
                        <c:v>82.899999999999991</c:v>
                      </c:pt>
                      <c:pt idx="1">
                        <c:v>79.599999999999994</c:v>
                      </c:pt>
                      <c:pt idx="2">
                        <c:v>62.2</c:v>
                      </c:pt>
                      <c:pt idx="3">
                        <c:v>59.1</c:v>
                      </c:pt>
                      <c:pt idx="4">
                        <c:v>66.3</c:v>
                      </c:pt>
                      <c:pt idx="5">
                        <c:v>53.1</c:v>
                      </c:pt>
                      <c:pt idx="6">
                        <c:v>53.099999999999994</c:v>
                      </c:pt>
                      <c:pt idx="7">
                        <c:v>52.5</c:v>
                      </c:pt>
                      <c:pt idx="8">
                        <c:v>64.099999999999994</c:v>
                      </c:pt>
                      <c:pt idx="9">
                        <c:v>62.4</c:v>
                      </c:pt>
                      <c:pt idx="10">
                        <c:v>55.6</c:v>
                      </c:pt>
                      <c:pt idx="12">
                        <c:v>58.179696332489108</c:v>
                      </c:pt>
                      <c:pt idx="13">
                        <c:v>57.684392664978212</c:v>
                      </c:pt>
                      <c:pt idx="14">
                        <c:v>57.189088997467323</c:v>
                      </c:pt>
                      <c:pt idx="15">
                        <c:v>56.693785329956434</c:v>
                      </c:pt>
                      <c:pt idx="16">
                        <c:v>56.198481662445538</c:v>
                      </c:pt>
                      <c:pt idx="17">
                        <c:v>55.703177994934649</c:v>
                      </c:pt>
                    </c:numCache>
                  </c:numRef>
                </c:val>
                <c:smooth val="0"/>
                <c:extLst>
                  <c:ext xmlns:c15="http://schemas.microsoft.com/office/drawing/2012/chart" uri="{02D57815-91ED-43cb-92C2-25804820EDAC}">
                    <c15:categoryFilterExceptions>
                      <c15:categoryFilterException>
                        <c15:sqref>'Sensitivity Analysis'!$G$49</c15:sqref>
                        <c15:dLbl>
                          <c:idx val="-1"/>
                          <c:delete val="1"/>
                          <c:extLst>
                            <c:ext uri="{CE6537A1-D6FC-4f65-9D91-7224C49458BB}"/>
                          </c:extLst>
                        </c15:dLbl>
                      </c15:categoryFilterException>
                      <c15:categoryFilterException>
                        <c15:sqref>'Sensitivity Analysis'!$H$49</c15:sqref>
                        <c15:dLbl>
                          <c:idx val="-1"/>
                          <c:delete val="1"/>
                          <c:extLst>
                            <c:ext uri="{CE6537A1-D6FC-4f65-9D91-7224C49458BB}"/>
                          </c:extLst>
                        </c15:dLbl>
                      </c15:categoryFilterException>
                      <c15:categoryFilterException>
                        <c15:sqref>'Sensitivity Analysis'!$I$49</c15:sqref>
                        <c15:dLbl>
                          <c:idx val="-1"/>
                          <c:delete val="1"/>
                          <c:extLst>
                            <c:ext uri="{CE6537A1-D6FC-4f65-9D91-7224C49458BB}"/>
                          </c:extLst>
                        </c15:dLbl>
                      </c15:categoryFilterException>
                    </c15:categoryFilterExceptions>
                  </c:ext>
                </c:extLst>
              </c15:ser>
            </c15:filteredLineSeries>
            <c15:filteredLineSeries>
              <c15:ser>
                <c:idx val="13"/>
                <c:order val="1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'Sensitivity Analysis'!$B$71</c15:sqref>
                        </c15:formulaRef>
                      </c:ext>
                    </c:extLst>
                    <c:strCache>
                      <c:ptCount val="1"/>
                      <c:pt idx="0">
                        <c:v>Dead band min</c:v>
                      </c:pt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400" b="1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'Sensitivity Analysis'!$C$71:$AA$71</c15:sqref>
                        </c15:fullRef>
                        <c15:formulaRef>
                          <c15:sqref>'Sensitivity Analysis'!$J$71:$AA$71</c15:sqref>
                        </c15:formulaRef>
                      </c:ext>
                    </c:extLst>
                    <c:numCache>
                      <c:formatCode>General</c:formatCode>
                      <c:ptCount val="18"/>
                      <c:pt idx="12" formatCode="0.00">
                        <c:v>58.131902696511901</c:v>
                      </c:pt>
                      <c:pt idx="13" formatCode="0.00">
                        <c:v>57.588805393023797</c:v>
                      </c:pt>
                      <c:pt idx="14" formatCode="0.00">
                        <c:v>57.045708089535701</c:v>
                      </c:pt>
                      <c:pt idx="15" formatCode="0.00">
                        <c:v>56.502610786047605</c:v>
                      </c:pt>
                      <c:pt idx="16" formatCode="0.00">
                        <c:v>55.959513482559501</c:v>
                      </c:pt>
                      <c:pt idx="17" formatCode="0.00">
                        <c:v>55.416416179071405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14"/>
                <c:order val="14"/>
                <c:tx>
                  <c:v>Sensitivity 2: DPCR5 data only</c:v>
                </c:tx>
                <c:spPr>
                  <a:ln w="28575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/>
                    </a:solidFill>
                    <a:ln w="9525">
                      <a:solidFill>
                        <a:schemeClr val="accent3"/>
                      </a:solidFill>
                    </a:ln>
                    <a:effectLst/>
                  </c:spPr>
                </c:marker>
                <c:dLbls>
                  <c:delete val="1"/>
                </c:dLbls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'Sensitivity Analysis'!$C$51:$AA$51</c15:sqref>
                        </c15:fullRef>
                        <c15:formulaRef>
                          <c15:sqref>'Sensitivity Analysis'!$J$51:$AA$51</c15:sqref>
                        </c15:formulaRef>
                      </c:ext>
                    </c:extLst>
                    <c:numCache>
                      <c:formatCode>General</c:formatCode>
                      <c:ptCount val="18"/>
                      <c:pt idx="12" formatCode="0.00">
                        <c:v>65.668500600667556</c:v>
                      </c:pt>
                      <c:pt idx="13" formatCode="0.00">
                        <c:v>65.17319693315666</c:v>
                      </c:pt>
                      <c:pt idx="14" formatCode="0.00">
                        <c:v>64.677893265645778</c:v>
                      </c:pt>
                      <c:pt idx="15" formatCode="0.00">
                        <c:v>64.182589598134882</c:v>
                      </c:pt>
                      <c:pt idx="16" formatCode="0.00">
                        <c:v>63.687285930623993</c:v>
                      </c:pt>
                      <c:pt idx="17" formatCode="0.00">
                        <c:v>63.191982263113104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15"/>
                <c:order val="15"/>
                <c:tx>
                  <c:v>Sensitivity 3: 50% Benchmark, 50% Historical Average</c:v>
                </c:tx>
                <c:spPr>
                  <a:ln w="28575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/>
                    </a:solidFill>
                    <a:ln w="9525">
                      <a:solidFill>
                        <a:schemeClr val="accent3"/>
                      </a:solidFill>
                    </a:ln>
                    <a:effectLst/>
                  </c:spPr>
                </c:marker>
                <c:dPt>
                  <c:idx val="13"/>
                  <c:marker>
                    <c:symbol val="circle"/>
                    <c:size val="5"/>
                    <c:spPr>
                      <a:solidFill>
                        <a:schemeClr val="accent3"/>
                      </a:solidFill>
                      <a:ln w="9525">
                        <a:solidFill>
                          <a:schemeClr val="accent3"/>
                        </a:solidFill>
                      </a:ln>
                      <a:effectLst/>
                    </c:spPr>
                  </c:marker>
                  <c:bubble3D val="0"/>
                  <c:spPr>
                    <a:ln w="28575" cap="rnd">
                      <a:solidFill>
                        <a:schemeClr val="accent3"/>
                      </a:solidFill>
                      <a:round/>
                    </a:ln>
                    <a:effectLst/>
                  </c:spPr>
                </c:dPt>
                <c:dPt>
                  <c:idx val="14"/>
                  <c:marker>
                    <c:symbol val="circle"/>
                    <c:size val="5"/>
                    <c:spPr>
                      <a:solidFill>
                        <a:schemeClr val="accent3"/>
                      </a:solidFill>
                      <a:ln w="9525">
                        <a:solidFill>
                          <a:schemeClr val="accent3"/>
                        </a:solidFill>
                      </a:ln>
                      <a:effectLst/>
                    </c:spPr>
                  </c:marker>
                  <c:bubble3D val="0"/>
                  <c:spPr>
                    <a:ln w="28575" cap="rnd">
                      <a:solidFill>
                        <a:schemeClr val="accent3"/>
                      </a:solidFill>
                      <a:round/>
                    </a:ln>
                    <a:effectLst/>
                  </c:spPr>
                </c:dPt>
                <c:dPt>
                  <c:idx val="15"/>
                  <c:marker>
                    <c:symbol val="circle"/>
                    <c:size val="5"/>
                    <c:spPr>
                      <a:solidFill>
                        <a:schemeClr val="accent3"/>
                      </a:solidFill>
                      <a:ln w="9525">
                        <a:solidFill>
                          <a:schemeClr val="accent3"/>
                        </a:solidFill>
                      </a:ln>
                      <a:effectLst/>
                    </c:spPr>
                  </c:marker>
                  <c:bubble3D val="0"/>
                  <c:spPr>
                    <a:ln w="28575" cap="rnd">
                      <a:solidFill>
                        <a:schemeClr val="accent3"/>
                      </a:solidFill>
                      <a:round/>
                    </a:ln>
                    <a:effectLst/>
                  </c:spPr>
                </c:dPt>
                <c:dPt>
                  <c:idx val="16"/>
                  <c:marker>
                    <c:symbol val="circle"/>
                    <c:size val="5"/>
                    <c:spPr>
                      <a:solidFill>
                        <a:schemeClr val="accent3"/>
                      </a:solidFill>
                      <a:ln w="9525">
                        <a:solidFill>
                          <a:schemeClr val="accent3"/>
                        </a:solidFill>
                      </a:ln>
                      <a:effectLst/>
                    </c:spPr>
                  </c:marker>
                  <c:bubble3D val="0"/>
                  <c:spPr>
                    <a:ln w="28575" cap="rnd">
                      <a:solidFill>
                        <a:schemeClr val="accent3"/>
                      </a:solidFill>
                      <a:round/>
                    </a:ln>
                    <a:effectLst/>
                  </c:spPr>
                </c:dPt>
                <c:dPt>
                  <c:idx val="17"/>
                  <c:marker>
                    <c:symbol val="circle"/>
                    <c:size val="5"/>
                    <c:spPr>
                      <a:solidFill>
                        <a:schemeClr val="accent3"/>
                      </a:solidFill>
                      <a:ln w="9525">
                        <a:solidFill>
                          <a:schemeClr val="accent3"/>
                        </a:solidFill>
                      </a:ln>
                      <a:effectLst/>
                    </c:spPr>
                  </c:marker>
                  <c:bubble3D val="0"/>
                  <c:spPr>
                    <a:ln w="28575" cap="rnd">
                      <a:solidFill>
                        <a:schemeClr val="accent3"/>
                      </a:solidFill>
                      <a:round/>
                    </a:ln>
                    <a:effectLst/>
                  </c:spPr>
                </c:dPt>
                <c:dLbls>
                  <c:delete val="1"/>
                </c:dLbls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'Sensitivity Analysis'!$C$68:$AA$68</c15:sqref>
                        </c15:fullRef>
                        <c15:formulaRef>
                          <c15:sqref>'Sensitivity Analysis'!$J$68:$AA$68</c15:sqref>
                        </c15:formulaRef>
                      </c:ext>
                    </c:extLst>
                    <c:numCache>
                      <c:formatCode>General</c:formatCode>
                      <c:ptCount val="18"/>
                      <c:pt idx="12" formatCode="0.00">
                        <c:v>50.643098428333445</c:v>
                      </c:pt>
                      <c:pt idx="13" formatCode="0.00">
                        <c:v>50.100001124845342</c:v>
                      </c:pt>
                      <c:pt idx="14" formatCode="0.00">
                        <c:v>49.556903821357245</c:v>
                      </c:pt>
                      <c:pt idx="15" formatCode="0.00">
                        <c:v>49.013806517869149</c:v>
                      </c:pt>
                      <c:pt idx="16" formatCode="0.00">
                        <c:v>48.470709214381046</c:v>
                      </c:pt>
                      <c:pt idx="17" formatCode="0.00">
                        <c:v>47.927611910892949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16"/>
                <c:order val="1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'Sensitivity Analysis'!$B$49</c15:sqref>
                        </c15:formulaRef>
                      </c:ext>
                    </c:extLst>
                    <c:strCache>
                      <c:ptCount val="1"/>
                      <c:pt idx="0">
                        <c:v>Unplanned customer minutes lost (unweighted, excluding exceptional events)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circle"/>
                  <c:size val="7"/>
                  <c:spPr>
                    <a:solidFill>
                      <a:schemeClr val="accent2"/>
                    </a:solidFill>
                    <a:ln w="9525">
                      <a:solidFill>
                        <a:schemeClr val="accent5">
                          <a:lumMod val="80000"/>
                          <a:lumOff val="20000"/>
                        </a:schemeClr>
                      </a:solidFill>
                    </a:ln>
                    <a:effectLst/>
                  </c:spPr>
                </c:marker>
                <c:dPt>
                  <c:idx val="12"/>
                  <c:marker>
                    <c:symbol val="circle"/>
                    <c:size val="7"/>
                    <c:spPr>
                      <a:solidFill>
                        <a:schemeClr val="accent3"/>
                      </a:solidFill>
                      <a:ln w="9525">
                        <a:solidFill>
                          <a:schemeClr val="accent3"/>
                        </a:solidFill>
                      </a:ln>
                      <a:effectLst/>
                    </c:spPr>
                  </c:marker>
                  <c:bubble3D val="0"/>
                  <c:spPr>
                    <a:ln w="28575" cap="rnd">
                      <a:solidFill>
                        <a:schemeClr val="accent3"/>
                      </a:solidFill>
                      <a:round/>
                    </a:ln>
                    <a:effectLst/>
                  </c:spPr>
                </c:dPt>
                <c:dPt>
                  <c:idx val="13"/>
                  <c:marker>
                    <c:symbol val="circle"/>
                    <c:size val="7"/>
                    <c:spPr>
                      <a:solidFill>
                        <a:schemeClr val="accent3"/>
                      </a:solidFill>
                      <a:ln w="9525">
                        <a:solidFill>
                          <a:schemeClr val="accent3"/>
                        </a:solidFill>
                      </a:ln>
                      <a:effectLst/>
                    </c:spPr>
                  </c:marker>
                  <c:bubble3D val="0"/>
                  <c:spPr>
                    <a:ln w="28575" cap="rnd">
                      <a:solidFill>
                        <a:schemeClr val="accent3"/>
                      </a:solidFill>
                      <a:round/>
                    </a:ln>
                    <a:effectLst/>
                  </c:spPr>
                </c:dPt>
                <c:dPt>
                  <c:idx val="14"/>
                  <c:marker>
                    <c:symbol val="circle"/>
                    <c:size val="7"/>
                    <c:spPr>
                      <a:solidFill>
                        <a:schemeClr val="accent3"/>
                      </a:solidFill>
                      <a:ln w="9525">
                        <a:solidFill>
                          <a:schemeClr val="accent3"/>
                        </a:solidFill>
                      </a:ln>
                      <a:effectLst/>
                    </c:spPr>
                  </c:marker>
                  <c:bubble3D val="0"/>
                  <c:spPr>
                    <a:ln w="28575" cap="rnd">
                      <a:solidFill>
                        <a:schemeClr val="accent3"/>
                      </a:solidFill>
                      <a:round/>
                    </a:ln>
                    <a:effectLst/>
                  </c:spPr>
                </c:dPt>
                <c:dPt>
                  <c:idx val="15"/>
                  <c:marker>
                    <c:symbol val="circle"/>
                    <c:size val="7"/>
                    <c:spPr>
                      <a:solidFill>
                        <a:schemeClr val="accent3"/>
                      </a:solidFill>
                      <a:ln w="9525">
                        <a:solidFill>
                          <a:schemeClr val="accent3"/>
                        </a:solidFill>
                      </a:ln>
                      <a:effectLst/>
                    </c:spPr>
                  </c:marker>
                  <c:bubble3D val="0"/>
                  <c:spPr>
                    <a:ln w="28575" cap="rnd">
                      <a:solidFill>
                        <a:schemeClr val="accent3"/>
                      </a:solidFill>
                      <a:round/>
                    </a:ln>
                    <a:effectLst/>
                  </c:spPr>
                </c:dPt>
                <c:dPt>
                  <c:idx val="16"/>
                  <c:marker>
                    <c:symbol val="circle"/>
                    <c:size val="7"/>
                    <c:spPr>
                      <a:solidFill>
                        <a:schemeClr val="accent3"/>
                      </a:solidFill>
                      <a:ln w="9525">
                        <a:solidFill>
                          <a:schemeClr val="accent3"/>
                        </a:solidFill>
                      </a:ln>
                      <a:effectLst/>
                    </c:spPr>
                  </c:marker>
                  <c:bubble3D val="0"/>
                  <c:spPr>
                    <a:ln w="28575" cap="rnd">
                      <a:solidFill>
                        <a:schemeClr val="accent3"/>
                      </a:solidFill>
                      <a:round/>
                    </a:ln>
                    <a:effectLst/>
                  </c:spPr>
                </c:dPt>
                <c:dPt>
                  <c:idx val="17"/>
                  <c:marker>
                    <c:symbol val="circle"/>
                    <c:size val="7"/>
                    <c:spPr>
                      <a:solidFill>
                        <a:schemeClr val="accent3"/>
                      </a:solidFill>
                      <a:ln w="9525">
                        <a:solidFill>
                          <a:schemeClr val="accent3"/>
                        </a:solidFill>
                      </a:ln>
                      <a:effectLst/>
                    </c:spPr>
                  </c:marker>
                  <c:bubble3D val="0"/>
                  <c:spPr>
                    <a:ln w="28575" cap="rnd">
                      <a:solidFill>
                        <a:schemeClr val="accent3"/>
                      </a:solidFill>
                      <a:round/>
                    </a:ln>
                    <a:effectLst/>
                  </c:spPr>
                </c:dPt>
                <c:dLbls>
                  <c:dLbl>
                    <c:idx val="0"/>
                    <c:delete val="1"/>
                    <c:extLst xmlns:c15="http://schemas.microsoft.com/office/drawing/2012/chart">
                      <c:ext xmlns:c15="http://schemas.microsoft.com/office/drawing/2012/chart" uri="{CE6537A1-D6FC-4f65-9D91-7224C49458BB}"/>
                    </c:extLst>
                  </c:dLbl>
                  <c:dLbl>
                    <c:idx val="1"/>
                    <c:delete val="1"/>
                    <c:extLst xmlns:c15="http://schemas.microsoft.com/office/drawing/2012/chart">
                      <c:ext xmlns:c15="http://schemas.microsoft.com/office/drawing/2012/chart" uri="{CE6537A1-D6FC-4f65-9D91-7224C49458BB}"/>
                    </c:extLst>
                  </c:dLbl>
                  <c:dLbl>
                    <c:idx val="2"/>
                    <c:delete val="1"/>
                    <c:extLst xmlns:c15="http://schemas.microsoft.com/office/drawing/2012/chart">
                      <c:ext xmlns:c15="http://schemas.microsoft.com/office/drawing/2012/chart" uri="{CE6537A1-D6FC-4f65-9D91-7224C49458BB}"/>
                    </c:extLst>
                  </c:dLbl>
                  <c:dLbl>
                    <c:idx val="3"/>
                    <c:delete val="1"/>
                    <c:extLst xmlns:c15="http://schemas.microsoft.com/office/drawing/2012/chart">
                      <c:ext xmlns:c15="http://schemas.microsoft.com/office/drawing/2012/chart" uri="{CE6537A1-D6FC-4f65-9D91-7224C49458BB}"/>
                    </c:extLst>
                  </c:dLbl>
                  <c:dLbl>
                    <c:idx val="4"/>
                    <c:delete val="1"/>
                    <c:extLst xmlns:c15="http://schemas.microsoft.com/office/drawing/2012/chart">
                      <c:ext xmlns:c15="http://schemas.microsoft.com/office/drawing/2012/chart" uri="{CE6537A1-D6FC-4f65-9D91-7224C49458BB}"/>
                    </c:extLst>
                  </c:dLbl>
                  <c:dLbl>
                    <c:idx val="5"/>
                    <c:delete val="1"/>
                    <c:extLst xmlns:c15="http://schemas.microsoft.com/office/drawing/2012/chart">
                      <c:ext xmlns:c15="http://schemas.microsoft.com/office/drawing/2012/chart" uri="{CE6537A1-D6FC-4f65-9D91-7224C49458BB}"/>
                    </c:extLst>
                  </c:dLbl>
                  <c:dLbl>
                    <c:idx val="6"/>
                    <c:delete val="1"/>
                    <c:extLst xmlns:c15="http://schemas.microsoft.com/office/drawing/2012/chart">
                      <c:ext xmlns:c15="http://schemas.microsoft.com/office/drawing/2012/chart" uri="{CE6537A1-D6FC-4f65-9D91-7224C49458BB}"/>
                    </c:extLst>
                  </c:dLbl>
                  <c:dLbl>
                    <c:idx val="7"/>
                    <c:delete val="1"/>
                    <c:extLst xmlns:c15="http://schemas.microsoft.com/office/drawing/2012/chart">
                      <c:ext xmlns:c15="http://schemas.microsoft.com/office/drawing/2012/chart" uri="{CE6537A1-D6FC-4f65-9D91-7224C49458BB}"/>
                    </c:extLst>
                  </c:dLbl>
                  <c:dLbl>
                    <c:idx val="8"/>
                    <c:delete val="1"/>
                    <c:extLst xmlns:c15="http://schemas.microsoft.com/office/drawing/2012/chart">
                      <c:ext xmlns:c15="http://schemas.microsoft.com/office/drawing/2012/chart" uri="{CE6537A1-D6FC-4f65-9D91-7224C49458BB}"/>
                    </c:extLst>
                  </c:dLbl>
                  <c:dLbl>
                    <c:idx val="9"/>
                    <c:delete val="1"/>
                    <c:extLst xmlns:c15="http://schemas.microsoft.com/office/drawing/2012/chart">
                      <c:ext xmlns:c15="http://schemas.microsoft.com/office/drawing/2012/chart" uri="{CE6537A1-D6FC-4f65-9D91-7224C49458BB}"/>
                    </c:extLst>
                  </c:dLbl>
                  <c:dLbl>
                    <c:idx val="10"/>
                    <c:delete val="1"/>
                    <c:extLst xmlns:c15="http://schemas.microsoft.com/office/drawing/2012/chart">
                      <c:ext xmlns:c15="http://schemas.microsoft.com/office/drawing/2012/chart" uri="{CE6537A1-D6FC-4f65-9D91-7224C49458BB}"/>
                    </c:extLst>
                  </c:dLbl>
                  <c:dLbl>
                    <c:idx val="12"/>
                    <c:layout>
                      <c:manualLayout>
                        <c:x val="-3.0037665057031468E-2"/>
                        <c:y val="-2.1174753679350292E-2"/>
                      </c:manualLayout>
                    </c:layout>
                    <c:dLblPos val="r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 xmlns:c15="http://schemas.microsoft.com/office/drawing/2012/chart">
                      <c:ext xmlns:c15="http://schemas.microsoft.com/office/drawing/2012/chart" uri="{CE6537A1-D6FC-4f65-9D91-7224C49458BB}">
                        <c15:layout/>
                      </c:ext>
                    </c:extLst>
                  </c:dLbl>
                  <c:dLbl>
                    <c:idx val="13"/>
                    <c:layout>
                      <c:manualLayout>
                        <c:x val="-2.4570196725817939E-2"/>
                        <c:y val="-2.5361897355450205E-2"/>
                      </c:manualLayout>
                    </c:layout>
                    <c:dLblPos val="r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 xmlns:c15="http://schemas.microsoft.com/office/drawing/2012/chart">
                      <c:ext xmlns:c15="http://schemas.microsoft.com/office/drawing/2012/chart" uri="{CE6537A1-D6FC-4f65-9D91-7224C49458BB}">
                        <c15:layout/>
                      </c:ext>
                    </c:extLst>
                  </c:dLbl>
                  <c:dLbl>
                    <c:idx val="14"/>
                    <c:layout>
                      <c:manualLayout>
                        <c:x val="-2.593710314643571E-2"/>
                        <c:y val="-2.1170720969792015E-2"/>
                      </c:manualLayout>
                    </c:layout>
                    <c:dLblPos val="r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 xmlns:c15="http://schemas.microsoft.com/office/drawing/2012/chart">
                      <c:ext xmlns:c15="http://schemas.microsoft.com/office/drawing/2012/chart" uri="{CE6537A1-D6FC-4f65-9D91-7224C49458BB}">
                        <c15:layout/>
                      </c:ext>
                    </c:extLst>
                  </c:dLbl>
                  <c:dLbl>
                    <c:idx val="15"/>
                    <c:layout>
                      <c:manualLayout>
                        <c:x val="-2.4570196725817939E-2"/>
                        <c:y val="-2.326630916262111E-2"/>
                      </c:manualLayout>
                    </c:layout>
                    <c:dLblPos val="r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 xmlns:c15="http://schemas.microsoft.com/office/drawing/2012/chart">
                      <c:ext xmlns:c15="http://schemas.microsoft.com/office/drawing/2012/chart" uri="{CE6537A1-D6FC-4f65-9D91-7224C49458BB}">
                        <c15:layout/>
                      </c:ext>
                    </c:extLst>
                  </c:dLbl>
                  <c:dLbl>
                    <c:idx val="16"/>
                    <c:layout>
                      <c:manualLayout>
                        <c:x val="-2.1836383884582498E-2"/>
                        <c:y val="-1.6979544584133824E-2"/>
                      </c:manualLayout>
                    </c:layout>
                    <c:dLblPos val="r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 xmlns:c15="http://schemas.microsoft.com/office/drawing/2012/chart">
                      <c:ext xmlns:c15="http://schemas.microsoft.com/office/drawing/2012/chart" uri="{CE6537A1-D6FC-4f65-9D91-7224C49458BB}">
                        <c15:layout/>
                      </c:ext>
                    </c:extLst>
                  </c:dLbl>
                  <c:dLbl>
                    <c:idx val="17"/>
                    <c:layout>
                      <c:manualLayout>
                        <c:x val="-5.8272189384776943E-3"/>
                        <c:y val="-1.69795445841339E-2"/>
                      </c:manualLayout>
                    </c:layout>
                    <c:dLblPos val="r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 xmlns:c15="http://schemas.microsoft.com/office/drawing/2012/chart">
                      <c:ext xmlns:c15="http://schemas.microsoft.com/office/drawing/2012/chart" uri="{CE6537A1-D6FC-4f65-9D91-7224C49458BB}">
                        <c15:layout/>
                      </c:ext>
                    </c:extLst>
                  </c:dLbl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1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'Sensitivity Analysis'!$C$70:$AA$70</c15:sqref>
                        </c15:fullRef>
                        <c15:formulaRef>
                          <c15:sqref>'Sensitivity Analysis'!$J$70:$AA$70</c15:sqref>
                        </c15:formulaRef>
                      </c:ext>
                    </c:extLst>
                    <c:numCache>
                      <c:formatCode>0.00</c:formatCode>
                      <c:ptCount val="18"/>
                      <c:pt idx="0">
                        <c:v>82.899999999999991</c:v>
                      </c:pt>
                      <c:pt idx="1">
                        <c:v>79.599999999999994</c:v>
                      </c:pt>
                      <c:pt idx="2">
                        <c:v>62.2</c:v>
                      </c:pt>
                      <c:pt idx="3">
                        <c:v>59.1</c:v>
                      </c:pt>
                      <c:pt idx="4">
                        <c:v>66.3</c:v>
                      </c:pt>
                      <c:pt idx="5">
                        <c:v>53.1</c:v>
                      </c:pt>
                      <c:pt idx="6">
                        <c:v>53.099999999999994</c:v>
                      </c:pt>
                      <c:pt idx="7">
                        <c:v>52.5</c:v>
                      </c:pt>
                      <c:pt idx="8">
                        <c:v>64.099999999999994</c:v>
                      </c:pt>
                      <c:pt idx="9">
                        <c:v>62.4</c:v>
                      </c:pt>
                      <c:pt idx="10">
                        <c:v>55.6</c:v>
                      </c:pt>
                      <c:pt idx="12">
                        <c:v>58.131902696511901</c:v>
                      </c:pt>
                      <c:pt idx="13">
                        <c:v>57.588805393023797</c:v>
                      </c:pt>
                      <c:pt idx="14">
                        <c:v>57.045708089535701</c:v>
                      </c:pt>
                      <c:pt idx="15">
                        <c:v>56.502610786047605</c:v>
                      </c:pt>
                      <c:pt idx="16">
                        <c:v>55.959513482559501</c:v>
                      </c:pt>
                      <c:pt idx="17">
                        <c:v>55.416416179071405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5="http://schemas.microsoft.com/office/drawing/2012/chart" uri="{02D57815-91ED-43cb-92C2-25804820EDAC}">
                    <c15:categoryFilterExceptions>
                      <c15:categoryFilterException>
                        <c15:sqref>'Sensitivity Analysis'!$G$70</c15:sqref>
                        <c15:dLbl>
                          <c:idx val="-1"/>
                          <c:delete val="1"/>
                          <c:extLst>
                            <c:ext uri="{CE6537A1-D6FC-4f65-9D91-7224C49458BB}"/>
                          </c:extLst>
                        </c15:dLbl>
                      </c15:categoryFilterException>
                      <c15:categoryFilterException>
                        <c15:sqref>'Sensitivity Analysis'!$H$70</c15:sqref>
                        <c15:dLbl>
                          <c:idx val="-1"/>
                          <c:delete val="1"/>
                          <c:extLst>
                            <c:ext uri="{CE6537A1-D6FC-4f65-9D91-7224C49458BB}"/>
                          </c:extLst>
                        </c15:dLbl>
                      </c15:categoryFilterException>
                      <c15:categoryFilterException>
                        <c15:sqref>'Sensitivity Analysis'!$I$70</c15:sqref>
                        <c15:dLbl>
                          <c:idx val="-1"/>
                          <c:delete val="1"/>
                          <c:extLst>
                            <c:ext uri="{CE6537A1-D6FC-4f65-9D91-7224C49458BB}"/>
                          </c:extLst>
                        </c15:dLbl>
                      </c15:categoryFilterException>
                    </c15:categoryFilterExceptions>
                  </c:ext>
                </c:extLst>
              </c15:ser>
            </c15:filteredLineSeries>
            <c15:filteredLineSeries>
              <c15:ser>
                <c:idx val="17"/>
                <c:order val="1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'Sensitivity Analysis'!$B$51</c15:sqref>
                        </c15:formulaRef>
                      </c:ext>
                    </c:extLst>
                    <c:strCache>
                      <c:ptCount val="1"/>
                      <c:pt idx="0">
                        <c:v>Max penalty</c:v>
                      </c:pt>
                    </c:strCache>
                  </c:strRef>
                </c:tx>
                <c:spPr>
                  <a:ln w="28575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/>
                    </a:solidFill>
                    <a:ln w="9525">
                      <a:solidFill>
                        <a:schemeClr val="accent3"/>
                      </a:solidFill>
                    </a:ln>
                    <a:effectLst/>
                  </c:spPr>
                </c:marker>
                <c:dLbls>
                  <c:delete val="1"/>
                </c:dLbls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'Sensitivity Analysis'!$C$72:$AA$72</c15:sqref>
                        </c15:fullRef>
                        <c15:formulaRef>
                          <c15:sqref>'Sensitivity Analysis'!$J$72:$AA$72</c15:sqref>
                        </c15:formulaRef>
                      </c:ext>
                    </c:extLst>
                    <c:numCache>
                      <c:formatCode>General</c:formatCode>
                      <c:ptCount val="18"/>
                      <c:pt idx="12" formatCode="0.00">
                        <c:v>65.620706964690356</c:v>
                      </c:pt>
                      <c:pt idx="13" formatCode="0.00">
                        <c:v>65.077609661202246</c:v>
                      </c:pt>
                      <c:pt idx="14" formatCode="0.00">
                        <c:v>64.534512357714149</c:v>
                      </c:pt>
                      <c:pt idx="15" formatCode="0.00">
                        <c:v>63.99141505422606</c:v>
                      </c:pt>
                      <c:pt idx="16" formatCode="0.00">
                        <c:v>63.448317750737957</c:v>
                      </c:pt>
                      <c:pt idx="17" formatCode="0.00">
                        <c:v>62.90522044724986</c:v>
                      </c:pt>
                    </c:numCache>
                  </c:numRef>
                </c:val>
                <c:smooth val="0"/>
              </c15:ser>
            </c15:filteredLineSeries>
          </c:ext>
        </c:extLst>
      </c:lineChart>
      <c:catAx>
        <c:axId val="1114717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14721376"/>
        <c:crosses val="autoZero"/>
        <c:auto val="1"/>
        <c:lblAlgn val="ctr"/>
        <c:lblOffset val="100"/>
        <c:noMultiLvlLbl val="0"/>
      </c:catAx>
      <c:valAx>
        <c:axId val="1114721376"/>
        <c:scaling>
          <c:orientation val="minMax"/>
          <c:max val="85"/>
          <c:min val="40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14717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egendEntry>
        <c:idx val="1"/>
        <c:delete val="1"/>
      </c:legendEntry>
      <c:legendEntry>
        <c:idx val="2"/>
        <c:delete val="1"/>
      </c:legendEntry>
      <c:layout>
        <c:manualLayout>
          <c:xMode val="edge"/>
          <c:yMode val="edge"/>
          <c:x val="4.4660088437928416E-2"/>
          <c:y val="0.72844193428700998"/>
          <c:w val="0.30181861776698587"/>
          <c:h val="0.1361836995506451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400" b="1">
          <a:solidFill>
            <a:sysClr val="windowText" lastClr="000000"/>
          </a:solidFill>
        </a:defRPr>
      </a:pPr>
      <a:endParaRPr lang="en-US"/>
    </a:p>
  </c:txPr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Unplanned customer minutes lost (CML)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'RI Allowance Calculations'!$O$7</c:f>
              <c:strCache>
                <c:ptCount val="1"/>
                <c:pt idx="0">
                  <c:v>Unplanned CML cap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'RI Allowance Calculations'!$P$6:$U$6</c:f>
              <c:strCache>
                <c:ptCount val="6"/>
                <c:pt idx="0">
                  <c:v>2018/19</c:v>
                </c:pt>
                <c:pt idx="1">
                  <c:v>2019/20</c:v>
                </c:pt>
                <c:pt idx="2">
                  <c:v>2020/21</c:v>
                </c:pt>
                <c:pt idx="3">
                  <c:v>2021/22</c:v>
                </c:pt>
                <c:pt idx="4">
                  <c:v>2022/23</c:v>
                </c:pt>
                <c:pt idx="5">
                  <c:v>2023/24</c:v>
                </c:pt>
              </c:strCache>
            </c:strRef>
          </c:cat>
          <c:val>
            <c:numRef>
              <c:f>'RI Allowance Calculations'!$P$7:$U$7</c:f>
              <c:numCache>
                <c:formatCode>0.00</c:formatCode>
                <c:ptCount val="6"/>
                <c:pt idx="0">
                  <c:v>65.349158312946301</c:v>
                </c:pt>
                <c:pt idx="1">
                  <c:v>64.534512357714149</c:v>
                </c:pt>
                <c:pt idx="2">
                  <c:v>63.719866402482012</c:v>
                </c:pt>
                <c:pt idx="3">
                  <c:v>62.905220447249867</c:v>
                </c:pt>
                <c:pt idx="4">
                  <c:v>62.090574492017716</c:v>
                </c:pt>
                <c:pt idx="5">
                  <c:v>61.275928536785571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'RI Allowance Calculations'!$O$8</c:f>
              <c:strCache>
                <c:ptCount val="1"/>
                <c:pt idx="0">
                  <c:v>Unplanned CML target</c:v>
                </c:pt>
              </c:strCache>
            </c:strRef>
          </c:tx>
          <c:spPr>
            <a:ln w="28575" cap="rnd">
              <a:solidFill>
                <a:schemeClr val="accent2"/>
              </a:solidFill>
              <a:prstDash val="dash"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'RI Allowance Calculations'!$P$6:$U$6</c:f>
              <c:strCache>
                <c:ptCount val="6"/>
                <c:pt idx="0">
                  <c:v>2018/19</c:v>
                </c:pt>
                <c:pt idx="1">
                  <c:v>2019/20</c:v>
                </c:pt>
                <c:pt idx="2">
                  <c:v>2020/21</c:v>
                </c:pt>
                <c:pt idx="3">
                  <c:v>2021/22</c:v>
                </c:pt>
                <c:pt idx="4">
                  <c:v>2022/23</c:v>
                </c:pt>
                <c:pt idx="5">
                  <c:v>2023/24</c:v>
                </c:pt>
              </c:strCache>
            </c:strRef>
          </c:cat>
          <c:val>
            <c:numRef>
              <c:f>'RI Allowance Calculations'!$P$8:$U$8</c:f>
              <c:numCache>
                <c:formatCode>0.00</c:formatCode>
                <c:ptCount val="6"/>
                <c:pt idx="0">
                  <c:v>57.860354044767853</c:v>
                </c:pt>
                <c:pt idx="1">
                  <c:v>57.045708089535701</c:v>
                </c:pt>
                <c:pt idx="2">
                  <c:v>56.231062134303556</c:v>
                </c:pt>
                <c:pt idx="3">
                  <c:v>55.416416179071412</c:v>
                </c:pt>
                <c:pt idx="4">
                  <c:v>54.60177022383926</c:v>
                </c:pt>
                <c:pt idx="5">
                  <c:v>53.787124268607116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'RI Allowance Calculations'!$O$9</c:f>
              <c:strCache>
                <c:ptCount val="1"/>
                <c:pt idx="0">
                  <c:v>Unplanned CML collar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'RI Allowance Calculations'!$P$6:$U$6</c:f>
              <c:strCache>
                <c:ptCount val="6"/>
                <c:pt idx="0">
                  <c:v>2018/19</c:v>
                </c:pt>
                <c:pt idx="1">
                  <c:v>2019/20</c:v>
                </c:pt>
                <c:pt idx="2">
                  <c:v>2020/21</c:v>
                </c:pt>
                <c:pt idx="3">
                  <c:v>2021/22</c:v>
                </c:pt>
                <c:pt idx="4">
                  <c:v>2022/23</c:v>
                </c:pt>
                <c:pt idx="5">
                  <c:v>2023/24</c:v>
                </c:pt>
              </c:strCache>
            </c:strRef>
          </c:cat>
          <c:val>
            <c:numRef>
              <c:f>'RI Allowance Calculations'!$P$9:$U$9</c:f>
              <c:numCache>
                <c:formatCode>0.00</c:formatCode>
                <c:ptCount val="6"/>
                <c:pt idx="0">
                  <c:v>50.371549776589397</c:v>
                </c:pt>
                <c:pt idx="1">
                  <c:v>49.556903821357245</c:v>
                </c:pt>
                <c:pt idx="2">
                  <c:v>48.742257866125101</c:v>
                </c:pt>
                <c:pt idx="3">
                  <c:v>47.927611910892956</c:v>
                </c:pt>
                <c:pt idx="4">
                  <c:v>47.112965955660805</c:v>
                </c:pt>
                <c:pt idx="5">
                  <c:v>46.29832000042866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'RI Allowance Calculations'!$O$10</c:f>
              <c:strCache>
                <c:ptCount val="1"/>
                <c:pt idx="0">
                  <c:v>Unplanned CML achieved by NIE Networks</c:v>
                </c:pt>
              </c:strCache>
            </c:strRef>
          </c:tx>
          <c:spPr>
            <a:ln w="28575" cap="rnd">
              <a:solidFill>
                <a:schemeClr val="accent1"/>
              </a:solidFill>
              <a:prstDash val="solid"/>
              <a:round/>
            </a:ln>
            <a:effectLst/>
          </c:spPr>
          <c:marker>
            <c:symbol val="triang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'RI Allowance Calculations'!$P$6:$U$6</c:f>
              <c:strCache>
                <c:ptCount val="6"/>
                <c:pt idx="0">
                  <c:v>2018/19</c:v>
                </c:pt>
                <c:pt idx="1">
                  <c:v>2019/20</c:v>
                </c:pt>
                <c:pt idx="2">
                  <c:v>2020/21</c:v>
                </c:pt>
                <c:pt idx="3">
                  <c:v>2021/22</c:v>
                </c:pt>
                <c:pt idx="4">
                  <c:v>2022/23</c:v>
                </c:pt>
                <c:pt idx="5">
                  <c:v>2023/24</c:v>
                </c:pt>
              </c:strCache>
            </c:strRef>
          </c:cat>
          <c:val>
            <c:numRef>
              <c:f>'RI Allowance Calculations'!$P$10:$U$10</c:f>
              <c:numCache>
                <c:formatCode>0.00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3237144"/>
        <c:axId val="583236752"/>
      </c:lineChart>
      <c:catAx>
        <c:axId val="583237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3236752"/>
        <c:crosses val="autoZero"/>
        <c:auto val="1"/>
        <c:lblAlgn val="ctr"/>
        <c:lblOffset val="100"/>
        <c:noMultiLvlLbl val="0"/>
      </c:catAx>
      <c:valAx>
        <c:axId val="583236752"/>
        <c:scaling>
          <c:orientation val="minMax"/>
          <c:max val="75"/>
          <c:min val="35"/>
        </c:scaling>
        <c:delete val="0"/>
        <c:axPos val="l"/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32371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7557798997429608"/>
          <c:y val="0.15849018326857611"/>
          <c:w val="0.31260517103013524"/>
          <c:h val="0.7445476738988412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="1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Planned customer minutes lost (CML)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'RI Allowance Calculations'!$O$14</c:f>
              <c:strCache>
                <c:ptCount val="1"/>
                <c:pt idx="0">
                  <c:v>Planned CML cap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'RI Allowance Calculations'!$P$13:$U$13</c:f>
              <c:strCache>
                <c:ptCount val="6"/>
                <c:pt idx="0">
                  <c:v>2018/19</c:v>
                </c:pt>
                <c:pt idx="1">
                  <c:v>2019/20</c:v>
                </c:pt>
                <c:pt idx="2">
                  <c:v>2020/21</c:v>
                </c:pt>
                <c:pt idx="3">
                  <c:v>2021/22</c:v>
                </c:pt>
                <c:pt idx="4">
                  <c:v>2022/23</c:v>
                </c:pt>
                <c:pt idx="5">
                  <c:v>2023/24</c:v>
                </c:pt>
              </c:strCache>
            </c:strRef>
          </c:cat>
          <c:val>
            <c:numRef>
              <c:f>'RI Allowance Calculations'!$P$14:$U$14</c:f>
              <c:numCache>
                <c:formatCode>0.00</c:formatCode>
                <c:ptCount val="6"/>
                <c:pt idx="0">
                  <c:v>65.362804268178436</c:v>
                </c:pt>
                <c:pt idx="1">
                  <c:v>65.362804268178436</c:v>
                </c:pt>
                <c:pt idx="2">
                  <c:v>65.362804268178436</c:v>
                </c:pt>
                <c:pt idx="3">
                  <c:v>65.362804268178436</c:v>
                </c:pt>
                <c:pt idx="4">
                  <c:v>65.362804268178436</c:v>
                </c:pt>
                <c:pt idx="5">
                  <c:v>65.362804268178436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'RI Allowance Calculations'!$O$15</c:f>
              <c:strCache>
                <c:ptCount val="1"/>
                <c:pt idx="0">
                  <c:v>Planned CML target</c:v>
                </c:pt>
              </c:strCache>
            </c:strRef>
          </c:tx>
          <c:spPr>
            <a:ln w="28575" cap="rnd">
              <a:solidFill>
                <a:schemeClr val="accent2"/>
              </a:solidFill>
              <a:prstDash val="dash"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'RI Allowance Calculations'!$P$13:$U$13</c:f>
              <c:strCache>
                <c:ptCount val="6"/>
                <c:pt idx="0">
                  <c:v>2018/19</c:v>
                </c:pt>
                <c:pt idx="1">
                  <c:v>2019/20</c:v>
                </c:pt>
                <c:pt idx="2">
                  <c:v>2020/21</c:v>
                </c:pt>
                <c:pt idx="3">
                  <c:v>2021/22</c:v>
                </c:pt>
                <c:pt idx="4">
                  <c:v>2022/23</c:v>
                </c:pt>
                <c:pt idx="5">
                  <c:v>2023/24</c:v>
                </c:pt>
              </c:strCache>
            </c:strRef>
          </c:cat>
          <c:val>
            <c:numRef>
              <c:f>'RI Allowance Calculations'!$P$15:$U$15</c:f>
              <c:numCache>
                <c:formatCode>0.00</c:formatCode>
                <c:ptCount val="6"/>
                <c:pt idx="0">
                  <c:v>57.873999999999988</c:v>
                </c:pt>
                <c:pt idx="1">
                  <c:v>57.873999999999988</c:v>
                </c:pt>
                <c:pt idx="2">
                  <c:v>57.873999999999988</c:v>
                </c:pt>
                <c:pt idx="3">
                  <c:v>57.873999999999988</c:v>
                </c:pt>
                <c:pt idx="4">
                  <c:v>57.873999999999988</c:v>
                </c:pt>
                <c:pt idx="5">
                  <c:v>57.873999999999988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'RI Allowance Calculations'!$O$16</c:f>
              <c:strCache>
                <c:ptCount val="1"/>
                <c:pt idx="0">
                  <c:v>Planned CML collar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'RI Allowance Calculations'!$P$13:$U$13</c:f>
              <c:strCache>
                <c:ptCount val="6"/>
                <c:pt idx="0">
                  <c:v>2018/19</c:v>
                </c:pt>
                <c:pt idx="1">
                  <c:v>2019/20</c:v>
                </c:pt>
                <c:pt idx="2">
                  <c:v>2020/21</c:v>
                </c:pt>
                <c:pt idx="3">
                  <c:v>2021/22</c:v>
                </c:pt>
                <c:pt idx="4">
                  <c:v>2022/23</c:v>
                </c:pt>
                <c:pt idx="5">
                  <c:v>2023/24</c:v>
                </c:pt>
              </c:strCache>
            </c:strRef>
          </c:cat>
          <c:val>
            <c:numRef>
              <c:f>'RI Allowance Calculations'!$P$16:$U$16</c:f>
              <c:numCache>
                <c:formatCode>0.00</c:formatCode>
                <c:ptCount val="6"/>
                <c:pt idx="0">
                  <c:v>50.385195731821533</c:v>
                </c:pt>
                <c:pt idx="1">
                  <c:v>50.385195731821533</c:v>
                </c:pt>
                <c:pt idx="2">
                  <c:v>50.385195731821533</c:v>
                </c:pt>
                <c:pt idx="3">
                  <c:v>50.385195731821533</c:v>
                </c:pt>
                <c:pt idx="4">
                  <c:v>50.385195731821533</c:v>
                </c:pt>
                <c:pt idx="5">
                  <c:v>50.385195731821533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'RI Allowance Calculations'!$O$17</c:f>
              <c:strCache>
                <c:ptCount val="1"/>
                <c:pt idx="0">
                  <c:v>Planned CML achieved by NIE Networks</c:v>
                </c:pt>
              </c:strCache>
            </c:strRef>
          </c:tx>
          <c:spPr>
            <a:ln w="28575" cap="rnd">
              <a:solidFill>
                <a:schemeClr val="accent1"/>
              </a:solidFill>
              <a:prstDash val="solid"/>
              <a:round/>
            </a:ln>
            <a:effectLst/>
          </c:spPr>
          <c:marker>
            <c:symbol val="triang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'RI Allowance Calculations'!$P$13:$U$13</c:f>
              <c:strCache>
                <c:ptCount val="6"/>
                <c:pt idx="0">
                  <c:v>2018/19</c:v>
                </c:pt>
                <c:pt idx="1">
                  <c:v>2019/20</c:v>
                </c:pt>
                <c:pt idx="2">
                  <c:v>2020/21</c:v>
                </c:pt>
                <c:pt idx="3">
                  <c:v>2021/22</c:v>
                </c:pt>
                <c:pt idx="4">
                  <c:v>2022/23</c:v>
                </c:pt>
                <c:pt idx="5">
                  <c:v>2023/24</c:v>
                </c:pt>
              </c:strCache>
            </c:strRef>
          </c:cat>
          <c:val>
            <c:numRef>
              <c:f>'RI Allowance Calculations'!$P$17:$U$17</c:f>
              <c:numCache>
                <c:formatCode>0.00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3235968"/>
        <c:axId val="583236360"/>
      </c:lineChart>
      <c:catAx>
        <c:axId val="583235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3236360"/>
        <c:crosses val="autoZero"/>
        <c:auto val="1"/>
        <c:lblAlgn val="ctr"/>
        <c:lblOffset val="100"/>
        <c:noMultiLvlLbl val="0"/>
      </c:catAx>
      <c:valAx>
        <c:axId val="583236360"/>
        <c:scaling>
          <c:orientation val="minMax"/>
          <c:max val="75"/>
          <c:min val="35"/>
        </c:scaling>
        <c:delete val="0"/>
        <c:axPos val="l"/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32359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7557798997429608"/>
          <c:y val="0.15849018326857611"/>
          <c:w val="0.31260517103013524"/>
          <c:h val="0.7445476738988412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="1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chartsheets/sheet1.xml><?xml version="1.0" encoding="utf-8"?>
<chartsheet xmlns="http://schemas.openxmlformats.org/spreadsheetml/2006/main" xmlns:r="http://schemas.openxmlformats.org/officeDocument/2006/relationships">
  <sheetPr>
    <tabColor theme="6" tint="0.79998168889431442"/>
  </sheetPr>
  <sheetViews>
    <sheetView zoomScale="110" workbookViewId="0"/>
  </sheetViews>
  <pageMargins left="0.7" right="0.7" top="0.75" bottom="0.75" header="0.3" footer="0.3"/>
  <pageSetup paperSize="9"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>
    <tabColor theme="6" tint="0.79998168889431442"/>
  </sheetPr>
  <sheetViews>
    <sheetView zoomScale="124" workbookViewId="0" zoomToFit="1"/>
  </sheetViews>
  <pageMargins left="0.7" right="0.7" top="0.75" bottom="0.75" header="0.3" footer="0.3"/>
  <pageSetup paperSize="9" orientation="landscape" r:id="rId1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>
    <tabColor theme="6" tint="0.79998168889431442"/>
  </sheetPr>
  <sheetViews>
    <sheetView zoomScale="72" workbookViewId="0" zoomToFit="1"/>
  </sheetViews>
  <pageMargins left="0.7" right="0.7" top="0.75" bottom="0.75" header="0.3" footer="0.3"/>
  <pageSetup paperSize="9" orientation="landscape" r:id="rId1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>
    <tabColor theme="9" tint="0.79998168889431442"/>
  </sheetPr>
  <sheetViews>
    <sheetView zoomScale="70" workbookViewId="0"/>
  </sheetViews>
  <pageMargins left="0.7" right="0.7" top="0.75" bottom="0.75" header="0.3" footer="0.3"/>
  <pageSetup paperSize="9" orientation="landscape" r:id="rId1"/>
  <drawing r:id="rId2"/>
</chartsheet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76200</xdr:colOff>
      <xdr:row>9</xdr:row>
      <xdr:rowOff>95250</xdr:rowOff>
    </xdr:from>
    <xdr:to>
      <xdr:col>13</xdr:col>
      <xdr:colOff>571500</xdr:colOff>
      <xdr:row>9</xdr:row>
      <xdr:rowOff>101600</xdr:rowOff>
    </xdr:to>
    <xdr:cxnSp macro="">
      <xdr:nvCxnSpPr>
        <xdr:cNvPr id="2" name="Straight Arrow Connector 1"/>
        <xdr:cNvCxnSpPr/>
      </xdr:nvCxnSpPr>
      <xdr:spPr>
        <a:xfrm flipV="1">
          <a:off x="10388600" y="1416050"/>
          <a:ext cx="495300" cy="63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993775</xdr:colOff>
      <xdr:row>4</xdr:row>
      <xdr:rowOff>12700</xdr:rowOff>
    </xdr:from>
    <xdr:ext cx="220893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TextBox 1"/>
            <xdr:cNvSpPr txBox="1"/>
          </xdr:nvSpPr>
          <xdr:spPr>
            <a:xfrm>
              <a:off x="1603375" y="565150"/>
              <a:ext cx="220893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GB" sz="11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GB" sz="1100" b="0" i="1">
                            <a:latin typeface="Cambria Math" panose="02040503050406030204" pitchFamily="18" charset="0"/>
                          </a:rPr>
                          <m:t>𝑅𝐼</m:t>
                        </m:r>
                      </m:e>
                      <m:sub>
                        <m:r>
                          <a:rPr lang="en-GB" sz="1100" b="0" i="1">
                            <a:latin typeface="Cambria Math" panose="02040503050406030204" pitchFamily="18" charset="0"/>
                          </a:rPr>
                          <m:t>𝑡</m:t>
                        </m:r>
                      </m:sub>
                    </m:sSub>
                  </m:oMath>
                </m:oMathPara>
              </a14:m>
              <a:endParaRPr lang="en-GB" sz="1100"/>
            </a:p>
          </xdr:txBody>
        </xdr:sp>
      </mc:Choice>
      <mc:Fallback xmlns="">
        <xdr:sp macro="" textlink="">
          <xdr:nvSpPr>
            <xdr:cNvPr id="2" name="TextBox 1"/>
            <xdr:cNvSpPr txBox="1"/>
          </xdr:nvSpPr>
          <xdr:spPr>
            <a:xfrm>
              <a:off x="1603375" y="565150"/>
              <a:ext cx="220893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GB" sz="1100" i="0">
                  <a:latin typeface="Cambria Math" panose="02040503050406030204" pitchFamily="18" charset="0"/>
                </a:rPr>
                <a:t>〖</a:t>
              </a:r>
              <a:r>
                <a:rPr lang="en-GB" sz="1100" b="0" i="0">
                  <a:latin typeface="Cambria Math" panose="02040503050406030204" pitchFamily="18" charset="0"/>
                </a:rPr>
                <a:t>𝑅𝐼〗_𝑡</a:t>
              </a:r>
              <a:endParaRPr lang="en-GB" sz="1100"/>
            </a:p>
          </xdr:txBody>
        </xdr:sp>
      </mc:Fallback>
    </mc:AlternateContent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22224</xdr:colOff>
      <xdr:row>19</xdr:row>
      <xdr:rowOff>0</xdr:rowOff>
    </xdr:from>
    <xdr:to>
      <xdr:col>17</xdr:col>
      <xdr:colOff>349249</xdr:colOff>
      <xdr:row>34</xdr:row>
      <xdr:rowOff>120650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44450</xdr:colOff>
      <xdr:row>35</xdr:row>
      <xdr:rowOff>133350</xdr:rowOff>
    </xdr:from>
    <xdr:to>
      <xdr:col>17</xdr:col>
      <xdr:colOff>371475</xdr:colOff>
      <xdr:row>51</xdr:row>
      <xdr:rowOff>63500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294556" cy="6068347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0.74212</cdr:x>
      <cdr:y>0</cdr:y>
    </cdr:from>
    <cdr:to>
      <cdr:x>0.74307</cdr:x>
      <cdr:y>0.90116</cdr:y>
    </cdr:to>
    <cdr:cxnSp macro="">
      <cdr:nvCxnSpPr>
        <cdr:cNvPr id="3" name="Straight Connector 2"/>
        <cdr:cNvCxnSpPr/>
      </cdr:nvCxnSpPr>
      <cdr:spPr>
        <a:xfrm xmlns:a="http://schemas.openxmlformats.org/drawingml/2006/main" flipH="1" flipV="1">
          <a:off x="6891128" y="0"/>
          <a:ext cx="8821" cy="5465274"/>
        </a:xfrm>
        <a:prstGeom xmlns:a="http://schemas.openxmlformats.org/drawingml/2006/main" prst="line">
          <a:avLst/>
        </a:prstGeom>
        <a:ln xmlns:a="http://schemas.openxmlformats.org/drawingml/2006/main" w="28575">
          <a:solidFill>
            <a:schemeClr val="tx1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0.83966</cdr:x>
      <cdr:y>0.1439</cdr:y>
    </cdr:from>
    <cdr:to>
      <cdr:x>0.90702</cdr:x>
      <cdr:y>0.22093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7805207" y="873126"/>
          <a:ext cx="626181" cy="46743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2000" b="1">
              <a:solidFill>
                <a:schemeClr val="tx1"/>
              </a:solidFill>
            </a:rPr>
            <a:t>RP6</a:t>
          </a:r>
        </a:p>
      </cdr:txBody>
    </cdr:sp>
  </cdr:relSizeAnchor>
  <cdr:relSizeAnchor xmlns:cdr="http://schemas.openxmlformats.org/drawingml/2006/chartDrawing">
    <cdr:from>
      <cdr:x>0.53488</cdr:x>
      <cdr:y>0</cdr:y>
    </cdr:from>
    <cdr:to>
      <cdr:x>0.53583</cdr:x>
      <cdr:y>0.90116</cdr:y>
    </cdr:to>
    <cdr:cxnSp macro="">
      <cdr:nvCxnSpPr>
        <cdr:cNvPr id="5" name="Straight Connector 4"/>
        <cdr:cNvCxnSpPr/>
      </cdr:nvCxnSpPr>
      <cdr:spPr>
        <a:xfrm xmlns:a="http://schemas.openxmlformats.org/drawingml/2006/main" flipH="1" flipV="1">
          <a:off x="4972050" y="0"/>
          <a:ext cx="8820" cy="5468056"/>
        </a:xfrm>
        <a:prstGeom xmlns:a="http://schemas.openxmlformats.org/drawingml/2006/main" prst="line">
          <a:avLst/>
        </a:prstGeom>
        <a:ln xmlns:a="http://schemas.openxmlformats.org/drawingml/2006/main" w="28575">
          <a:solidFill>
            <a:schemeClr val="tx1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0.60648</cdr:x>
      <cdr:y>0.14052</cdr:y>
    </cdr:from>
    <cdr:to>
      <cdr:x>0.67384</cdr:x>
      <cdr:y>0.21755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5631579" y="852184"/>
          <a:ext cx="625486" cy="4671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2000" b="1">
              <a:solidFill>
                <a:schemeClr val="tx1"/>
              </a:solidFill>
            </a:rPr>
            <a:t>RP5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294556" cy="6068347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0.75996</cdr:x>
      <cdr:y>0.00291</cdr:y>
    </cdr:from>
    <cdr:to>
      <cdr:x>0.76091</cdr:x>
      <cdr:y>0.90407</cdr:y>
    </cdr:to>
    <cdr:cxnSp macro="">
      <cdr:nvCxnSpPr>
        <cdr:cNvPr id="3" name="Straight Connector 2"/>
        <cdr:cNvCxnSpPr/>
      </cdr:nvCxnSpPr>
      <cdr:spPr>
        <a:xfrm xmlns:a="http://schemas.openxmlformats.org/drawingml/2006/main" flipH="1" flipV="1">
          <a:off x="7064375" y="17639"/>
          <a:ext cx="8820" cy="5468056"/>
        </a:xfrm>
        <a:prstGeom xmlns:a="http://schemas.openxmlformats.org/drawingml/2006/main" prst="line">
          <a:avLst/>
        </a:prstGeom>
        <a:ln xmlns:a="http://schemas.openxmlformats.org/drawingml/2006/main" w="28575">
          <a:solidFill>
            <a:schemeClr val="tx1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0.83966</cdr:x>
      <cdr:y>0.1439</cdr:y>
    </cdr:from>
    <cdr:to>
      <cdr:x>0.90702</cdr:x>
      <cdr:y>0.22093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7805207" y="873126"/>
          <a:ext cx="626181" cy="46743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2000" b="1">
              <a:solidFill>
                <a:schemeClr val="tx1"/>
              </a:solidFill>
            </a:rPr>
            <a:t>RP6</a:t>
          </a:r>
        </a:p>
      </cdr:txBody>
    </cdr:sp>
  </cdr:relSizeAnchor>
  <cdr:relSizeAnchor xmlns:cdr="http://schemas.openxmlformats.org/drawingml/2006/chartDrawing">
    <cdr:from>
      <cdr:x>0.53488</cdr:x>
      <cdr:y>0</cdr:y>
    </cdr:from>
    <cdr:to>
      <cdr:x>0.53583</cdr:x>
      <cdr:y>0.90116</cdr:y>
    </cdr:to>
    <cdr:cxnSp macro="">
      <cdr:nvCxnSpPr>
        <cdr:cNvPr id="5" name="Straight Connector 4"/>
        <cdr:cNvCxnSpPr/>
      </cdr:nvCxnSpPr>
      <cdr:spPr>
        <a:xfrm xmlns:a="http://schemas.openxmlformats.org/drawingml/2006/main" flipH="1" flipV="1">
          <a:off x="4972050" y="0"/>
          <a:ext cx="8820" cy="5468056"/>
        </a:xfrm>
        <a:prstGeom xmlns:a="http://schemas.openxmlformats.org/drawingml/2006/main" prst="line">
          <a:avLst/>
        </a:prstGeom>
        <a:ln xmlns:a="http://schemas.openxmlformats.org/drawingml/2006/main" w="28575">
          <a:solidFill>
            <a:schemeClr val="tx1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0.61837</cdr:x>
      <cdr:y>0.14355</cdr:y>
    </cdr:from>
    <cdr:to>
      <cdr:x>0.68573</cdr:x>
      <cdr:y>0.22058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5748161" y="871008"/>
          <a:ext cx="626181" cy="46743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2000" b="1">
              <a:solidFill>
                <a:schemeClr val="tx1"/>
              </a:solidFill>
            </a:rPr>
            <a:t>RP5</a:t>
          </a:r>
        </a:p>
      </cdr:txBody>
    </cdr:sp>
  </cdr:relSizeAnchor>
  <cdr:relSizeAnchor xmlns:cdr="http://schemas.openxmlformats.org/drawingml/2006/chartDrawing">
    <cdr:from>
      <cdr:x>0.75996</cdr:x>
      <cdr:y>0.00291</cdr:y>
    </cdr:from>
    <cdr:to>
      <cdr:x>0.76091</cdr:x>
      <cdr:y>0.90407</cdr:y>
    </cdr:to>
    <cdr:cxnSp macro="">
      <cdr:nvCxnSpPr>
        <cdr:cNvPr id="2" name="Straight Connector 2"/>
        <cdr:cNvCxnSpPr/>
      </cdr:nvCxnSpPr>
      <cdr:spPr>
        <a:xfrm xmlns:a="http://schemas.openxmlformats.org/drawingml/2006/main" flipH="1" flipV="1">
          <a:off x="7064375" y="17639"/>
          <a:ext cx="8820" cy="5468056"/>
        </a:xfrm>
        <a:prstGeom xmlns:a="http://schemas.openxmlformats.org/drawingml/2006/main" prst="line">
          <a:avLst/>
        </a:prstGeom>
        <a:ln xmlns:a="http://schemas.openxmlformats.org/drawingml/2006/main" w="28575">
          <a:solidFill>
            <a:schemeClr val="tx1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0.83966</cdr:x>
      <cdr:y>0.1439</cdr:y>
    </cdr:from>
    <cdr:to>
      <cdr:x>0.90702</cdr:x>
      <cdr:y>0.22093</cdr:y>
    </cdr:to>
    <cdr:sp macro="" textlink="">
      <cdr:nvSpPr>
        <cdr:cNvPr id="7" name="TextBox 3"/>
        <cdr:cNvSpPr txBox="1"/>
      </cdr:nvSpPr>
      <cdr:spPr>
        <a:xfrm xmlns:a="http://schemas.openxmlformats.org/drawingml/2006/main">
          <a:off x="7805207" y="873126"/>
          <a:ext cx="626181" cy="46743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2000" b="1">
              <a:solidFill>
                <a:schemeClr val="tx1"/>
              </a:solidFill>
            </a:rPr>
            <a:t>RP6</a:t>
          </a:r>
        </a:p>
      </cdr:txBody>
    </cdr:sp>
  </cdr:relSizeAnchor>
  <cdr:relSizeAnchor xmlns:cdr="http://schemas.openxmlformats.org/drawingml/2006/chartDrawing">
    <cdr:from>
      <cdr:x>0.53488</cdr:x>
      <cdr:y>0</cdr:y>
    </cdr:from>
    <cdr:to>
      <cdr:x>0.53583</cdr:x>
      <cdr:y>0.90116</cdr:y>
    </cdr:to>
    <cdr:cxnSp macro="">
      <cdr:nvCxnSpPr>
        <cdr:cNvPr id="8" name="Straight Connector 4"/>
        <cdr:cNvCxnSpPr/>
      </cdr:nvCxnSpPr>
      <cdr:spPr>
        <a:xfrm xmlns:a="http://schemas.openxmlformats.org/drawingml/2006/main" flipH="1" flipV="1">
          <a:off x="4972050" y="0"/>
          <a:ext cx="8820" cy="5468056"/>
        </a:xfrm>
        <a:prstGeom xmlns:a="http://schemas.openxmlformats.org/drawingml/2006/main" prst="line">
          <a:avLst/>
        </a:prstGeom>
        <a:ln xmlns:a="http://schemas.openxmlformats.org/drawingml/2006/main" w="28575">
          <a:solidFill>
            <a:schemeClr val="tx1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0.61837</cdr:x>
      <cdr:y>0.14355</cdr:y>
    </cdr:from>
    <cdr:to>
      <cdr:x>0.68573</cdr:x>
      <cdr:y>0.22058</cdr:y>
    </cdr:to>
    <cdr:sp macro="" textlink="">
      <cdr:nvSpPr>
        <cdr:cNvPr id="9" name="TextBox 1"/>
        <cdr:cNvSpPr txBox="1"/>
      </cdr:nvSpPr>
      <cdr:spPr>
        <a:xfrm xmlns:a="http://schemas.openxmlformats.org/drawingml/2006/main">
          <a:off x="5748161" y="871008"/>
          <a:ext cx="626181" cy="46743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2000" b="1">
              <a:solidFill>
                <a:schemeClr val="tx1"/>
              </a:solidFill>
            </a:rPr>
            <a:t>RP5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9293175" cy="6067778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0.75996</cdr:x>
      <cdr:y>0.00291</cdr:y>
    </cdr:from>
    <cdr:to>
      <cdr:x>0.76091</cdr:x>
      <cdr:y>0.90407</cdr:y>
    </cdr:to>
    <cdr:cxnSp macro="">
      <cdr:nvCxnSpPr>
        <cdr:cNvPr id="3" name="Straight Connector 2"/>
        <cdr:cNvCxnSpPr/>
      </cdr:nvCxnSpPr>
      <cdr:spPr>
        <a:xfrm xmlns:a="http://schemas.openxmlformats.org/drawingml/2006/main" flipH="1" flipV="1">
          <a:off x="7064375" y="17639"/>
          <a:ext cx="8820" cy="5468056"/>
        </a:xfrm>
        <a:prstGeom xmlns:a="http://schemas.openxmlformats.org/drawingml/2006/main" prst="line">
          <a:avLst/>
        </a:prstGeom>
        <a:ln xmlns:a="http://schemas.openxmlformats.org/drawingml/2006/main" w="28575">
          <a:solidFill>
            <a:schemeClr val="tx1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0.83966</cdr:x>
      <cdr:y>0.1439</cdr:y>
    </cdr:from>
    <cdr:to>
      <cdr:x>0.90702</cdr:x>
      <cdr:y>0.22093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7805207" y="873126"/>
          <a:ext cx="626181" cy="46743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2000" b="1">
              <a:solidFill>
                <a:schemeClr val="tx1"/>
              </a:solidFill>
            </a:rPr>
            <a:t>RP6</a:t>
          </a:r>
        </a:p>
      </cdr:txBody>
    </cdr:sp>
  </cdr:relSizeAnchor>
  <cdr:relSizeAnchor xmlns:cdr="http://schemas.openxmlformats.org/drawingml/2006/chartDrawing">
    <cdr:from>
      <cdr:x>0.53488</cdr:x>
      <cdr:y>0</cdr:y>
    </cdr:from>
    <cdr:to>
      <cdr:x>0.53583</cdr:x>
      <cdr:y>0.90116</cdr:y>
    </cdr:to>
    <cdr:cxnSp macro="">
      <cdr:nvCxnSpPr>
        <cdr:cNvPr id="5" name="Straight Connector 4"/>
        <cdr:cNvCxnSpPr/>
      </cdr:nvCxnSpPr>
      <cdr:spPr>
        <a:xfrm xmlns:a="http://schemas.openxmlformats.org/drawingml/2006/main" flipH="1" flipV="1">
          <a:off x="4972050" y="0"/>
          <a:ext cx="8820" cy="5468056"/>
        </a:xfrm>
        <a:prstGeom xmlns:a="http://schemas.openxmlformats.org/drawingml/2006/main" prst="line">
          <a:avLst/>
        </a:prstGeom>
        <a:ln xmlns:a="http://schemas.openxmlformats.org/drawingml/2006/main" w="28575">
          <a:solidFill>
            <a:schemeClr val="tx1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0.61837</cdr:x>
      <cdr:y>0.14355</cdr:y>
    </cdr:from>
    <cdr:to>
      <cdr:x>0.68573</cdr:x>
      <cdr:y>0.22058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5748161" y="871008"/>
          <a:ext cx="626181" cy="46743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2000" b="1">
              <a:solidFill>
                <a:schemeClr val="tx1"/>
              </a:solidFill>
            </a:rPr>
            <a:t>RP5</a:t>
          </a:r>
        </a:p>
      </cdr:txBody>
    </cdr:sp>
  </cdr:relSizeAnchor>
  <cdr:relSizeAnchor xmlns:cdr="http://schemas.openxmlformats.org/drawingml/2006/chartDrawing">
    <cdr:from>
      <cdr:x>0.75996</cdr:x>
      <cdr:y>0.00291</cdr:y>
    </cdr:from>
    <cdr:to>
      <cdr:x>0.76091</cdr:x>
      <cdr:y>0.90407</cdr:y>
    </cdr:to>
    <cdr:cxnSp macro="">
      <cdr:nvCxnSpPr>
        <cdr:cNvPr id="2" name="Straight Connector 2"/>
        <cdr:cNvCxnSpPr/>
      </cdr:nvCxnSpPr>
      <cdr:spPr>
        <a:xfrm xmlns:a="http://schemas.openxmlformats.org/drawingml/2006/main" flipH="1" flipV="1">
          <a:off x="7064375" y="17639"/>
          <a:ext cx="8820" cy="5468056"/>
        </a:xfrm>
        <a:prstGeom xmlns:a="http://schemas.openxmlformats.org/drawingml/2006/main" prst="line">
          <a:avLst/>
        </a:prstGeom>
        <a:ln xmlns:a="http://schemas.openxmlformats.org/drawingml/2006/main" w="28575">
          <a:solidFill>
            <a:schemeClr val="tx1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0.83966</cdr:x>
      <cdr:y>0.1439</cdr:y>
    </cdr:from>
    <cdr:to>
      <cdr:x>0.90702</cdr:x>
      <cdr:y>0.22093</cdr:y>
    </cdr:to>
    <cdr:sp macro="" textlink="">
      <cdr:nvSpPr>
        <cdr:cNvPr id="7" name="TextBox 3"/>
        <cdr:cNvSpPr txBox="1"/>
      </cdr:nvSpPr>
      <cdr:spPr>
        <a:xfrm xmlns:a="http://schemas.openxmlformats.org/drawingml/2006/main">
          <a:off x="7805207" y="873126"/>
          <a:ext cx="626181" cy="46743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2000" b="1">
              <a:solidFill>
                <a:schemeClr val="tx1"/>
              </a:solidFill>
            </a:rPr>
            <a:t>RP6</a:t>
          </a:r>
        </a:p>
      </cdr:txBody>
    </cdr:sp>
  </cdr:relSizeAnchor>
  <cdr:relSizeAnchor xmlns:cdr="http://schemas.openxmlformats.org/drawingml/2006/chartDrawing">
    <cdr:from>
      <cdr:x>0.53488</cdr:x>
      <cdr:y>0</cdr:y>
    </cdr:from>
    <cdr:to>
      <cdr:x>0.53583</cdr:x>
      <cdr:y>0.90116</cdr:y>
    </cdr:to>
    <cdr:cxnSp macro="">
      <cdr:nvCxnSpPr>
        <cdr:cNvPr id="8" name="Straight Connector 4"/>
        <cdr:cNvCxnSpPr/>
      </cdr:nvCxnSpPr>
      <cdr:spPr>
        <a:xfrm xmlns:a="http://schemas.openxmlformats.org/drawingml/2006/main" flipH="1" flipV="1">
          <a:off x="4972050" y="0"/>
          <a:ext cx="8820" cy="5468056"/>
        </a:xfrm>
        <a:prstGeom xmlns:a="http://schemas.openxmlformats.org/drawingml/2006/main" prst="line">
          <a:avLst/>
        </a:prstGeom>
        <a:ln xmlns:a="http://schemas.openxmlformats.org/drawingml/2006/main" w="28575">
          <a:solidFill>
            <a:schemeClr val="tx1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0.61837</cdr:x>
      <cdr:y>0.14355</cdr:y>
    </cdr:from>
    <cdr:to>
      <cdr:x>0.68573</cdr:x>
      <cdr:y>0.22058</cdr:y>
    </cdr:to>
    <cdr:sp macro="" textlink="">
      <cdr:nvSpPr>
        <cdr:cNvPr id="9" name="TextBox 1"/>
        <cdr:cNvSpPr txBox="1"/>
      </cdr:nvSpPr>
      <cdr:spPr>
        <a:xfrm xmlns:a="http://schemas.openxmlformats.org/drawingml/2006/main">
          <a:off x="5748161" y="871008"/>
          <a:ext cx="626181" cy="46743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2000" b="1">
              <a:solidFill>
                <a:schemeClr val="tx1"/>
              </a:solidFill>
            </a:rPr>
            <a:t>RP5</a:t>
          </a:r>
        </a:p>
      </cdr:txBody>
    </cdr:sp>
  </cdr:relSizeAnchor>
  <cdr:relSizeAnchor xmlns:cdr="http://schemas.openxmlformats.org/drawingml/2006/chartDrawing">
    <cdr:from>
      <cdr:x>0.75996</cdr:x>
      <cdr:y>0.00291</cdr:y>
    </cdr:from>
    <cdr:to>
      <cdr:x>0.76091</cdr:x>
      <cdr:y>0.90407</cdr:y>
    </cdr:to>
    <cdr:cxnSp macro="">
      <cdr:nvCxnSpPr>
        <cdr:cNvPr id="10" name="Straight Connector 2"/>
        <cdr:cNvCxnSpPr/>
      </cdr:nvCxnSpPr>
      <cdr:spPr>
        <a:xfrm xmlns:a="http://schemas.openxmlformats.org/drawingml/2006/main" flipH="1" flipV="1">
          <a:off x="7064375" y="17639"/>
          <a:ext cx="8820" cy="5468056"/>
        </a:xfrm>
        <a:prstGeom xmlns:a="http://schemas.openxmlformats.org/drawingml/2006/main" prst="line">
          <a:avLst/>
        </a:prstGeom>
        <a:ln xmlns:a="http://schemas.openxmlformats.org/drawingml/2006/main" w="28575">
          <a:solidFill>
            <a:schemeClr val="tx1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0.83966</cdr:x>
      <cdr:y>0.1439</cdr:y>
    </cdr:from>
    <cdr:to>
      <cdr:x>0.90702</cdr:x>
      <cdr:y>0.22093</cdr:y>
    </cdr:to>
    <cdr:sp macro="" textlink="">
      <cdr:nvSpPr>
        <cdr:cNvPr id="11" name="TextBox 3"/>
        <cdr:cNvSpPr txBox="1"/>
      </cdr:nvSpPr>
      <cdr:spPr>
        <a:xfrm xmlns:a="http://schemas.openxmlformats.org/drawingml/2006/main">
          <a:off x="7805207" y="873126"/>
          <a:ext cx="626181" cy="46743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2000" b="1">
              <a:solidFill>
                <a:schemeClr val="tx1"/>
              </a:solidFill>
            </a:rPr>
            <a:t>RP6</a:t>
          </a:r>
        </a:p>
      </cdr:txBody>
    </cdr:sp>
  </cdr:relSizeAnchor>
  <cdr:relSizeAnchor xmlns:cdr="http://schemas.openxmlformats.org/drawingml/2006/chartDrawing">
    <cdr:from>
      <cdr:x>0.53488</cdr:x>
      <cdr:y>0</cdr:y>
    </cdr:from>
    <cdr:to>
      <cdr:x>0.53583</cdr:x>
      <cdr:y>0.90116</cdr:y>
    </cdr:to>
    <cdr:cxnSp macro="">
      <cdr:nvCxnSpPr>
        <cdr:cNvPr id="12" name="Straight Connector 4"/>
        <cdr:cNvCxnSpPr/>
      </cdr:nvCxnSpPr>
      <cdr:spPr>
        <a:xfrm xmlns:a="http://schemas.openxmlformats.org/drawingml/2006/main" flipH="1" flipV="1">
          <a:off x="4972050" y="0"/>
          <a:ext cx="8820" cy="5468056"/>
        </a:xfrm>
        <a:prstGeom xmlns:a="http://schemas.openxmlformats.org/drawingml/2006/main" prst="line">
          <a:avLst/>
        </a:prstGeom>
        <a:ln xmlns:a="http://schemas.openxmlformats.org/drawingml/2006/main" w="28575">
          <a:solidFill>
            <a:schemeClr val="tx1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0.61837</cdr:x>
      <cdr:y>0.14355</cdr:y>
    </cdr:from>
    <cdr:to>
      <cdr:x>0.68573</cdr:x>
      <cdr:y>0.22058</cdr:y>
    </cdr:to>
    <cdr:sp macro="" textlink="">
      <cdr:nvSpPr>
        <cdr:cNvPr id="13" name="TextBox 1"/>
        <cdr:cNvSpPr txBox="1"/>
      </cdr:nvSpPr>
      <cdr:spPr>
        <a:xfrm xmlns:a="http://schemas.openxmlformats.org/drawingml/2006/main">
          <a:off x="5748161" y="871008"/>
          <a:ext cx="626181" cy="46743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2000" b="1">
              <a:solidFill>
                <a:schemeClr val="tx1"/>
              </a:solidFill>
            </a:rPr>
            <a:t>RP5</a:t>
          </a: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9289143" cy="6059714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0.644</cdr:x>
      <cdr:y>0.02825</cdr:y>
    </cdr:from>
    <cdr:to>
      <cdr:x>0.64495</cdr:x>
      <cdr:y>0.92941</cdr:y>
    </cdr:to>
    <cdr:cxnSp macro="">
      <cdr:nvCxnSpPr>
        <cdr:cNvPr id="3" name="Straight Connector 2"/>
        <cdr:cNvCxnSpPr/>
      </cdr:nvCxnSpPr>
      <cdr:spPr>
        <a:xfrm xmlns:a="http://schemas.openxmlformats.org/drawingml/2006/main" flipH="1" flipV="1">
          <a:off x="5983398" y="171223"/>
          <a:ext cx="8827" cy="5461346"/>
        </a:xfrm>
        <a:prstGeom xmlns:a="http://schemas.openxmlformats.org/drawingml/2006/main" prst="line">
          <a:avLst/>
        </a:prstGeom>
        <a:ln xmlns:a="http://schemas.openxmlformats.org/drawingml/2006/main" w="28575">
          <a:solidFill>
            <a:schemeClr val="tx1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0.78401</cdr:x>
      <cdr:y>0.1454</cdr:y>
    </cdr:from>
    <cdr:to>
      <cdr:x>0.85137</cdr:x>
      <cdr:y>0.22243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7284255" y="881156"/>
          <a:ext cx="625845" cy="4668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2000" b="1">
              <a:solidFill>
                <a:schemeClr val="tx1"/>
              </a:solidFill>
            </a:rPr>
            <a:t>RP6</a:t>
          </a:r>
        </a:p>
      </cdr:txBody>
    </cdr:sp>
  </cdr:relSizeAnchor>
  <cdr:relSizeAnchor xmlns:cdr="http://schemas.openxmlformats.org/drawingml/2006/chartDrawing">
    <cdr:from>
      <cdr:x>0.38354</cdr:x>
      <cdr:y>0.02844</cdr:y>
    </cdr:from>
    <cdr:to>
      <cdr:x>0.38449</cdr:x>
      <cdr:y>0.9296</cdr:y>
    </cdr:to>
    <cdr:cxnSp macro="">
      <cdr:nvCxnSpPr>
        <cdr:cNvPr id="5" name="Straight Connector 4"/>
        <cdr:cNvCxnSpPr/>
      </cdr:nvCxnSpPr>
      <cdr:spPr>
        <a:xfrm xmlns:a="http://schemas.openxmlformats.org/drawingml/2006/main" flipH="1" flipV="1">
          <a:off x="3563526" y="172357"/>
          <a:ext cx="8827" cy="5461346"/>
        </a:xfrm>
        <a:prstGeom xmlns:a="http://schemas.openxmlformats.org/drawingml/2006/main" prst="line">
          <a:avLst/>
        </a:prstGeom>
        <a:ln xmlns:a="http://schemas.openxmlformats.org/drawingml/2006/main" w="28575">
          <a:solidFill>
            <a:schemeClr val="tx1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0.47662</cdr:x>
      <cdr:y>0.14651</cdr:y>
    </cdr:from>
    <cdr:to>
      <cdr:x>0.54398</cdr:x>
      <cdr:y>0.22354</cdr:y>
    </cdr:to>
    <cdr:sp macro="" textlink="">
      <cdr:nvSpPr>
        <cdr:cNvPr id="9" name="TextBox 1"/>
        <cdr:cNvSpPr txBox="1"/>
      </cdr:nvSpPr>
      <cdr:spPr>
        <a:xfrm xmlns:a="http://schemas.openxmlformats.org/drawingml/2006/main">
          <a:off x="4428338" y="887887"/>
          <a:ext cx="625845" cy="4668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2000" b="1">
              <a:solidFill>
                <a:schemeClr val="tx1"/>
              </a:solidFill>
            </a:rPr>
            <a:t>RP5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anielM/Desktop/NIE/Secondment/FD%20distribution%20allowanc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10">
          <cell r="B10">
            <v>1173.2736652571582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CEPA October 2015">
      <a:dk1>
        <a:srgbClr val="275792"/>
      </a:dk1>
      <a:lt1>
        <a:srgbClr val="FFFFFF"/>
      </a:lt1>
      <a:dk2>
        <a:srgbClr val="72B2E2"/>
      </a:dk2>
      <a:lt2>
        <a:srgbClr val="FFFFFF"/>
      </a:lt2>
      <a:accent1>
        <a:srgbClr val="7F7F7F"/>
      </a:accent1>
      <a:accent2>
        <a:srgbClr val="4186CD"/>
      </a:accent2>
      <a:accent3>
        <a:srgbClr val="92D050"/>
      </a:accent3>
      <a:accent4>
        <a:srgbClr val="F0F0F0"/>
      </a:accent4>
      <a:accent5>
        <a:srgbClr val="C6C6C6"/>
      </a:accent5>
      <a:accent6>
        <a:srgbClr val="C00000"/>
      </a:accent6>
      <a:hlink>
        <a:srgbClr val="4186CD"/>
      </a:hlink>
      <a:folHlink>
        <a:srgbClr val="C0000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6600"/>
  </sheetPr>
  <dimension ref="B1:L66"/>
  <sheetViews>
    <sheetView topLeftCell="A10" zoomScale="80" zoomScaleNormal="80" workbookViewId="0">
      <selection activeCell="H50" sqref="H50"/>
    </sheetView>
  </sheetViews>
  <sheetFormatPr defaultRowHeight="14" x14ac:dyDescent="0.3"/>
  <cols>
    <col min="1" max="1" width="4.36328125" style="112" customWidth="1"/>
    <col min="2" max="2" width="8.7265625" style="112"/>
    <col min="3" max="3" width="31.7265625" style="112" customWidth="1"/>
    <col min="4" max="9" width="8.7265625" style="112"/>
    <col min="10" max="10" width="11.36328125" style="112" customWidth="1"/>
    <col min="11" max="16384" width="8.7265625" style="112"/>
  </cols>
  <sheetData>
    <row r="1" spans="2:12" ht="14.5" thickBot="1" x14ac:dyDescent="0.35"/>
    <row r="2" spans="2:12" ht="25.5" thickBot="1" x14ac:dyDescent="0.55000000000000004">
      <c r="B2" s="113" t="s">
        <v>990</v>
      </c>
      <c r="C2" s="114"/>
      <c r="D2" s="114"/>
      <c r="E2" s="114"/>
      <c r="F2" s="114"/>
      <c r="G2" s="114"/>
      <c r="H2" s="114"/>
      <c r="I2" s="114"/>
      <c r="J2" s="114"/>
      <c r="K2" s="114"/>
      <c r="L2" s="115"/>
    </row>
    <row r="3" spans="2:12" x14ac:dyDescent="0.3">
      <c r="B3" s="116"/>
      <c r="C3" s="117"/>
      <c r="D3" s="117"/>
      <c r="E3" s="117"/>
      <c r="F3" s="117"/>
      <c r="G3" s="117"/>
      <c r="H3" s="117"/>
      <c r="I3" s="117"/>
      <c r="J3" s="117"/>
      <c r="K3" s="117"/>
      <c r="L3" s="118"/>
    </row>
    <row r="4" spans="2:12" ht="18" x14ac:dyDescent="0.4">
      <c r="B4" s="116"/>
      <c r="C4" s="124" t="s">
        <v>118</v>
      </c>
      <c r="D4" s="117"/>
      <c r="E4" s="117"/>
      <c r="F4" s="117"/>
      <c r="G4" s="117"/>
      <c r="H4" s="117"/>
      <c r="I4" s="117"/>
      <c r="J4" s="117"/>
      <c r="K4" s="117"/>
      <c r="L4" s="118"/>
    </row>
    <row r="5" spans="2:12" x14ac:dyDescent="0.3">
      <c r="B5" s="116"/>
      <c r="C5" s="122" t="s">
        <v>119</v>
      </c>
      <c r="D5" s="117"/>
      <c r="E5" s="117"/>
      <c r="F5" s="117" t="s">
        <v>125</v>
      </c>
      <c r="G5" s="117"/>
      <c r="H5" s="117"/>
      <c r="I5" s="117"/>
      <c r="J5" s="117"/>
      <c r="K5" s="117"/>
      <c r="L5" s="118"/>
    </row>
    <row r="6" spans="2:12" x14ac:dyDescent="0.3">
      <c r="B6" s="116"/>
      <c r="C6" s="122" t="s">
        <v>33</v>
      </c>
      <c r="D6" s="117"/>
      <c r="E6" s="117"/>
      <c r="F6" s="117" t="s">
        <v>126</v>
      </c>
      <c r="G6" s="117"/>
      <c r="H6" s="117"/>
      <c r="I6" s="117"/>
      <c r="J6" s="117"/>
      <c r="K6" s="117"/>
      <c r="L6" s="118"/>
    </row>
    <row r="7" spans="2:12" x14ac:dyDescent="0.3">
      <c r="B7" s="116"/>
      <c r="C7" s="117"/>
      <c r="D7" s="117"/>
      <c r="E7" s="117"/>
      <c r="F7" s="117"/>
      <c r="G7" s="117"/>
      <c r="H7" s="117"/>
      <c r="I7" s="117"/>
      <c r="J7" s="117"/>
      <c r="K7" s="117"/>
      <c r="L7" s="118"/>
    </row>
    <row r="8" spans="2:12" ht="18" x14ac:dyDescent="0.4">
      <c r="B8" s="116"/>
      <c r="C8" s="124" t="s">
        <v>120</v>
      </c>
      <c r="D8" s="117"/>
      <c r="E8" s="117"/>
      <c r="F8" s="117"/>
      <c r="G8" s="117"/>
      <c r="H8" s="117"/>
      <c r="I8" s="117"/>
      <c r="J8" s="117"/>
      <c r="K8" s="117"/>
      <c r="L8" s="118"/>
    </row>
    <row r="9" spans="2:12" x14ac:dyDescent="0.3">
      <c r="B9" s="116"/>
      <c r="C9" s="122" t="s">
        <v>121</v>
      </c>
      <c r="D9" s="117"/>
      <c r="E9" s="117"/>
      <c r="F9" s="117" t="s">
        <v>127</v>
      </c>
      <c r="G9" s="117"/>
      <c r="H9" s="117"/>
      <c r="I9" s="117"/>
      <c r="J9" s="117"/>
      <c r="K9" s="117"/>
      <c r="L9" s="118"/>
    </row>
    <row r="10" spans="2:12" x14ac:dyDescent="0.3">
      <c r="B10" s="116"/>
      <c r="C10" s="122" t="s">
        <v>122</v>
      </c>
      <c r="D10" s="117"/>
      <c r="E10" s="117"/>
      <c r="F10" s="117" t="s">
        <v>128</v>
      </c>
      <c r="G10" s="117"/>
      <c r="H10" s="117"/>
      <c r="I10" s="117"/>
      <c r="J10" s="117"/>
      <c r="K10" s="117"/>
      <c r="L10" s="118"/>
    </row>
    <row r="11" spans="2:12" x14ac:dyDescent="0.3">
      <c r="B11" s="116"/>
      <c r="C11" s="117"/>
      <c r="D11" s="117"/>
      <c r="E11" s="117"/>
      <c r="F11" s="117"/>
      <c r="G11" s="117"/>
      <c r="H11" s="117"/>
      <c r="I11" s="117"/>
      <c r="J11" s="117"/>
      <c r="K11" s="117"/>
      <c r="L11" s="118"/>
    </row>
    <row r="12" spans="2:12" ht="18" x14ac:dyDescent="0.4">
      <c r="B12" s="116"/>
      <c r="C12" s="124" t="s">
        <v>883</v>
      </c>
      <c r="D12" s="117"/>
      <c r="E12" s="117"/>
      <c r="F12" s="123" t="s">
        <v>123</v>
      </c>
      <c r="G12" s="117"/>
      <c r="H12" s="117"/>
      <c r="I12" s="117"/>
      <c r="J12" s="117"/>
      <c r="K12" s="117"/>
      <c r="L12" s="118"/>
    </row>
    <row r="13" spans="2:12" x14ac:dyDescent="0.3">
      <c r="B13" s="116"/>
      <c r="D13" s="117"/>
      <c r="E13" s="117"/>
      <c r="F13" s="123" t="s">
        <v>55</v>
      </c>
      <c r="G13" s="117"/>
      <c r="H13" s="117"/>
      <c r="I13" s="117"/>
      <c r="J13" s="117"/>
      <c r="K13" s="117"/>
      <c r="L13" s="118"/>
    </row>
    <row r="14" spans="2:12" x14ac:dyDescent="0.3">
      <c r="B14" s="116"/>
      <c r="D14" s="117"/>
      <c r="E14" s="117"/>
      <c r="F14" s="123" t="s">
        <v>124</v>
      </c>
      <c r="G14" s="117"/>
      <c r="H14" s="117"/>
      <c r="I14" s="117"/>
      <c r="J14" s="117"/>
      <c r="K14" s="117"/>
      <c r="L14" s="118"/>
    </row>
    <row r="15" spans="2:12" x14ac:dyDescent="0.3">
      <c r="B15" s="116"/>
      <c r="D15" s="117"/>
      <c r="E15" s="117"/>
      <c r="F15" s="123"/>
      <c r="G15" s="117"/>
      <c r="H15" s="117"/>
      <c r="I15" s="117"/>
      <c r="J15" s="117"/>
      <c r="K15" s="117"/>
      <c r="L15" s="118"/>
    </row>
    <row r="16" spans="2:12" ht="18" x14ac:dyDescent="0.4">
      <c r="B16" s="116"/>
      <c r="C16" s="334" t="s">
        <v>991</v>
      </c>
      <c r="D16" s="117"/>
      <c r="E16" s="117"/>
      <c r="F16" s="123" t="s">
        <v>993</v>
      </c>
      <c r="G16" s="117"/>
      <c r="H16" s="117"/>
      <c r="I16" s="117"/>
      <c r="J16" s="117"/>
      <c r="K16" s="117"/>
      <c r="L16" s="118"/>
    </row>
    <row r="17" spans="2:12" x14ac:dyDescent="0.3">
      <c r="B17" s="116"/>
      <c r="C17" s="333" t="s">
        <v>992</v>
      </c>
      <c r="D17" s="117"/>
      <c r="E17" s="117"/>
      <c r="F17" s="123" t="s">
        <v>994</v>
      </c>
      <c r="G17" s="117"/>
      <c r="H17" s="117"/>
      <c r="I17" s="117"/>
      <c r="J17" s="117"/>
      <c r="K17" s="117"/>
      <c r="L17" s="118"/>
    </row>
    <row r="18" spans="2:12" x14ac:dyDescent="0.3">
      <c r="B18" s="116"/>
      <c r="C18" s="333"/>
      <c r="D18" s="117"/>
      <c r="E18" s="117"/>
      <c r="F18" s="123"/>
      <c r="G18" s="117"/>
      <c r="H18" s="117"/>
      <c r="I18" s="117"/>
      <c r="J18" s="117"/>
      <c r="K18" s="117"/>
      <c r="L18" s="118"/>
    </row>
    <row r="19" spans="2:12" ht="18" x14ac:dyDescent="0.4">
      <c r="B19" s="116"/>
      <c r="C19" s="335" t="s">
        <v>995</v>
      </c>
      <c r="D19" s="117"/>
      <c r="E19" s="117"/>
      <c r="F19" s="123"/>
      <c r="G19" s="117"/>
      <c r="H19" s="117"/>
      <c r="I19" s="117"/>
      <c r="J19" s="117"/>
      <c r="K19" s="117"/>
      <c r="L19" s="118"/>
    </row>
    <row r="20" spans="2:12" x14ac:dyDescent="0.3">
      <c r="B20" s="116"/>
      <c r="C20" s="333" t="s">
        <v>996</v>
      </c>
      <c r="D20" s="117"/>
      <c r="E20" s="117"/>
      <c r="F20" s="123" t="s">
        <v>998</v>
      </c>
      <c r="G20" s="117"/>
      <c r="H20" s="117"/>
      <c r="I20" s="117"/>
      <c r="J20" s="117"/>
      <c r="K20" s="117"/>
      <c r="L20" s="118"/>
    </row>
    <row r="21" spans="2:12" x14ac:dyDescent="0.3">
      <c r="B21" s="116"/>
      <c r="C21" s="333" t="s">
        <v>997</v>
      </c>
      <c r="D21" s="117"/>
      <c r="E21" s="117"/>
      <c r="F21" s="123" t="s">
        <v>999</v>
      </c>
      <c r="G21" s="117"/>
      <c r="H21" s="117"/>
      <c r="I21" s="117"/>
      <c r="J21" s="117"/>
      <c r="K21" s="117"/>
      <c r="L21" s="118"/>
    </row>
    <row r="22" spans="2:12" ht="14.5" thickBot="1" x14ac:dyDescent="0.35">
      <c r="B22" s="119"/>
      <c r="C22" s="120"/>
      <c r="D22" s="120"/>
      <c r="E22" s="120"/>
      <c r="F22" s="120"/>
      <c r="G22" s="120"/>
      <c r="H22" s="120"/>
      <c r="I22" s="120"/>
      <c r="J22" s="120"/>
      <c r="K22" s="120"/>
      <c r="L22" s="121"/>
    </row>
    <row r="23" spans="2:12" ht="14.5" thickBot="1" x14ac:dyDescent="0.35"/>
    <row r="24" spans="2:12" ht="18.5" thickBot="1" x14ac:dyDescent="0.45">
      <c r="B24" s="132" t="s">
        <v>134</v>
      </c>
      <c r="C24" s="130"/>
      <c r="D24" s="130"/>
      <c r="E24" s="130"/>
      <c r="F24" s="130"/>
      <c r="G24" s="130"/>
      <c r="H24" s="130"/>
      <c r="I24" s="130"/>
      <c r="J24" s="130"/>
      <c r="K24" s="130"/>
      <c r="L24" s="131"/>
    </row>
    <row r="25" spans="2:12" ht="14.5" thickBot="1" x14ac:dyDescent="0.35">
      <c r="B25" s="116"/>
      <c r="C25" s="117"/>
      <c r="D25" s="117"/>
      <c r="E25" s="117"/>
      <c r="F25" s="117"/>
      <c r="G25" s="117"/>
      <c r="H25" s="328"/>
      <c r="I25" s="117"/>
      <c r="J25" s="117"/>
      <c r="K25" s="117"/>
      <c r="L25" s="118"/>
    </row>
    <row r="26" spans="2:12" ht="16" thickBot="1" x14ac:dyDescent="0.4">
      <c r="B26" s="116"/>
      <c r="C26" s="133" t="s">
        <v>135</v>
      </c>
      <c r="D26" s="117"/>
      <c r="E26" s="117"/>
      <c r="F26" s="158">
        <v>2</v>
      </c>
      <c r="G26" s="117"/>
      <c r="H26" s="332" t="s">
        <v>989</v>
      </c>
      <c r="I26" s="117"/>
      <c r="J26" s="117"/>
      <c r="K26" s="117"/>
      <c r="L26" s="118"/>
    </row>
    <row r="27" spans="2:12" ht="14.5" x14ac:dyDescent="0.35">
      <c r="B27" s="116"/>
      <c r="C27" s="134" t="s">
        <v>896</v>
      </c>
      <c r="D27" s="117"/>
      <c r="E27" s="117"/>
      <c r="F27" s="135">
        <v>1</v>
      </c>
      <c r="G27" s="117"/>
      <c r="H27" s="329"/>
      <c r="I27" s="117"/>
      <c r="J27" s="117"/>
      <c r="K27" s="117"/>
      <c r="L27" s="118"/>
    </row>
    <row r="28" spans="2:12" ht="14.5" x14ac:dyDescent="0.35">
      <c r="B28" s="116"/>
      <c r="C28" s="134" t="s">
        <v>897</v>
      </c>
      <c r="D28" s="117"/>
      <c r="E28" s="117"/>
      <c r="F28" s="135">
        <v>2</v>
      </c>
      <c r="G28" s="117"/>
      <c r="H28" s="329" t="s">
        <v>1000</v>
      </c>
      <c r="I28" s="117"/>
      <c r="J28" s="117"/>
      <c r="K28" s="117"/>
      <c r="L28" s="118"/>
    </row>
    <row r="29" spans="2:12" ht="14.5" x14ac:dyDescent="0.35">
      <c r="B29" s="116"/>
      <c r="C29" s="134" t="s">
        <v>898</v>
      </c>
      <c r="D29" s="117"/>
      <c r="E29" s="117"/>
      <c r="F29" s="135">
        <v>3</v>
      </c>
      <c r="G29" s="117"/>
      <c r="H29" s="329" t="s">
        <v>1001</v>
      </c>
      <c r="I29" s="117"/>
      <c r="J29" s="117"/>
      <c r="K29" s="117"/>
      <c r="L29" s="118"/>
    </row>
    <row r="30" spans="2:12" ht="14.5" x14ac:dyDescent="0.35">
      <c r="B30" s="116"/>
      <c r="C30" s="134" t="s">
        <v>899</v>
      </c>
      <c r="D30" s="117"/>
      <c r="E30" s="117"/>
      <c r="F30" s="135">
        <v>4</v>
      </c>
      <c r="G30" s="117"/>
      <c r="H30" s="329" t="s">
        <v>1002</v>
      </c>
      <c r="I30" s="117"/>
      <c r="J30" s="117"/>
      <c r="K30" s="117"/>
      <c r="L30" s="118"/>
    </row>
    <row r="31" spans="2:12" ht="14.5" x14ac:dyDescent="0.35">
      <c r="B31" s="116"/>
      <c r="C31" s="134" t="s">
        <v>900</v>
      </c>
      <c r="D31" s="117"/>
      <c r="E31" s="117"/>
      <c r="F31" s="135">
        <v>5</v>
      </c>
      <c r="G31" s="117"/>
      <c r="H31" s="329" t="s">
        <v>1003</v>
      </c>
      <c r="I31" s="117"/>
      <c r="J31" s="117"/>
      <c r="K31" s="117"/>
      <c r="L31" s="118"/>
    </row>
    <row r="32" spans="2:12" ht="14.5" x14ac:dyDescent="0.35">
      <c r="B32" s="116"/>
      <c r="C32" s="134" t="s">
        <v>901</v>
      </c>
      <c r="D32" s="117"/>
      <c r="E32" s="117"/>
      <c r="F32" s="135">
        <v>6</v>
      </c>
      <c r="G32" s="117"/>
      <c r="H32" s="329" t="s">
        <v>1004</v>
      </c>
      <c r="I32" s="117"/>
      <c r="J32" s="117"/>
      <c r="K32" s="117"/>
      <c r="L32" s="118"/>
    </row>
    <row r="33" spans="2:12" ht="14.5" x14ac:dyDescent="0.35">
      <c r="B33" s="116"/>
      <c r="C33" s="134" t="s">
        <v>902</v>
      </c>
      <c r="D33" s="117"/>
      <c r="E33" s="117"/>
      <c r="F33" s="135">
        <v>7</v>
      </c>
      <c r="G33" s="117"/>
      <c r="H33" s="329" t="s">
        <v>1005</v>
      </c>
      <c r="I33" s="117"/>
      <c r="J33" s="117"/>
      <c r="K33" s="117"/>
      <c r="L33" s="118"/>
    </row>
    <row r="34" spans="2:12" x14ac:dyDescent="0.3">
      <c r="B34" s="116"/>
      <c r="C34" s="134" t="s">
        <v>903</v>
      </c>
      <c r="D34" s="117"/>
      <c r="E34" s="117"/>
      <c r="F34" s="135">
        <v>8</v>
      </c>
      <c r="G34" s="117"/>
      <c r="H34" s="330"/>
      <c r="I34" s="117"/>
      <c r="J34" s="117"/>
      <c r="K34" s="117"/>
      <c r="L34" s="118"/>
    </row>
    <row r="35" spans="2:12" x14ac:dyDescent="0.3">
      <c r="B35" s="116"/>
      <c r="C35" s="134" t="s">
        <v>904</v>
      </c>
      <c r="D35" s="117"/>
      <c r="E35" s="117"/>
      <c r="F35" s="135">
        <v>9</v>
      </c>
      <c r="G35" s="117"/>
      <c r="H35" s="330"/>
      <c r="I35" s="117"/>
      <c r="J35" s="117"/>
      <c r="K35" s="117"/>
      <c r="L35" s="118"/>
    </row>
    <row r="36" spans="2:12" ht="15" thickBot="1" x14ac:dyDescent="0.4">
      <c r="B36" s="116"/>
      <c r="C36" s="117"/>
      <c r="D36" s="234"/>
      <c r="E36" s="117"/>
      <c r="F36" s="117"/>
      <c r="G36" s="117"/>
      <c r="H36" s="330"/>
      <c r="I36" s="117"/>
      <c r="J36" s="117"/>
      <c r="K36" s="117"/>
      <c r="L36" s="118"/>
    </row>
    <row r="37" spans="2:12" ht="14.5" thickBot="1" x14ac:dyDescent="0.35">
      <c r="B37" s="116"/>
      <c r="C37" s="154" t="s">
        <v>138</v>
      </c>
      <c r="D37" s="117"/>
      <c r="E37" s="117"/>
      <c r="F37" s="158">
        <v>2</v>
      </c>
      <c r="G37" s="117"/>
      <c r="H37" s="330"/>
      <c r="I37" s="117"/>
      <c r="J37" s="117"/>
      <c r="K37" s="117"/>
      <c r="L37" s="118"/>
    </row>
    <row r="38" spans="2:12" x14ac:dyDescent="0.3">
      <c r="B38" s="116"/>
      <c r="C38" s="134" t="s">
        <v>42</v>
      </c>
      <c r="D38" s="117"/>
      <c r="E38" s="117"/>
      <c r="F38" s="135">
        <v>1</v>
      </c>
      <c r="G38" s="117"/>
      <c r="H38" s="330"/>
      <c r="I38" s="117"/>
      <c r="J38" s="117"/>
      <c r="K38" s="117"/>
      <c r="L38" s="118"/>
    </row>
    <row r="39" spans="2:12" ht="14.5" x14ac:dyDescent="0.35">
      <c r="B39" s="116"/>
      <c r="C39" s="134" t="s">
        <v>43</v>
      </c>
      <c r="D39" s="117"/>
      <c r="E39" s="117"/>
      <c r="F39" s="135">
        <v>2</v>
      </c>
      <c r="G39" s="117"/>
      <c r="H39" s="329" t="s">
        <v>1000</v>
      </c>
      <c r="I39" s="117"/>
      <c r="J39" s="117"/>
      <c r="K39" s="117"/>
      <c r="L39" s="118"/>
    </row>
    <row r="40" spans="2:12" x14ac:dyDescent="0.3">
      <c r="B40" s="116"/>
      <c r="C40" s="134" t="s">
        <v>137</v>
      </c>
      <c r="D40" s="117"/>
      <c r="E40" s="117"/>
      <c r="F40" s="135">
        <v>3</v>
      </c>
      <c r="G40" s="117"/>
      <c r="H40" s="330"/>
      <c r="I40" s="117"/>
      <c r="J40" s="117"/>
      <c r="K40" s="117"/>
      <c r="L40" s="118"/>
    </row>
    <row r="41" spans="2:12" ht="14.5" thickBot="1" x14ac:dyDescent="0.35">
      <c r="B41" s="116"/>
      <c r="C41" s="117"/>
      <c r="D41" s="117"/>
      <c r="E41" s="117"/>
      <c r="F41" s="117"/>
      <c r="G41" s="117"/>
      <c r="H41" s="330"/>
      <c r="I41" s="117"/>
      <c r="J41" s="117"/>
      <c r="K41" s="117"/>
      <c r="L41" s="118"/>
    </row>
    <row r="42" spans="2:12" ht="14.5" thickBot="1" x14ac:dyDescent="0.35">
      <c r="B42" s="116"/>
      <c r="C42" s="154" t="s">
        <v>140</v>
      </c>
      <c r="D42" s="117"/>
      <c r="E42" s="117"/>
      <c r="F42" s="158">
        <v>2</v>
      </c>
      <c r="G42" s="117"/>
      <c r="H42" s="330"/>
      <c r="I42" s="117"/>
      <c r="J42" s="117"/>
      <c r="K42" s="117"/>
      <c r="L42" s="118"/>
    </row>
    <row r="43" spans="2:12" x14ac:dyDescent="0.3">
      <c r="B43" s="116"/>
      <c r="C43" s="117" t="s">
        <v>141</v>
      </c>
      <c r="D43" s="117"/>
      <c r="E43" s="117"/>
      <c r="F43" s="135">
        <v>1</v>
      </c>
      <c r="G43" s="117"/>
      <c r="H43" s="330"/>
      <c r="I43" s="117"/>
      <c r="J43" s="117"/>
      <c r="K43" s="117"/>
      <c r="L43" s="118"/>
    </row>
    <row r="44" spans="2:12" ht="14.5" x14ac:dyDescent="0.35">
      <c r="B44" s="116"/>
      <c r="C44" s="117" t="s">
        <v>39</v>
      </c>
      <c r="D44" s="117"/>
      <c r="E44" s="117"/>
      <c r="F44" s="135">
        <v>2</v>
      </c>
      <c r="G44" s="117"/>
      <c r="H44" s="329" t="s">
        <v>1000</v>
      </c>
      <c r="I44" s="117"/>
      <c r="J44" s="117"/>
      <c r="K44" s="117"/>
      <c r="L44" s="118"/>
    </row>
    <row r="45" spans="2:12" x14ac:dyDescent="0.3">
      <c r="B45" s="116"/>
      <c r="C45" s="117" t="s">
        <v>9</v>
      </c>
      <c r="D45" s="117"/>
      <c r="E45" s="117"/>
      <c r="F45" s="135">
        <v>3</v>
      </c>
      <c r="G45" s="117"/>
      <c r="H45" s="330"/>
      <c r="I45" s="117"/>
      <c r="J45" s="117"/>
      <c r="K45" s="117"/>
      <c r="L45" s="118"/>
    </row>
    <row r="46" spans="2:12" x14ac:dyDescent="0.3">
      <c r="B46" s="116"/>
      <c r="C46" s="117"/>
      <c r="D46" s="117"/>
      <c r="E46" s="117"/>
      <c r="F46" s="135"/>
      <c r="G46" s="117"/>
      <c r="H46" s="330"/>
      <c r="I46" s="117"/>
      <c r="J46" s="117"/>
      <c r="K46" s="117"/>
      <c r="L46" s="118"/>
    </row>
    <row r="47" spans="2:12" ht="14.5" thickBot="1" x14ac:dyDescent="0.35">
      <c r="B47" s="116"/>
      <c r="C47" s="154" t="s">
        <v>142</v>
      </c>
      <c r="D47" s="117"/>
      <c r="E47" s="117"/>
      <c r="F47" s="135"/>
      <c r="G47" s="117"/>
      <c r="H47" s="330"/>
      <c r="I47" s="117"/>
      <c r="J47" s="117"/>
      <c r="K47" s="117"/>
      <c r="L47" s="118"/>
    </row>
    <row r="48" spans="2:12" ht="14.5" thickBot="1" x14ac:dyDescent="0.35">
      <c r="B48" s="116"/>
      <c r="C48" s="134" t="s">
        <v>139</v>
      </c>
      <c r="D48" s="117"/>
      <c r="E48" s="117"/>
      <c r="F48" s="158">
        <v>0.75</v>
      </c>
      <c r="G48" s="117"/>
      <c r="H48" s="330"/>
      <c r="I48" s="117"/>
      <c r="J48" s="117"/>
      <c r="K48" s="117"/>
      <c r="L48" s="118"/>
    </row>
    <row r="49" spans="2:12" ht="14.5" thickBot="1" x14ac:dyDescent="0.35">
      <c r="B49" s="116"/>
      <c r="C49" s="134" t="s">
        <v>143</v>
      </c>
      <c r="D49" s="117"/>
      <c r="E49" s="117"/>
      <c r="F49" s="158">
        <v>0.25</v>
      </c>
      <c r="G49" s="117"/>
      <c r="H49" s="330"/>
      <c r="I49" s="117"/>
      <c r="J49" s="117"/>
      <c r="K49" s="117"/>
      <c r="L49" s="118"/>
    </row>
    <row r="50" spans="2:12" ht="14.5" thickBot="1" x14ac:dyDescent="0.35">
      <c r="B50" s="116"/>
      <c r="C50" s="117"/>
      <c r="D50" s="117"/>
      <c r="E50" s="117"/>
      <c r="F50" s="117"/>
      <c r="G50" s="117"/>
      <c r="H50" s="330"/>
      <c r="I50" s="117"/>
      <c r="J50" s="117"/>
      <c r="K50" s="117"/>
      <c r="L50" s="118"/>
    </row>
    <row r="51" spans="2:12" ht="14.5" thickBot="1" x14ac:dyDescent="0.35">
      <c r="B51" s="116"/>
      <c r="C51" s="154" t="s">
        <v>146</v>
      </c>
      <c r="D51" s="117"/>
      <c r="E51" s="117"/>
      <c r="F51" s="213">
        <v>0</v>
      </c>
      <c r="G51" s="117"/>
      <c r="H51" s="330"/>
      <c r="I51" s="117"/>
      <c r="J51" s="117"/>
      <c r="K51" s="117"/>
      <c r="L51" s="118"/>
    </row>
    <row r="52" spans="2:12" ht="14.5" thickBot="1" x14ac:dyDescent="0.35">
      <c r="B52" s="116"/>
      <c r="C52" s="117"/>
      <c r="D52" s="117"/>
      <c r="E52" s="117"/>
      <c r="F52" s="117"/>
      <c r="G52" s="117"/>
      <c r="H52" s="330"/>
      <c r="I52" s="117"/>
      <c r="J52" s="117"/>
      <c r="K52" s="117"/>
      <c r="L52" s="118"/>
    </row>
    <row r="53" spans="2:12" ht="14.5" thickBot="1" x14ac:dyDescent="0.35">
      <c r="B53" s="116"/>
      <c r="C53" s="154" t="s">
        <v>890</v>
      </c>
      <c r="D53" s="117"/>
      <c r="E53" s="117"/>
      <c r="F53" s="158">
        <v>2</v>
      </c>
      <c r="G53" s="117"/>
      <c r="H53" s="330"/>
      <c r="I53" s="117"/>
      <c r="J53" s="117"/>
      <c r="K53" s="117"/>
      <c r="L53" s="118"/>
    </row>
    <row r="54" spans="2:12" x14ac:dyDescent="0.3">
      <c r="B54" s="116"/>
      <c r="C54" s="134" t="s">
        <v>146</v>
      </c>
      <c r="D54" s="117"/>
      <c r="E54" s="117"/>
      <c r="F54" s="135">
        <v>1</v>
      </c>
      <c r="G54" s="117"/>
      <c r="H54" s="330"/>
      <c r="I54" s="117"/>
      <c r="J54" s="117"/>
      <c r="K54" s="117"/>
      <c r="L54" s="118"/>
    </row>
    <row r="55" spans="2:12" x14ac:dyDescent="0.3">
      <c r="B55" s="116"/>
      <c r="C55" s="134" t="s">
        <v>891</v>
      </c>
      <c r="D55" s="117"/>
      <c r="E55" s="117"/>
      <c r="F55" s="135">
        <v>2</v>
      </c>
      <c r="G55" s="117"/>
      <c r="H55" s="330"/>
      <c r="I55" s="117"/>
      <c r="J55" s="117"/>
      <c r="K55" s="117"/>
      <c r="L55" s="118"/>
    </row>
    <row r="56" spans="2:12" ht="14.5" thickBot="1" x14ac:dyDescent="0.35">
      <c r="B56" s="116"/>
      <c r="C56" s="134"/>
      <c r="D56" s="117"/>
      <c r="E56" s="117"/>
      <c r="F56" s="117"/>
      <c r="G56" s="117"/>
      <c r="H56" s="330"/>
      <c r="I56" s="117"/>
      <c r="J56" s="117"/>
      <c r="K56" s="117"/>
      <c r="L56" s="118"/>
    </row>
    <row r="57" spans="2:12" ht="14.5" thickBot="1" x14ac:dyDescent="0.35">
      <c r="B57" s="116"/>
      <c r="C57" s="154" t="s">
        <v>881</v>
      </c>
      <c r="D57" s="117"/>
      <c r="E57" s="117"/>
      <c r="F57" s="158">
        <v>1</v>
      </c>
      <c r="G57" s="117"/>
      <c r="H57" s="330"/>
      <c r="I57" s="117"/>
      <c r="J57" s="117"/>
      <c r="K57" s="117"/>
      <c r="L57" s="118"/>
    </row>
    <row r="58" spans="2:12" ht="14.5" x14ac:dyDescent="0.35">
      <c r="B58" s="116"/>
      <c r="C58" s="117" t="s">
        <v>80</v>
      </c>
      <c r="D58" s="117"/>
      <c r="E58" s="117"/>
      <c r="F58" s="135">
        <v>1</v>
      </c>
      <c r="G58" s="117"/>
      <c r="H58" s="329" t="s">
        <v>1000</v>
      </c>
      <c r="I58" s="117"/>
      <c r="J58" s="117"/>
      <c r="K58" s="117"/>
      <c r="L58" s="118"/>
    </row>
    <row r="59" spans="2:12" x14ac:dyDescent="0.3">
      <c r="B59" s="116"/>
      <c r="C59" s="117" t="s">
        <v>79</v>
      </c>
      <c r="D59" s="117"/>
      <c r="E59" s="117"/>
      <c r="F59" s="135">
        <v>2</v>
      </c>
      <c r="G59" s="117"/>
      <c r="H59" s="330"/>
      <c r="I59" s="117"/>
      <c r="J59" s="117"/>
      <c r="K59" s="117"/>
      <c r="L59" s="118"/>
    </row>
    <row r="60" spans="2:12" x14ac:dyDescent="0.3">
      <c r="B60" s="116"/>
      <c r="C60" s="117" t="s">
        <v>81</v>
      </c>
      <c r="D60" s="117"/>
      <c r="E60" s="117"/>
      <c r="F60" s="135">
        <v>3</v>
      </c>
      <c r="G60" s="117"/>
      <c r="H60" s="330"/>
      <c r="I60" s="117"/>
      <c r="J60" s="117"/>
      <c r="K60" s="117"/>
      <c r="L60" s="118"/>
    </row>
    <row r="61" spans="2:12" x14ac:dyDescent="0.3">
      <c r="B61" s="116"/>
      <c r="C61" s="117" t="s">
        <v>148</v>
      </c>
      <c r="D61" s="117"/>
      <c r="E61" s="117"/>
      <c r="F61" s="135">
        <v>4</v>
      </c>
      <c r="G61" s="117"/>
      <c r="H61" s="330"/>
      <c r="I61" s="117"/>
      <c r="J61" s="117"/>
      <c r="K61" s="117"/>
      <c r="L61" s="118"/>
    </row>
    <row r="62" spans="2:12" x14ac:dyDescent="0.3">
      <c r="B62" s="116"/>
      <c r="C62" s="117" t="s">
        <v>39</v>
      </c>
      <c r="D62" s="117"/>
      <c r="E62" s="117"/>
      <c r="F62" s="135">
        <v>5</v>
      </c>
      <c r="G62" s="117"/>
      <c r="H62" s="330"/>
      <c r="I62" s="117"/>
      <c r="J62" s="117"/>
      <c r="K62" s="117"/>
      <c r="L62" s="118"/>
    </row>
    <row r="63" spans="2:12" x14ac:dyDescent="0.3">
      <c r="B63" s="116"/>
      <c r="C63" s="117" t="s">
        <v>145</v>
      </c>
      <c r="D63" s="117"/>
      <c r="E63" s="117"/>
      <c r="F63" s="135">
        <v>6</v>
      </c>
      <c r="G63" s="117"/>
      <c r="H63" s="330"/>
      <c r="I63" s="117"/>
      <c r="J63" s="117"/>
      <c r="K63" s="117"/>
      <c r="L63" s="118"/>
    </row>
    <row r="64" spans="2:12" ht="14.5" thickBot="1" x14ac:dyDescent="0.35">
      <c r="B64" s="116"/>
      <c r="C64" s="117"/>
      <c r="D64" s="117"/>
      <c r="E64" s="117"/>
      <c r="F64" s="117"/>
      <c r="G64" s="117"/>
      <c r="H64" s="330"/>
      <c r="I64" s="117"/>
      <c r="J64" s="117"/>
      <c r="K64" s="117"/>
      <c r="L64" s="118"/>
    </row>
    <row r="65" spans="2:12" ht="14.5" thickBot="1" x14ac:dyDescent="0.35">
      <c r="B65" s="116"/>
      <c r="C65" s="154" t="s">
        <v>882</v>
      </c>
      <c r="D65" s="117"/>
      <c r="E65" s="117"/>
      <c r="F65" s="214">
        <v>1.4999999999999999E-2</v>
      </c>
      <c r="G65" s="117"/>
      <c r="H65" s="330"/>
      <c r="I65" s="117"/>
      <c r="J65" s="117"/>
      <c r="K65" s="117"/>
      <c r="L65" s="118"/>
    </row>
    <row r="66" spans="2:12" ht="14.5" thickBot="1" x14ac:dyDescent="0.35">
      <c r="B66" s="119"/>
      <c r="C66" s="120"/>
      <c r="D66" s="120"/>
      <c r="E66" s="120"/>
      <c r="F66" s="120"/>
      <c r="G66" s="120"/>
      <c r="H66" s="331"/>
      <c r="I66" s="120"/>
      <c r="J66" s="120"/>
      <c r="K66" s="120"/>
      <c r="L66" s="121"/>
    </row>
  </sheetData>
  <dataValidations count="8">
    <dataValidation type="list" allowBlank="1" showInputMessage="1" showErrorMessage="1" sqref="F26">
      <formula1>$F$27:$F$35</formula1>
    </dataValidation>
    <dataValidation type="list" allowBlank="1" showInputMessage="1" showErrorMessage="1" sqref="F37">
      <formula1>$F$38:$F$40</formula1>
    </dataValidation>
    <dataValidation type="list" allowBlank="1" showInputMessage="1" showErrorMessage="1" sqref="F42">
      <formula1>$F$43:$F$45</formula1>
    </dataValidation>
    <dataValidation type="list" allowBlank="1" showInputMessage="1" showErrorMessage="1" sqref="F48:F49">
      <formula1>"0, 0.25, 0.5, 0.75, 1"</formula1>
    </dataValidation>
    <dataValidation type="list" allowBlank="1" showInputMessage="1" showErrorMessage="1" sqref="F51">
      <formula1>"0, 0.025, 0.05, 0.075, 0.10"</formula1>
    </dataValidation>
    <dataValidation type="list" allowBlank="1" showInputMessage="1" showErrorMessage="1" sqref="F65">
      <formula1>"0,0.005,0.0075,0.01,0.0125,0.015,0.0175,0.02,0.025,0.03"</formula1>
    </dataValidation>
    <dataValidation type="list" allowBlank="1" showInputMessage="1" showErrorMessage="1" sqref="F53">
      <formula1>$F$54:$F$55</formula1>
    </dataValidation>
    <dataValidation type="list" allowBlank="1" showInputMessage="1" showErrorMessage="1" sqref="F57">
      <formula1>$F$58:$F$63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AA84"/>
  <sheetViews>
    <sheetView topLeftCell="A40" zoomScale="80" zoomScaleNormal="80" workbookViewId="0">
      <selection activeCell="V68" sqref="V68:AA84"/>
    </sheetView>
  </sheetViews>
  <sheetFormatPr defaultRowHeight="14.5" x14ac:dyDescent="0.35"/>
  <cols>
    <col min="2" max="2" width="12" bestFit="1" customWidth="1"/>
    <col min="3" max="7" width="6.36328125" bestFit="1" customWidth="1"/>
    <col min="8" max="9" width="5.36328125" bestFit="1" customWidth="1"/>
    <col min="10" max="11" width="6.36328125" bestFit="1" customWidth="1"/>
    <col min="12" max="20" width="5.36328125" bestFit="1" customWidth="1"/>
    <col min="21" max="23" width="8.7265625" customWidth="1"/>
    <col min="24" max="24" width="6.1796875" customWidth="1"/>
  </cols>
  <sheetData>
    <row r="1" spans="1:27" ht="15" thickBot="1" x14ac:dyDescent="0.4">
      <c r="A1" s="229" t="s">
        <v>892</v>
      </c>
      <c r="B1" s="229"/>
      <c r="C1" s="229"/>
      <c r="D1" s="229"/>
      <c r="E1" s="229"/>
      <c r="F1" s="229"/>
      <c r="G1" s="229"/>
      <c r="H1" s="229"/>
      <c r="I1" s="229"/>
      <c r="J1" s="229"/>
      <c r="K1" s="229"/>
      <c r="L1" s="229"/>
      <c r="M1" s="229"/>
      <c r="N1" s="229"/>
      <c r="O1" s="229"/>
      <c r="P1" s="229"/>
      <c r="Q1" s="229"/>
      <c r="R1" s="229"/>
      <c r="S1" s="229"/>
      <c r="T1" s="229"/>
      <c r="U1" s="229"/>
      <c r="V1" s="229"/>
      <c r="W1" s="229"/>
      <c r="X1" s="229"/>
      <c r="Y1" s="229"/>
      <c r="Z1" s="229"/>
      <c r="AA1" s="229"/>
    </row>
    <row r="2" spans="1:27" ht="21" x14ac:dyDescent="0.5">
      <c r="A2" s="36" t="s">
        <v>86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6"/>
      <c r="U2" s="26" t="s">
        <v>51</v>
      </c>
      <c r="V2" s="26" t="s">
        <v>52</v>
      </c>
      <c r="W2" s="26" t="s">
        <v>52</v>
      </c>
      <c r="X2" s="26" t="s">
        <v>52</v>
      </c>
      <c r="Y2" s="26" t="s">
        <v>52</v>
      </c>
      <c r="Z2" s="26" t="s">
        <v>52</v>
      </c>
      <c r="AA2" s="27" t="s">
        <v>52</v>
      </c>
    </row>
    <row r="3" spans="1:27" ht="15" thickBot="1" x14ac:dyDescent="0.4">
      <c r="A3" s="31"/>
      <c r="B3" s="32"/>
      <c r="C3" s="33">
        <v>2000</v>
      </c>
      <c r="D3" s="33">
        <v>2001</v>
      </c>
      <c r="E3" s="33">
        <v>2002</v>
      </c>
      <c r="F3" s="33">
        <v>2003</v>
      </c>
      <c r="G3" s="33">
        <v>2004</v>
      </c>
      <c r="H3" s="33">
        <v>2005</v>
      </c>
      <c r="I3" s="33">
        <v>2006</v>
      </c>
      <c r="J3" s="33">
        <v>2007</v>
      </c>
      <c r="K3" s="33">
        <v>2008</v>
      </c>
      <c r="L3" s="33">
        <v>2009</v>
      </c>
      <c r="M3" s="33">
        <v>2010</v>
      </c>
      <c r="N3" s="33">
        <v>2011</v>
      </c>
      <c r="O3" s="33">
        <v>2012</v>
      </c>
      <c r="P3" s="33">
        <v>2013</v>
      </c>
      <c r="Q3" s="33">
        <v>2014</v>
      </c>
      <c r="R3" s="33">
        <v>2015</v>
      </c>
      <c r="S3" s="33">
        <v>2016</v>
      </c>
      <c r="T3" s="33">
        <v>2017</v>
      </c>
      <c r="U3" s="33">
        <v>2018</v>
      </c>
      <c r="V3" s="33">
        <v>2019</v>
      </c>
      <c r="W3" s="33">
        <v>2020</v>
      </c>
      <c r="X3" s="33">
        <v>2021</v>
      </c>
      <c r="Y3" s="33">
        <v>2022</v>
      </c>
      <c r="Z3" s="33">
        <v>2023</v>
      </c>
      <c r="AA3" s="34">
        <v>2024</v>
      </c>
    </row>
    <row r="4" spans="1:27" ht="15" thickBot="1" x14ac:dyDescent="0.4">
      <c r="A4" s="39" t="s">
        <v>87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1"/>
    </row>
    <row r="5" spans="1:27" x14ac:dyDescent="0.35">
      <c r="A5" s="12" t="s">
        <v>33</v>
      </c>
      <c r="B5" s="14" t="s">
        <v>906</v>
      </c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3">
        <f>'CML analysis 2'!B$4</f>
        <v>50.371549776589397</v>
      </c>
      <c r="W5" s="13">
        <f>'CML analysis 2'!C$4</f>
        <v>49.556903821357245</v>
      </c>
      <c r="X5" s="13">
        <f>'CML analysis 2'!D$4</f>
        <v>48.742257866125101</v>
      </c>
      <c r="Y5" s="13">
        <f>'CML analysis 2'!E$4</f>
        <v>47.927611910892956</v>
      </c>
      <c r="Z5" s="13">
        <f>'CML analysis 2'!F$4</f>
        <v>47.112965955660805</v>
      </c>
      <c r="AA5" s="19">
        <f>'CML analysis 2'!G$4</f>
        <v>46.29832000042866</v>
      </c>
    </row>
    <row r="6" spans="1:27" x14ac:dyDescent="0.35">
      <c r="A6" s="12" t="s">
        <v>33</v>
      </c>
      <c r="B6" s="14" t="s">
        <v>907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3"/>
      <c r="V6" s="13">
        <f>'CML analysis 2'!B$5</f>
        <v>57.860354044767853</v>
      </c>
      <c r="W6" s="13">
        <f>'CML analysis 2'!C$5</f>
        <v>57.045708089535701</v>
      </c>
      <c r="X6" s="13">
        <f>'CML analysis 2'!D$5</f>
        <v>56.231062134303556</v>
      </c>
      <c r="Y6" s="13">
        <f>'CML analysis 2'!E$5</f>
        <v>55.416416179071412</v>
      </c>
      <c r="Z6" s="13">
        <f>'CML analysis 2'!F$5</f>
        <v>54.60177022383926</v>
      </c>
      <c r="AA6" s="19">
        <f>'CML analysis 2'!G$5</f>
        <v>53.787124268607116</v>
      </c>
    </row>
    <row r="7" spans="1:27" x14ac:dyDescent="0.35">
      <c r="A7" s="12" t="s">
        <v>33</v>
      </c>
      <c r="B7" s="14" t="s">
        <v>908</v>
      </c>
      <c r="C7" s="13">
        <v>100.4</v>
      </c>
      <c r="D7" s="13">
        <v>114.7</v>
      </c>
      <c r="E7" s="13">
        <v>105.6</v>
      </c>
      <c r="F7" s="13">
        <v>89.2</v>
      </c>
      <c r="G7" s="13">
        <v>84.3</v>
      </c>
      <c r="H7" s="13">
        <v>73.099999999999994</v>
      </c>
      <c r="I7" s="13">
        <v>73.8</v>
      </c>
      <c r="J7" s="13">
        <v>82.899999999999991</v>
      </c>
      <c r="K7" s="13">
        <v>79.599999999999994</v>
      </c>
      <c r="L7" s="13">
        <v>62.2</v>
      </c>
      <c r="M7" s="13">
        <v>59.1</v>
      </c>
      <c r="N7" s="13">
        <v>66.3</v>
      </c>
      <c r="O7" s="13">
        <v>53.1</v>
      </c>
      <c r="P7" s="13">
        <v>53.099999999999994</v>
      </c>
      <c r="Q7" s="13">
        <v>52.5</v>
      </c>
      <c r="R7" s="13">
        <v>64.099999999999994</v>
      </c>
      <c r="S7" s="13">
        <v>62.4</v>
      </c>
      <c r="T7" s="13">
        <v>55.6</v>
      </c>
      <c r="U7" s="13"/>
      <c r="V7" s="13">
        <f>'CML analysis 2'!B$6</f>
        <v>57.860354044767853</v>
      </c>
      <c r="W7" s="13">
        <f>'CML analysis 2'!C$6</f>
        <v>57.045708089535701</v>
      </c>
      <c r="X7" s="13">
        <f>'CML analysis 2'!D$6</f>
        <v>56.231062134303556</v>
      </c>
      <c r="Y7" s="13">
        <f>'CML analysis 2'!E$6</f>
        <v>55.416416179071412</v>
      </c>
      <c r="Z7" s="13">
        <f>'CML analysis 2'!F$6</f>
        <v>54.60177022383926</v>
      </c>
      <c r="AA7" s="29">
        <f>'CML analysis 2'!G$6</f>
        <v>53.787124268607116</v>
      </c>
    </row>
    <row r="8" spans="1:27" x14ac:dyDescent="0.35">
      <c r="A8" s="12" t="s">
        <v>33</v>
      </c>
      <c r="B8" s="14" t="s">
        <v>909</v>
      </c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3"/>
      <c r="V8" s="13">
        <f>'CML analysis 2'!B$7</f>
        <v>57.860354044767853</v>
      </c>
      <c r="W8" s="13">
        <f>'CML analysis 2'!C$7</f>
        <v>57.045708089535701</v>
      </c>
      <c r="X8" s="13">
        <f>'CML analysis 2'!D$7</f>
        <v>56.231062134303556</v>
      </c>
      <c r="Y8" s="13">
        <f>'CML analysis 2'!E$7</f>
        <v>55.416416179071412</v>
      </c>
      <c r="Z8" s="13">
        <f>'CML analysis 2'!F$7</f>
        <v>54.60177022383926</v>
      </c>
      <c r="AA8" s="19">
        <f>'CML analysis 2'!G$7</f>
        <v>53.787124268607116</v>
      </c>
    </row>
    <row r="9" spans="1:27" ht="15" thickBot="1" x14ac:dyDescent="0.4">
      <c r="A9" s="12" t="s">
        <v>33</v>
      </c>
      <c r="B9" s="14" t="s">
        <v>910</v>
      </c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3">
        <f>'CML analysis 2'!B$8</f>
        <v>65.349158312946301</v>
      </c>
      <c r="W9" s="13">
        <f>'CML analysis 2'!C$8</f>
        <v>64.534512357714149</v>
      </c>
      <c r="X9" s="13">
        <f>'CML analysis 2'!D$8</f>
        <v>63.719866402482012</v>
      </c>
      <c r="Y9" s="13">
        <f>'CML analysis 2'!E$8</f>
        <v>62.905220447249867</v>
      </c>
      <c r="Z9" s="13">
        <f>'CML analysis 2'!F$8</f>
        <v>62.090574492017716</v>
      </c>
      <c r="AA9" s="19">
        <f>'CML analysis 2'!G$8</f>
        <v>61.275928536785571</v>
      </c>
    </row>
    <row r="10" spans="1:27" ht="15" thickBot="1" x14ac:dyDescent="0.4">
      <c r="A10" s="39" t="s">
        <v>88</v>
      </c>
      <c r="B10" s="37"/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8"/>
    </row>
    <row r="11" spans="1:27" x14ac:dyDescent="0.35">
      <c r="A11" s="12" t="s">
        <v>33</v>
      </c>
      <c r="B11" s="14" t="s">
        <v>906</v>
      </c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3">
        <f>'CML analysis 2'!B$10</f>
        <v>50.385195731821533</v>
      </c>
      <c r="W11" s="13">
        <f>'CML analysis 2'!C$10</f>
        <v>50.385195731821533</v>
      </c>
      <c r="X11" s="13">
        <f>'CML analysis 2'!D$10</f>
        <v>50.385195731821533</v>
      </c>
      <c r="Y11" s="13">
        <f>'CML analysis 2'!E$10</f>
        <v>50.385195731821533</v>
      </c>
      <c r="Z11" s="13">
        <f>'CML analysis 2'!F$10</f>
        <v>50.385195731821533</v>
      </c>
      <c r="AA11" s="19">
        <f>'CML analysis 2'!G$10</f>
        <v>50.385195731821533</v>
      </c>
    </row>
    <row r="12" spans="1:27" x14ac:dyDescent="0.35">
      <c r="A12" s="12" t="s">
        <v>33</v>
      </c>
      <c r="B12" s="14" t="s">
        <v>907</v>
      </c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3">
        <f>'CML analysis 2'!B$11</f>
        <v>57.873999999999988</v>
      </c>
      <c r="W12" s="13">
        <f>'CML analysis 2'!C$11</f>
        <v>57.873999999999988</v>
      </c>
      <c r="X12" s="13">
        <f>'CML analysis 2'!D$11</f>
        <v>57.873999999999988</v>
      </c>
      <c r="Y12" s="13">
        <f>'CML analysis 2'!E$11</f>
        <v>57.873999999999988</v>
      </c>
      <c r="Z12" s="13">
        <f>'CML analysis 2'!F$11</f>
        <v>57.873999999999988</v>
      </c>
      <c r="AA12" s="19">
        <f>'CML analysis 2'!G$11</f>
        <v>57.873999999999988</v>
      </c>
    </row>
    <row r="13" spans="1:27" x14ac:dyDescent="0.35">
      <c r="A13" s="12" t="s">
        <v>33</v>
      </c>
      <c r="B13" s="14" t="s">
        <v>911</v>
      </c>
      <c r="C13" s="13">
        <v>101.8</v>
      </c>
      <c r="D13" s="13">
        <v>99.4</v>
      </c>
      <c r="E13" s="13">
        <v>67.900000000000006</v>
      </c>
      <c r="F13" s="13">
        <v>46.8</v>
      </c>
      <c r="G13" s="13">
        <v>52.2</v>
      </c>
      <c r="H13" s="13">
        <v>50.4</v>
      </c>
      <c r="I13" s="13">
        <v>46.8</v>
      </c>
      <c r="J13" s="13">
        <v>50.1</v>
      </c>
      <c r="K13" s="13">
        <v>64.8</v>
      </c>
      <c r="L13" s="13">
        <v>63.2</v>
      </c>
      <c r="M13" s="13">
        <v>51.8</v>
      </c>
      <c r="N13" s="13">
        <v>58.7</v>
      </c>
      <c r="O13" s="13">
        <v>59.2</v>
      </c>
      <c r="P13" s="13">
        <v>54.5</v>
      </c>
      <c r="Q13" s="13">
        <v>47.6</v>
      </c>
      <c r="R13" s="13">
        <v>52.3</v>
      </c>
      <c r="S13" s="13">
        <v>70.2</v>
      </c>
      <c r="T13" s="30">
        <v>57.873999999999988</v>
      </c>
      <c r="U13" s="30"/>
      <c r="V13" s="30">
        <f>'CML analysis 2'!B$12</f>
        <v>57.873999999999988</v>
      </c>
      <c r="W13" s="30">
        <f>'CML analysis 2'!C$12</f>
        <v>57.873999999999988</v>
      </c>
      <c r="X13" s="30">
        <f>'CML analysis 2'!D$12</f>
        <v>57.873999999999988</v>
      </c>
      <c r="Y13" s="30">
        <f>'CML analysis 2'!E$12</f>
        <v>57.873999999999988</v>
      </c>
      <c r="Z13" s="30">
        <f>'CML analysis 2'!F$12</f>
        <v>57.873999999999988</v>
      </c>
      <c r="AA13" s="29">
        <f>'CML analysis 2'!G$12</f>
        <v>57.873999999999988</v>
      </c>
    </row>
    <row r="14" spans="1:27" x14ac:dyDescent="0.35">
      <c r="A14" s="12" t="s">
        <v>33</v>
      </c>
      <c r="B14" s="14" t="s">
        <v>909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3">
        <f>'CML analysis 2'!B$13</f>
        <v>57.873999999999988</v>
      </c>
      <c r="W14" s="13">
        <f>'CML analysis 2'!C$13</f>
        <v>57.873999999999988</v>
      </c>
      <c r="X14" s="13">
        <f>'CML analysis 2'!D$13</f>
        <v>57.873999999999988</v>
      </c>
      <c r="Y14" s="13">
        <f>'CML analysis 2'!E$13</f>
        <v>57.873999999999988</v>
      </c>
      <c r="Z14" s="13">
        <f>'CML analysis 2'!F$13</f>
        <v>57.873999999999988</v>
      </c>
      <c r="AA14" s="19">
        <f>'CML analysis 2'!G$13</f>
        <v>57.873999999999988</v>
      </c>
    </row>
    <row r="15" spans="1:27" ht="15" thickBot="1" x14ac:dyDescent="0.4">
      <c r="A15" s="12" t="s">
        <v>33</v>
      </c>
      <c r="B15" s="14" t="s">
        <v>910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3">
        <f>'CML analysis 2'!B$14</f>
        <v>65.362804268178436</v>
      </c>
      <c r="W15" s="13">
        <f>'CML analysis 2'!C$14</f>
        <v>65.362804268178436</v>
      </c>
      <c r="X15" s="13">
        <f>'CML analysis 2'!D$14</f>
        <v>65.362804268178436</v>
      </c>
      <c r="Y15" s="13">
        <f>'CML analysis 2'!E$14</f>
        <v>65.362804268178436</v>
      </c>
      <c r="Z15" s="13">
        <f>'CML analysis 2'!F$14</f>
        <v>65.362804268178436</v>
      </c>
      <c r="AA15" s="19">
        <f>'CML analysis 2'!G$14</f>
        <v>65.362804268178436</v>
      </c>
    </row>
    <row r="16" spans="1:27" ht="15" thickBot="1" x14ac:dyDescent="0.4">
      <c r="A16" s="39" t="s">
        <v>89</v>
      </c>
      <c r="B16" s="40"/>
      <c r="C16" s="40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8"/>
    </row>
    <row r="17" spans="1:27" x14ac:dyDescent="0.35">
      <c r="A17" s="12" t="s">
        <v>33</v>
      </c>
      <c r="B17" s="14" t="s">
        <v>906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3">
        <f>'CML analysis 2'!B$16</f>
        <v>75.56414764250016</v>
      </c>
      <c r="W17" s="13">
        <f>'CML analysis 2'!C$16</f>
        <v>74.749501687268008</v>
      </c>
      <c r="X17" s="13">
        <f>'CML analysis 2'!D$16</f>
        <v>73.934855732035871</v>
      </c>
      <c r="Y17" s="13">
        <f>'CML analysis 2'!E$16</f>
        <v>73.120209776803719</v>
      </c>
      <c r="Z17" s="13">
        <f>'CML analysis 2'!F$16</f>
        <v>72.305563821571567</v>
      </c>
      <c r="AA17" s="19">
        <f>'CML analysis 2'!G$16</f>
        <v>71.49091786633943</v>
      </c>
    </row>
    <row r="18" spans="1:27" x14ac:dyDescent="0.35">
      <c r="A18" s="12" t="s">
        <v>33</v>
      </c>
      <c r="B18" s="14" t="s">
        <v>907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3">
        <f>'CML analysis 2'!B$17</f>
        <v>86.797354044767843</v>
      </c>
      <c r="W18" s="13">
        <f>'CML analysis 2'!C$17</f>
        <v>85.982708089535691</v>
      </c>
      <c r="X18" s="13">
        <f>'CML analysis 2'!D$17</f>
        <v>85.168062134303554</v>
      </c>
      <c r="Y18" s="13">
        <f>'CML analysis 2'!E$17</f>
        <v>84.353416179071402</v>
      </c>
      <c r="Z18" s="13">
        <f>'CML analysis 2'!F$17</f>
        <v>83.538770223839251</v>
      </c>
      <c r="AA18" s="19">
        <f>'CML analysis 2'!G$17</f>
        <v>82.724124268607113</v>
      </c>
    </row>
    <row r="19" spans="1:27" x14ac:dyDescent="0.35">
      <c r="A19" s="12" t="s">
        <v>33</v>
      </c>
      <c r="B19" s="14" t="s">
        <v>912</v>
      </c>
      <c r="C19" s="30">
        <v>151.30000000000001</v>
      </c>
      <c r="D19" s="30">
        <v>164.4</v>
      </c>
      <c r="E19" s="30">
        <v>139.55000000000001</v>
      </c>
      <c r="F19" s="30">
        <v>112.6</v>
      </c>
      <c r="G19" s="30">
        <v>110.4</v>
      </c>
      <c r="H19" s="30">
        <v>98.3</v>
      </c>
      <c r="I19" s="30">
        <v>97.199999999999989</v>
      </c>
      <c r="J19" s="30">
        <v>107.94999999999999</v>
      </c>
      <c r="K19" s="30">
        <v>112</v>
      </c>
      <c r="L19" s="30">
        <v>93.800000000000011</v>
      </c>
      <c r="M19" s="30">
        <v>85</v>
      </c>
      <c r="N19" s="30">
        <v>95.65</v>
      </c>
      <c r="O19" s="30">
        <v>82.7</v>
      </c>
      <c r="P19" s="30">
        <v>80.349999999999994</v>
      </c>
      <c r="Q19" s="30">
        <v>76.3</v>
      </c>
      <c r="R19" s="30">
        <v>90.25</v>
      </c>
      <c r="S19" s="30">
        <v>97.5</v>
      </c>
      <c r="T19" s="30">
        <v>84.536999999999992</v>
      </c>
      <c r="U19" s="30"/>
      <c r="V19" s="30">
        <f>'CML analysis 2'!B$18</f>
        <v>86.797354044767843</v>
      </c>
      <c r="W19" s="30">
        <f>'CML analysis 2'!C$18</f>
        <v>85.982708089535691</v>
      </c>
      <c r="X19" s="30">
        <f>'CML analysis 2'!D$18</f>
        <v>85.168062134303554</v>
      </c>
      <c r="Y19" s="30">
        <f>'CML analysis 2'!E$18</f>
        <v>84.353416179071402</v>
      </c>
      <c r="Z19" s="30">
        <f>'CML analysis 2'!F$18</f>
        <v>83.538770223839251</v>
      </c>
      <c r="AA19" s="29">
        <f>'CML analysis 2'!G$18</f>
        <v>82.724124268607113</v>
      </c>
    </row>
    <row r="20" spans="1:27" x14ac:dyDescent="0.35">
      <c r="A20" s="12" t="s">
        <v>33</v>
      </c>
      <c r="B20" s="14" t="s">
        <v>909</v>
      </c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3">
        <f>'CML analysis 2'!B$19</f>
        <v>86.797354044767843</v>
      </c>
      <c r="W20" s="13">
        <f>'CML analysis 2'!C$19</f>
        <v>85.982708089535691</v>
      </c>
      <c r="X20" s="13">
        <f>'CML analysis 2'!D$19</f>
        <v>85.168062134303554</v>
      </c>
      <c r="Y20" s="13">
        <f>'CML analysis 2'!E$19</f>
        <v>84.353416179071402</v>
      </c>
      <c r="Z20" s="13">
        <f>'CML analysis 2'!F$19</f>
        <v>83.538770223839251</v>
      </c>
      <c r="AA20" s="19">
        <f>'CML analysis 2'!G$19</f>
        <v>82.724124268607113</v>
      </c>
    </row>
    <row r="21" spans="1:27" ht="15" thickBot="1" x14ac:dyDescent="0.4">
      <c r="A21" s="16" t="s">
        <v>33</v>
      </c>
      <c r="B21" s="18" t="s">
        <v>910</v>
      </c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7">
        <f>'CML analysis 2'!B$20</f>
        <v>98.030560447035526</v>
      </c>
      <c r="W21" s="17">
        <f>'CML analysis 2'!C$20</f>
        <v>97.215914491803375</v>
      </c>
      <c r="X21" s="17">
        <f>'CML analysis 2'!D$20</f>
        <v>96.401268536571223</v>
      </c>
      <c r="Y21" s="17">
        <f>'CML analysis 2'!E$20</f>
        <v>95.586622581339086</v>
      </c>
      <c r="Z21" s="17">
        <f>'CML analysis 2'!F$20</f>
        <v>94.771976626106934</v>
      </c>
      <c r="AA21" s="20">
        <f>'CML analysis 2'!G$20</f>
        <v>93.957330670874796</v>
      </c>
    </row>
    <row r="22" spans="1:27" ht="15" thickBot="1" x14ac:dyDescent="0.4">
      <c r="A22" s="229" t="s">
        <v>893</v>
      </c>
      <c r="B22" s="229"/>
      <c r="C22" s="229"/>
      <c r="D22" s="229"/>
      <c r="E22" s="229"/>
      <c r="F22" s="229"/>
      <c r="G22" s="229"/>
      <c r="H22" s="229"/>
      <c r="I22" s="229"/>
      <c r="J22" s="229"/>
      <c r="K22" s="229"/>
      <c r="L22" s="229"/>
      <c r="M22" s="229"/>
      <c r="N22" s="229"/>
      <c r="O22" s="229"/>
      <c r="P22" s="229"/>
      <c r="Q22" s="229"/>
      <c r="R22" s="229"/>
      <c r="S22" s="229"/>
      <c r="T22" s="229"/>
      <c r="U22" s="229"/>
      <c r="V22" s="229"/>
      <c r="W22" s="229"/>
      <c r="X22" s="229"/>
      <c r="Y22" s="229"/>
      <c r="Z22" s="229"/>
      <c r="AA22" s="229"/>
    </row>
    <row r="23" spans="1:27" ht="21" x14ac:dyDescent="0.5">
      <c r="A23" s="36" t="s">
        <v>86</v>
      </c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6"/>
      <c r="U23" s="26" t="s">
        <v>51</v>
      </c>
      <c r="V23" s="26" t="s">
        <v>52</v>
      </c>
      <c r="W23" s="26" t="s">
        <v>52</v>
      </c>
      <c r="X23" s="26" t="s">
        <v>52</v>
      </c>
      <c r="Y23" s="26" t="s">
        <v>52</v>
      </c>
      <c r="Z23" s="26" t="s">
        <v>52</v>
      </c>
      <c r="AA23" s="27" t="s">
        <v>52</v>
      </c>
    </row>
    <row r="24" spans="1:27" ht="15" thickBot="1" x14ac:dyDescent="0.4">
      <c r="A24" s="31"/>
      <c r="B24" s="32"/>
      <c r="C24" s="33">
        <v>2000</v>
      </c>
      <c r="D24" s="33">
        <v>2001</v>
      </c>
      <c r="E24" s="33">
        <v>2002</v>
      </c>
      <c r="F24" s="33">
        <v>2003</v>
      </c>
      <c r="G24" s="33">
        <v>2004</v>
      </c>
      <c r="H24" s="33">
        <v>2005</v>
      </c>
      <c r="I24" s="33">
        <v>2006</v>
      </c>
      <c r="J24" s="33">
        <v>2007</v>
      </c>
      <c r="K24" s="33">
        <v>2008</v>
      </c>
      <c r="L24" s="33">
        <v>2009</v>
      </c>
      <c r="M24" s="33">
        <v>2010</v>
      </c>
      <c r="N24" s="33">
        <v>2011</v>
      </c>
      <c r="O24" s="33">
        <v>2012</v>
      </c>
      <c r="P24" s="33">
        <v>2013</v>
      </c>
      <c r="Q24" s="33">
        <v>2014</v>
      </c>
      <c r="R24" s="33">
        <v>2015</v>
      </c>
      <c r="S24" s="33">
        <v>2016</v>
      </c>
      <c r="T24" s="33">
        <v>2017</v>
      </c>
      <c r="U24" s="33">
        <v>2018</v>
      </c>
      <c r="V24" s="33">
        <v>2019</v>
      </c>
      <c r="W24" s="33">
        <v>2020</v>
      </c>
      <c r="X24" s="33">
        <v>2021</v>
      </c>
      <c r="Y24" s="33">
        <v>2022</v>
      </c>
      <c r="Z24" s="33">
        <v>2023</v>
      </c>
      <c r="AA24" s="34">
        <v>2024</v>
      </c>
    </row>
    <row r="25" spans="1:27" ht="15" thickBot="1" x14ac:dyDescent="0.4">
      <c r="A25" s="39" t="s">
        <v>87</v>
      </c>
      <c r="B25" s="40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1"/>
    </row>
    <row r="26" spans="1:27" x14ac:dyDescent="0.35">
      <c r="A26" s="12" t="s">
        <v>33</v>
      </c>
      <c r="B26" s="14" t="s">
        <v>913</v>
      </c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3">
        <v>49.630074411076464</v>
      </c>
      <c r="W26" s="13">
        <v>48.073953090331393</v>
      </c>
      <c r="X26" s="13">
        <v>46.517831769586316</v>
      </c>
      <c r="Y26" s="13">
        <v>44.961710448841238</v>
      </c>
      <c r="Z26" s="13">
        <v>43.405589128096167</v>
      </c>
      <c r="AA26" s="19">
        <v>41.84946780735109</v>
      </c>
    </row>
    <row r="27" spans="1:27" x14ac:dyDescent="0.35">
      <c r="A27" s="12" t="s">
        <v>33</v>
      </c>
      <c r="B27" s="14" t="s">
        <v>914</v>
      </c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3"/>
      <c r="V27" s="13">
        <v>57.118878679254919</v>
      </c>
      <c r="W27" s="13">
        <v>55.562757358509849</v>
      </c>
      <c r="X27" s="13">
        <v>54.006636037764771</v>
      </c>
      <c r="Y27" s="13">
        <v>52.450514717019693</v>
      </c>
      <c r="Z27" s="13">
        <v>50.894393396274623</v>
      </c>
      <c r="AA27" s="19">
        <v>49.338272075529545</v>
      </c>
    </row>
    <row r="28" spans="1:27" x14ac:dyDescent="0.35">
      <c r="A28" s="12" t="s">
        <v>33</v>
      </c>
      <c r="B28" s="14" t="s">
        <v>915</v>
      </c>
      <c r="C28" s="13">
        <v>100.4</v>
      </c>
      <c r="D28" s="13">
        <v>114.7</v>
      </c>
      <c r="E28" s="13">
        <v>105.6</v>
      </c>
      <c r="F28" s="13">
        <v>89.2</v>
      </c>
      <c r="G28" s="13">
        <v>84.3</v>
      </c>
      <c r="H28" s="13">
        <v>73.099999999999994</v>
      </c>
      <c r="I28" s="13">
        <v>73.8</v>
      </c>
      <c r="J28" s="13">
        <v>82.899999999999991</v>
      </c>
      <c r="K28" s="13">
        <v>79.599999999999994</v>
      </c>
      <c r="L28" s="13">
        <v>62.2</v>
      </c>
      <c r="M28" s="13">
        <v>59.1</v>
      </c>
      <c r="N28" s="13">
        <v>66.3</v>
      </c>
      <c r="O28" s="13">
        <v>53.1</v>
      </c>
      <c r="P28" s="13">
        <v>53.099999999999994</v>
      </c>
      <c r="Q28" s="13">
        <v>52.5</v>
      </c>
      <c r="R28" s="13">
        <v>64.099999999999994</v>
      </c>
      <c r="S28" s="13">
        <v>62.4</v>
      </c>
      <c r="T28" s="13">
        <v>55.6</v>
      </c>
      <c r="U28" s="13"/>
      <c r="V28" s="13">
        <v>57.118878679254919</v>
      </c>
      <c r="W28" s="13">
        <v>55.562757358509849</v>
      </c>
      <c r="X28" s="13">
        <v>54.006636037764771</v>
      </c>
      <c r="Y28" s="13">
        <v>52.450514717019693</v>
      </c>
      <c r="Z28" s="13">
        <v>50.894393396274623</v>
      </c>
      <c r="AA28" s="29">
        <v>49.338272075529545</v>
      </c>
    </row>
    <row r="29" spans="1:27" x14ac:dyDescent="0.35">
      <c r="A29" s="12" t="s">
        <v>33</v>
      </c>
      <c r="B29" s="14" t="s">
        <v>916</v>
      </c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3"/>
      <c r="V29" s="13">
        <v>57.118878679254919</v>
      </c>
      <c r="W29" s="13">
        <v>55.562757358509849</v>
      </c>
      <c r="X29" s="13">
        <v>54.006636037764771</v>
      </c>
      <c r="Y29" s="13">
        <v>52.450514717019693</v>
      </c>
      <c r="Z29" s="13">
        <v>50.894393396274623</v>
      </c>
      <c r="AA29" s="19">
        <v>49.338272075529545</v>
      </c>
    </row>
    <row r="30" spans="1:27" ht="15" thickBot="1" x14ac:dyDescent="0.4">
      <c r="A30" s="12" t="s">
        <v>33</v>
      </c>
      <c r="B30" s="14" t="s">
        <v>917</v>
      </c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3">
        <v>64.607682947433375</v>
      </c>
      <c r="W30" s="13">
        <v>63.051561626688304</v>
      </c>
      <c r="X30" s="13">
        <v>61.495440305943227</v>
      </c>
      <c r="Y30" s="13">
        <v>59.939318985198149</v>
      </c>
      <c r="Z30" s="13">
        <v>58.383197664453078</v>
      </c>
      <c r="AA30" s="19">
        <v>56.827076343708001</v>
      </c>
    </row>
    <row r="31" spans="1:27" ht="15" thickBot="1" x14ac:dyDescent="0.4">
      <c r="A31" s="39" t="s">
        <v>88</v>
      </c>
      <c r="B31" s="37"/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8"/>
    </row>
    <row r="32" spans="1:27" x14ac:dyDescent="0.35">
      <c r="A32" s="12" t="s">
        <v>33</v>
      </c>
      <c r="B32" s="14" t="s">
        <v>76</v>
      </c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3">
        <v>50.385195731821533</v>
      </c>
      <c r="W32" s="13">
        <v>50.385195731821533</v>
      </c>
      <c r="X32" s="13">
        <v>50.385195731821533</v>
      </c>
      <c r="Y32" s="13">
        <v>50.385195731821533</v>
      </c>
      <c r="Z32" s="13">
        <v>50.385195731821533</v>
      </c>
      <c r="AA32" s="19">
        <v>50.385195731821533</v>
      </c>
    </row>
    <row r="33" spans="1:27" x14ac:dyDescent="0.35">
      <c r="A33" s="12" t="s">
        <v>33</v>
      </c>
      <c r="B33" s="14" t="s">
        <v>53</v>
      </c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3">
        <v>57.873999999999988</v>
      </c>
      <c r="W33" s="13">
        <v>57.873999999999988</v>
      </c>
      <c r="X33" s="13">
        <v>57.873999999999988</v>
      </c>
      <c r="Y33" s="13">
        <v>57.873999999999988</v>
      </c>
      <c r="Z33" s="13">
        <v>57.873999999999988</v>
      </c>
      <c r="AA33" s="19">
        <v>57.873999999999988</v>
      </c>
    </row>
    <row r="34" spans="1:27" x14ac:dyDescent="0.35">
      <c r="A34" s="12" t="s">
        <v>33</v>
      </c>
      <c r="B34" s="14" t="s">
        <v>36</v>
      </c>
      <c r="C34" s="13">
        <v>101.8</v>
      </c>
      <c r="D34" s="13">
        <v>99.4</v>
      </c>
      <c r="E34" s="13">
        <v>67.900000000000006</v>
      </c>
      <c r="F34" s="13">
        <v>46.8</v>
      </c>
      <c r="G34" s="13">
        <v>52.2</v>
      </c>
      <c r="H34" s="13">
        <v>50.4</v>
      </c>
      <c r="I34" s="13">
        <v>46.8</v>
      </c>
      <c r="J34" s="13">
        <v>50.1</v>
      </c>
      <c r="K34" s="13">
        <v>64.8</v>
      </c>
      <c r="L34" s="13">
        <v>63.2</v>
      </c>
      <c r="M34" s="13">
        <v>51.8</v>
      </c>
      <c r="N34" s="13">
        <v>58.7</v>
      </c>
      <c r="O34" s="13">
        <v>59.2</v>
      </c>
      <c r="P34" s="13">
        <v>54.5</v>
      </c>
      <c r="Q34" s="13">
        <v>47.6</v>
      </c>
      <c r="R34" s="13">
        <v>52.3</v>
      </c>
      <c r="S34" s="13">
        <v>70.2</v>
      </c>
      <c r="T34" s="30">
        <v>57.873999999999988</v>
      </c>
      <c r="U34" s="30"/>
      <c r="V34" s="30">
        <v>57.873999999999988</v>
      </c>
      <c r="W34" s="30">
        <v>57.873999999999988</v>
      </c>
      <c r="X34" s="30">
        <v>57.873999999999988</v>
      </c>
      <c r="Y34" s="30">
        <v>57.873999999999988</v>
      </c>
      <c r="Z34" s="30">
        <v>57.873999999999988</v>
      </c>
      <c r="AA34" s="29">
        <v>57.873999999999988</v>
      </c>
    </row>
    <row r="35" spans="1:27" x14ac:dyDescent="0.35">
      <c r="A35" s="12" t="s">
        <v>33</v>
      </c>
      <c r="B35" s="14" t="s">
        <v>54</v>
      </c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3">
        <v>57.873999999999988</v>
      </c>
      <c r="W35" s="13">
        <v>57.873999999999988</v>
      </c>
      <c r="X35" s="13">
        <v>57.873999999999988</v>
      </c>
      <c r="Y35" s="13">
        <v>57.873999999999988</v>
      </c>
      <c r="Z35" s="13">
        <v>57.873999999999988</v>
      </c>
      <c r="AA35" s="19">
        <v>57.873999999999988</v>
      </c>
    </row>
    <row r="36" spans="1:27" ht="15" thickBot="1" x14ac:dyDescent="0.4">
      <c r="A36" s="12" t="s">
        <v>33</v>
      </c>
      <c r="B36" s="14" t="s">
        <v>77</v>
      </c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3">
        <v>65.362804268178436</v>
      </c>
      <c r="W36" s="13">
        <v>65.362804268178436</v>
      </c>
      <c r="X36" s="13">
        <v>65.362804268178436</v>
      </c>
      <c r="Y36" s="13">
        <v>65.362804268178436</v>
      </c>
      <c r="Z36" s="13">
        <v>65.362804268178436</v>
      </c>
      <c r="AA36" s="19">
        <v>65.362804268178436</v>
      </c>
    </row>
    <row r="37" spans="1:27" ht="15" thickBot="1" x14ac:dyDescent="0.4">
      <c r="A37" s="39" t="s">
        <v>89</v>
      </c>
      <c r="B37" s="40"/>
      <c r="C37" s="40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8"/>
    </row>
    <row r="38" spans="1:27" x14ac:dyDescent="0.35">
      <c r="A38" s="12" t="s">
        <v>33</v>
      </c>
      <c r="B38" s="14" t="s">
        <v>76</v>
      </c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3">
        <v>74.822672276987234</v>
      </c>
      <c r="W38" s="13">
        <v>73.266550956242156</v>
      </c>
      <c r="X38" s="13">
        <v>71.710429635497078</v>
      </c>
      <c r="Y38" s="13">
        <v>70.154308314752001</v>
      </c>
      <c r="Z38" s="13">
        <v>68.598186994006937</v>
      </c>
      <c r="AA38" s="19">
        <v>67.04206567326186</v>
      </c>
    </row>
    <row r="39" spans="1:27" x14ac:dyDescent="0.35">
      <c r="A39" s="12" t="s">
        <v>33</v>
      </c>
      <c r="B39" s="14" t="s">
        <v>53</v>
      </c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3">
        <v>86.055878679254917</v>
      </c>
      <c r="W39" s="13">
        <v>84.499757358509839</v>
      </c>
      <c r="X39" s="13">
        <v>82.943636037764762</v>
      </c>
      <c r="Y39" s="13">
        <v>81.387514717019684</v>
      </c>
      <c r="Z39" s="13">
        <v>79.83139339627462</v>
      </c>
      <c r="AA39" s="19">
        <v>78.275272075529543</v>
      </c>
    </row>
    <row r="40" spans="1:27" x14ac:dyDescent="0.35">
      <c r="A40" s="12" t="s">
        <v>33</v>
      </c>
      <c r="B40" s="14" t="s">
        <v>49</v>
      </c>
      <c r="C40" s="30">
        <v>151.30000000000001</v>
      </c>
      <c r="D40" s="30">
        <v>164.4</v>
      </c>
      <c r="E40" s="30">
        <v>139.55000000000001</v>
      </c>
      <c r="F40" s="30">
        <v>112.6</v>
      </c>
      <c r="G40" s="30">
        <v>110.4</v>
      </c>
      <c r="H40" s="30">
        <v>98.3</v>
      </c>
      <c r="I40" s="30">
        <v>97.199999999999989</v>
      </c>
      <c r="J40" s="30">
        <v>107.94999999999999</v>
      </c>
      <c r="K40" s="30">
        <v>112</v>
      </c>
      <c r="L40" s="30">
        <v>93.800000000000011</v>
      </c>
      <c r="M40" s="30">
        <v>85</v>
      </c>
      <c r="N40" s="30">
        <v>95.65</v>
      </c>
      <c r="O40" s="30">
        <v>82.7</v>
      </c>
      <c r="P40" s="30">
        <v>80.349999999999994</v>
      </c>
      <c r="Q40" s="30">
        <v>76.3</v>
      </c>
      <c r="R40" s="30">
        <v>90.25</v>
      </c>
      <c r="S40" s="30">
        <v>97.5</v>
      </c>
      <c r="T40" s="30">
        <v>84.536999999999992</v>
      </c>
      <c r="U40" s="30"/>
      <c r="V40" s="30">
        <v>86.055878679254917</v>
      </c>
      <c r="W40" s="30">
        <v>84.499757358509839</v>
      </c>
      <c r="X40" s="30">
        <v>82.943636037764762</v>
      </c>
      <c r="Y40" s="30">
        <v>81.387514717019684</v>
      </c>
      <c r="Z40" s="30">
        <v>79.83139339627462</v>
      </c>
      <c r="AA40" s="29">
        <v>78.275272075529543</v>
      </c>
    </row>
    <row r="41" spans="1:27" x14ac:dyDescent="0.35">
      <c r="A41" s="12" t="s">
        <v>33</v>
      </c>
      <c r="B41" s="14" t="s">
        <v>54</v>
      </c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3">
        <v>86.055878679254917</v>
      </c>
      <c r="W41" s="13">
        <v>84.499757358509839</v>
      </c>
      <c r="X41" s="13">
        <v>82.943636037764762</v>
      </c>
      <c r="Y41" s="13">
        <v>81.387514717019684</v>
      </c>
      <c r="Z41" s="13">
        <v>79.83139339627462</v>
      </c>
      <c r="AA41" s="19">
        <v>78.275272075529543</v>
      </c>
    </row>
    <row r="42" spans="1:27" ht="15" thickBot="1" x14ac:dyDescent="0.4">
      <c r="A42" s="16" t="s">
        <v>33</v>
      </c>
      <c r="B42" s="18" t="s">
        <v>77</v>
      </c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7">
        <v>97.289085081522586</v>
      </c>
      <c r="W42" s="17">
        <v>95.732963760777523</v>
      </c>
      <c r="X42" s="17">
        <v>94.176842440032445</v>
      </c>
      <c r="Y42" s="17">
        <v>92.620721119287367</v>
      </c>
      <c r="Z42" s="17">
        <v>91.064599798542304</v>
      </c>
      <c r="AA42" s="20">
        <v>89.508478477797212</v>
      </c>
    </row>
    <row r="43" spans="1:27" ht="15" thickBot="1" x14ac:dyDescent="0.4">
      <c r="A43" s="229" t="s">
        <v>894</v>
      </c>
      <c r="B43" s="229"/>
      <c r="C43" s="229"/>
      <c r="D43" s="229"/>
      <c r="E43" s="229"/>
      <c r="F43" s="229"/>
      <c r="G43" s="229"/>
      <c r="H43" s="229"/>
      <c r="I43" s="229"/>
      <c r="J43" s="229"/>
      <c r="K43" s="229"/>
      <c r="L43" s="229"/>
      <c r="M43" s="229"/>
      <c r="N43" s="229"/>
      <c r="O43" s="229"/>
      <c r="P43" s="229"/>
      <c r="Q43" s="229"/>
      <c r="R43" s="229"/>
      <c r="S43" s="229"/>
      <c r="T43" s="229"/>
      <c r="U43" s="229"/>
      <c r="V43" s="229"/>
      <c r="W43" s="229"/>
      <c r="X43" s="229"/>
      <c r="Y43" s="229"/>
      <c r="Z43" s="229"/>
      <c r="AA43" s="229"/>
    </row>
    <row r="44" spans="1:27" ht="21" x14ac:dyDescent="0.5">
      <c r="A44" s="36" t="s">
        <v>86</v>
      </c>
      <c r="B44" s="25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5"/>
      <c r="S44" s="25"/>
      <c r="T44" s="26"/>
      <c r="U44" s="26" t="s">
        <v>51</v>
      </c>
      <c r="V44" s="26" t="s">
        <v>52</v>
      </c>
      <c r="W44" s="26" t="s">
        <v>52</v>
      </c>
      <c r="X44" s="26" t="s">
        <v>52</v>
      </c>
      <c r="Y44" s="26" t="s">
        <v>52</v>
      </c>
      <c r="Z44" s="26" t="s">
        <v>52</v>
      </c>
      <c r="AA44" s="27" t="s">
        <v>52</v>
      </c>
    </row>
    <row r="45" spans="1:27" ht="15" thickBot="1" x14ac:dyDescent="0.4">
      <c r="A45" s="31"/>
      <c r="B45" s="32"/>
      <c r="C45" s="33">
        <v>2000</v>
      </c>
      <c r="D45" s="33">
        <v>2001</v>
      </c>
      <c r="E45" s="33">
        <v>2002</v>
      </c>
      <c r="F45" s="33">
        <v>2003</v>
      </c>
      <c r="G45" s="33">
        <v>2004</v>
      </c>
      <c r="H45" s="33">
        <v>2005</v>
      </c>
      <c r="I45" s="33">
        <v>2006</v>
      </c>
      <c r="J45" s="33">
        <v>2007</v>
      </c>
      <c r="K45" s="33">
        <v>2008</v>
      </c>
      <c r="L45" s="33">
        <v>2009</v>
      </c>
      <c r="M45" s="33">
        <v>2010</v>
      </c>
      <c r="N45" s="33">
        <v>2011</v>
      </c>
      <c r="O45" s="33">
        <v>2012</v>
      </c>
      <c r="P45" s="33">
        <v>2013</v>
      </c>
      <c r="Q45" s="33">
        <v>2014</v>
      </c>
      <c r="R45" s="33">
        <v>2015</v>
      </c>
      <c r="S45" s="33">
        <v>2016</v>
      </c>
      <c r="T45" s="33">
        <v>2017</v>
      </c>
      <c r="U45" s="33">
        <v>2018</v>
      </c>
      <c r="V45" s="33">
        <v>2019</v>
      </c>
      <c r="W45" s="33">
        <v>2020</v>
      </c>
      <c r="X45" s="33">
        <v>2021</v>
      </c>
      <c r="Y45" s="33">
        <v>2022</v>
      </c>
      <c r="Z45" s="33">
        <v>2023</v>
      </c>
      <c r="AA45" s="34">
        <v>2024</v>
      </c>
    </row>
    <row r="46" spans="1:27" ht="15" thickBot="1" x14ac:dyDescent="0.4">
      <c r="A46" s="39" t="s">
        <v>87</v>
      </c>
      <c r="B46" s="40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1"/>
    </row>
    <row r="47" spans="1:27" x14ac:dyDescent="0.35">
      <c r="A47" s="12" t="s">
        <v>33</v>
      </c>
      <c r="B47" s="14" t="s">
        <v>76</v>
      </c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3">
        <v>50.690892064310653</v>
      </c>
      <c r="W47" s="13">
        <v>50.195588396799756</v>
      </c>
      <c r="X47" s="13">
        <v>49.700284729288867</v>
      </c>
      <c r="Y47" s="13">
        <v>49.204981061777978</v>
      </c>
      <c r="Z47" s="13">
        <v>48.709677394267082</v>
      </c>
      <c r="AA47" s="19">
        <v>48.214373726756193</v>
      </c>
    </row>
    <row r="48" spans="1:27" x14ac:dyDescent="0.35">
      <c r="A48" s="12" t="s">
        <v>33</v>
      </c>
      <c r="B48" s="14" t="s">
        <v>53</v>
      </c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3"/>
      <c r="V48" s="13">
        <v>58.179696332489108</v>
      </c>
      <c r="W48" s="13">
        <v>57.684392664978212</v>
      </c>
      <c r="X48" s="13">
        <v>57.189088997467323</v>
      </c>
      <c r="Y48" s="13">
        <v>56.693785329956434</v>
      </c>
      <c r="Z48" s="13">
        <v>56.198481662445538</v>
      </c>
      <c r="AA48" s="19">
        <v>55.703177994934649</v>
      </c>
    </row>
    <row r="49" spans="1:27" x14ac:dyDescent="0.35">
      <c r="A49" s="12" t="s">
        <v>33</v>
      </c>
      <c r="B49" s="14" t="s">
        <v>3</v>
      </c>
      <c r="C49" s="13">
        <v>100.4</v>
      </c>
      <c r="D49" s="13">
        <v>114.7</v>
      </c>
      <c r="E49" s="13">
        <v>105.6</v>
      </c>
      <c r="F49" s="13">
        <v>89.2</v>
      </c>
      <c r="G49" s="13">
        <v>84.3</v>
      </c>
      <c r="H49" s="13">
        <v>73.099999999999994</v>
      </c>
      <c r="I49" s="13">
        <v>73.8</v>
      </c>
      <c r="J49" s="13">
        <v>82.899999999999991</v>
      </c>
      <c r="K49" s="13">
        <v>79.599999999999994</v>
      </c>
      <c r="L49" s="13">
        <v>62.2</v>
      </c>
      <c r="M49" s="13">
        <v>59.1</v>
      </c>
      <c r="N49" s="13">
        <v>66.3</v>
      </c>
      <c r="O49" s="13">
        <v>53.1</v>
      </c>
      <c r="P49" s="13">
        <v>53.099999999999994</v>
      </c>
      <c r="Q49" s="13">
        <v>52.5</v>
      </c>
      <c r="R49" s="13">
        <v>64.099999999999994</v>
      </c>
      <c r="S49" s="13">
        <v>62.4</v>
      </c>
      <c r="T49" s="13">
        <v>55.6</v>
      </c>
      <c r="U49" s="13"/>
      <c r="V49" s="13">
        <v>58.179696332489108</v>
      </c>
      <c r="W49" s="13">
        <v>57.684392664978212</v>
      </c>
      <c r="X49" s="13">
        <v>57.189088997467323</v>
      </c>
      <c r="Y49" s="13">
        <v>56.693785329956434</v>
      </c>
      <c r="Z49" s="13">
        <v>56.198481662445538</v>
      </c>
      <c r="AA49" s="29">
        <v>55.703177994934649</v>
      </c>
    </row>
    <row r="50" spans="1:27" x14ac:dyDescent="0.35">
      <c r="A50" s="12" t="s">
        <v>33</v>
      </c>
      <c r="B50" s="14" t="s">
        <v>54</v>
      </c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3"/>
      <c r="V50" s="13">
        <v>58.179696332489108</v>
      </c>
      <c r="W50" s="13">
        <v>57.684392664978212</v>
      </c>
      <c r="X50" s="13">
        <v>57.189088997467323</v>
      </c>
      <c r="Y50" s="13">
        <v>56.693785329956434</v>
      </c>
      <c r="Z50" s="13">
        <v>56.198481662445538</v>
      </c>
      <c r="AA50" s="19">
        <v>55.703177994934649</v>
      </c>
    </row>
    <row r="51" spans="1:27" ht="15" thickBot="1" x14ac:dyDescent="0.4">
      <c r="A51" s="12" t="s">
        <v>33</v>
      </c>
      <c r="B51" s="14" t="s">
        <v>77</v>
      </c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3">
        <v>65.668500600667556</v>
      </c>
      <c r="W51" s="13">
        <v>65.17319693315666</v>
      </c>
      <c r="X51" s="13">
        <v>64.677893265645778</v>
      </c>
      <c r="Y51" s="13">
        <v>64.182589598134882</v>
      </c>
      <c r="Z51" s="13">
        <v>63.687285930623993</v>
      </c>
      <c r="AA51" s="19">
        <v>63.191982263113104</v>
      </c>
    </row>
    <row r="52" spans="1:27" ht="15" thickBot="1" x14ac:dyDescent="0.4">
      <c r="A52" s="39" t="s">
        <v>88</v>
      </c>
      <c r="B52" s="37"/>
      <c r="C52" s="37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8"/>
    </row>
    <row r="53" spans="1:27" x14ac:dyDescent="0.35">
      <c r="A53" s="12" t="s">
        <v>33</v>
      </c>
      <c r="B53" s="14" t="s">
        <v>76</v>
      </c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3">
        <v>50.385195731821533</v>
      </c>
      <c r="W53" s="13">
        <v>50.385195731821533</v>
      </c>
      <c r="X53" s="13">
        <v>50.385195731821533</v>
      </c>
      <c r="Y53" s="13">
        <v>50.385195731821533</v>
      </c>
      <c r="Z53" s="13">
        <v>50.385195731821533</v>
      </c>
      <c r="AA53" s="19">
        <v>50.385195731821533</v>
      </c>
    </row>
    <row r="54" spans="1:27" x14ac:dyDescent="0.35">
      <c r="A54" s="12" t="s">
        <v>33</v>
      </c>
      <c r="B54" s="14" t="s">
        <v>53</v>
      </c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3">
        <v>57.873999999999988</v>
      </c>
      <c r="W54" s="13">
        <v>57.873999999999988</v>
      </c>
      <c r="X54" s="13">
        <v>57.873999999999988</v>
      </c>
      <c r="Y54" s="13">
        <v>57.873999999999988</v>
      </c>
      <c r="Z54" s="13">
        <v>57.873999999999988</v>
      </c>
      <c r="AA54" s="19">
        <v>57.873999999999988</v>
      </c>
    </row>
    <row r="55" spans="1:27" x14ac:dyDescent="0.35">
      <c r="A55" s="12" t="s">
        <v>33</v>
      </c>
      <c r="B55" s="14" t="s">
        <v>36</v>
      </c>
      <c r="C55" s="13">
        <v>101.8</v>
      </c>
      <c r="D55" s="13">
        <v>99.4</v>
      </c>
      <c r="E55" s="13">
        <v>67.900000000000006</v>
      </c>
      <c r="F55" s="13">
        <v>46.8</v>
      </c>
      <c r="G55" s="13">
        <v>52.2</v>
      </c>
      <c r="H55" s="13">
        <v>50.4</v>
      </c>
      <c r="I55" s="13">
        <v>46.8</v>
      </c>
      <c r="J55" s="13">
        <v>50.1</v>
      </c>
      <c r="K55" s="13">
        <v>64.8</v>
      </c>
      <c r="L55" s="13">
        <v>63.2</v>
      </c>
      <c r="M55" s="13">
        <v>51.8</v>
      </c>
      <c r="N55" s="13">
        <v>58.7</v>
      </c>
      <c r="O55" s="13">
        <v>59.2</v>
      </c>
      <c r="P55" s="13">
        <v>54.5</v>
      </c>
      <c r="Q55" s="13">
        <v>47.6</v>
      </c>
      <c r="R55" s="13">
        <v>52.3</v>
      </c>
      <c r="S55" s="13">
        <v>70.2</v>
      </c>
      <c r="T55" s="30">
        <v>57.873999999999988</v>
      </c>
      <c r="U55" s="30"/>
      <c r="V55" s="30">
        <v>57.873999999999988</v>
      </c>
      <c r="W55" s="30">
        <v>57.873999999999988</v>
      </c>
      <c r="X55" s="30">
        <v>57.873999999999988</v>
      </c>
      <c r="Y55" s="30">
        <v>57.873999999999988</v>
      </c>
      <c r="Z55" s="30">
        <v>57.873999999999988</v>
      </c>
      <c r="AA55" s="29">
        <v>57.873999999999988</v>
      </c>
    </row>
    <row r="56" spans="1:27" x14ac:dyDescent="0.35">
      <c r="A56" s="12" t="s">
        <v>33</v>
      </c>
      <c r="B56" s="14" t="s">
        <v>54</v>
      </c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3">
        <v>57.873999999999988</v>
      </c>
      <c r="W56" s="13">
        <v>57.873999999999988</v>
      </c>
      <c r="X56" s="13">
        <v>57.873999999999988</v>
      </c>
      <c r="Y56" s="13">
        <v>57.873999999999988</v>
      </c>
      <c r="Z56" s="13">
        <v>57.873999999999988</v>
      </c>
      <c r="AA56" s="19">
        <v>57.873999999999988</v>
      </c>
    </row>
    <row r="57" spans="1:27" ht="15" thickBot="1" x14ac:dyDescent="0.4">
      <c r="A57" s="12" t="s">
        <v>33</v>
      </c>
      <c r="B57" s="14" t="s">
        <v>77</v>
      </c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3">
        <v>65.362804268178436</v>
      </c>
      <c r="W57" s="13">
        <v>65.362804268178436</v>
      </c>
      <c r="X57" s="13">
        <v>65.362804268178436</v>
      </c>
      <c r="Y57" s="13">
        <v>65.362804268178436</v>
      </c>
      <c r="Z57" s="13">
        <v>65.362804268178436</v>
      </c>
      <c r="AA57" s="19">
        <v>65.362804268178436</v>
      </c>
    </row>
    <row r="58" spans="1:27" ht="15" thickBot="1" x14ac:dyDescent="0.4">
      <c r="A58" s="39" t="s">
        <v>89</v>
      </c>
      <c r="B58" s="40"/>
      <c r="C58" s="40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8"/>
    </row>
    <row r="59" spans="1:27" x14ac:dyDescent="0.35">
      <c r="A59" s="12" t="s">
        <v>33</v>
      </c>
      <c r="B59" s="14" t="s">
        <v>76</v>
      </c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3">
        <v>75.883489930221415</v>
      </c>
      <c r="W59" s="13">
        <v>75.388186262710519</v>
      </c>
      <c r="X59" s="13">
        <v>74.892882595199637</v>
      </c>
      <c r="Y59" s="13">
        <v>74.397578927688741</v>
      </c>
      <c r="Z59" s="13">
        <v>73.902275260177845</v>
      </c>
      <c r="AA59" s="19">
        <v>73.406971592666963</v>
      </c>
    </row>
    <row r="60" spans="1:27" x14ac:dyDescent="0.35">
      <c r="A60" s="12" t="s">
        <v>33</v>
      </c>
      <c r="B60" s="14" t="s">
        <v>53</v>
      </c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3">
        <v>87.116696332489099</v>
      </c>
      <c r="W60" s="13">
        <v>86.621392664978202</v>
      </c>
      <c r="X60" s="13">
        <v>86.12608899746732</v>
      </c>
      <c r="Y60" s="13">
        <v>85.630785329956424</v>
      </c>
      <c r="Z60" s="13">
        <v>85.135481662445528</v>
      </c>
      <c r="AA60" s="19">
        <v>84.640177994934646</v>
      </c>
    </row>
    <row r="61" spans="1:27" x14ac:dyDescent="0.35">
      <c r="A61" s="12" t="s">
        <v>33</v>
      </c>
      <c r="B61" s="14" t="s">
        <v>49</v>
      </c>
      <c r="C61" s="30">
        <v>151.30000000000001</v>
      </c>
      <c r="D61" s="30">
        <v>164.4</v>
      </c>
      <c r="E61" s="30">
        <v>139.55000000000001</v>
      </c>
      <c r="F61" s="30">
        <v>112.6</v>
      </c>
      <c r="G61" s="30">
        <v>110.4</v>
      </c>
      <c r="H61" s="30">
        <v>98.3</v>
      </c>
      <c r="I61" s="30">
        <v>97.199999999999989</v>
      </c>
      <c r="J61" s="30">
        <v>107.94999999999999</v>
      </c>
      <c r="K61" s="30">
        <v>112</v>
      </c>
      <c r="L61" s="30">
        <v>93.800000000000011</v>
      </c>
      <c r="M61" s="30">
        <v>85</v>
      </c>
      <c r="N61" s="30">
        <v>95.65</v>
      </c>
      <c r="O61" s="30">
        <v>82.7</v>
      </c>
      <c r="P61" s="30">
        <v>80.349999999999994</v>
      </c>
      <c r="Q61" s="30">
        <v>76.3</v>
      </c>
      <c r="R61" s="30">
        <v>90.25</v>
      </c>
      <c r="S61" s="30">
        <v>97.5</v>
      </c>
      <c r="T61" s="30">
        <v>84.536999999999992</v>
      </c>
      <c r="U61" s="30"/>
      <c r="V61" s="30">
        <v>87.116696332489099</v>
      </c>
      <c r="W61" s="30">
        <v>86.621392664978202</v>
      </c>
      <c r="X61" s="30">
        <v>86.12608899746732</v>
      </c>
      <c r="Y61" s="30">
        <v>85.630785329956424</v>
      </c>
      <c r="Z61" s="30">
        <v>85.135481662445528</v>
      </c>
      <c r="AA61" s="29">
        <v>84.640177994934646</v>
      </c>
    </row>
    <row r="62" spans="1:27" x14ac:dyDescent="0.35">
      <c r="A62" s="12" t="s">
        <v>33</v>
      </c>
      <c r="B62" s="14" t="s">
        <v>54</v>
      </c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3">
        <v>87.116696332489099</v>
      </c>
      <c r="W62" s="13">
        <v>86.621392664978202</v>
      </c>
      <c r="X62" s="13">
        <v>86.12608899746732</v>
      </c>
      <c r="Y62" s="13">
        <v>85.630785329956424</v>
      </c>
      <c r="Z62" s="13">
        <v>85.135481662445528</v>
      </c>
      <c r="AA62" s="19">
        <v>84.640177994934646</v>
      </c>
    </row>
    <row r="63" spans="1:27" ht="15" thickBot="1" x14ac:dyDescent="0.4">
      <c r="A63" s="16" t="s">
        <v>33</v>
      </c>
      <c r="B63" s="18" t="s">
        <v>77</v>
      </c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7">
        <v>98.349902734756768</v>
      </c>
      <c r="W63" s="17">
        <v>97.854599067245886</v>
      </c>
      <c r="X63" s="17">
        <v>97.359295399735004</v>
      </c>
      <c r="Y63" s="17">
        <v>96.863991732224093</v>
      </c>
      <c r="Z63" s="17">
        <v>96.368688064713211</v>
      </c>
      <c r="AA63" s="20">
        <v>95.873384397202329</v>
      </c>
    </row>
    <row r="64" spans="1:27" ht="15" thickBot="1" x14ac:dyDescent="0.4">
      <c r="A64" s="229" t="s">
        <v>895</v>
      </c>
      <c r="B64" s="229"/>
      <c r="C64" s="229"/>
      <c r="D64" s="229"/>
      <c r="E64" s="229"/>
      <c r="F64" s="229"/>
      <c r="G64" s="229"/>
      <c r="H64" s="229"/>
      <c r="I64" s="229"/>
      <c r="J64" s="229"/>
      <c r="K64" s="229"/>
      <c r="L64" s="229"/>
      <c r="M64" s="229"/>
      <c r="N64" s="229"/>
      <c r="O64" s="229"/>
      <c r="P64" s="229"/>
      <c r="Q64" s="229"/>
      <c r="R64" s="229"/>
      <c r="S64" s="229"/>
      <c r="T64" s="229"/>
      <c r="U64" s="229"/>
      <c r="V64" s="229"/>
      <c r="W64" s="229"/>
      <c r="X64" s="229"/>
      <c r="Y64" s="229"/>
      <c r="Z64" s="229"/>
      <c r="AA64" s="229"/>
    </row>
    <row r="65" spans="1:27" ht="21" x14ac:dyDescent="0.5">
      <c r="A65" s="36" t="s">
        <v>86</v>
      </c>
      <c r="B65" s="25"/>
      <c r="C65" s="25"/>
      <c r="D65" s="25"/>
      <c r="E65" s="25"/>
      <c r="F65" s="25"/>
      <c r="G65" s="25"/>
      <c r="H65" s="25"/>
      <c r="I65" s="25"/>
      <c r="J65" s="25"/>
      <c r="K65" s="25"/>
      <c r="L65" s="25"/>
      <c r="M65" s="25"/>
      <c r="N65" s="25"/>
      <c r="O65" s="25"/>
      <c r="P65" s="25"/>
      <c r="Q65" s="25"/>
      <c r="R65" s="25"/>
      <c r="S65" s="25"/>
      <c r="T65" s="26"/>
      <c r="U65" s="26" t="s">
        <v>51</v>
      </c>
      <c r="V65" s="26" t="s">
        <v>52</v>
      </c>
      <c r="W65" s="26" t="s">
        <v>52</v>
      </c>
      <c r="X65" s="26" t="s">
        <v>52</v>
      </c>
      <c r="Y65" s="26" t="s">
        <v>52</v>
      </c>
      <c r="Z65" s="26" t="s">
        <v>52</v>
      </c>
      <c r="AA65" s="27" t="s">
        <v>52</v>
      </c>
    </row>
    <row r="66" spans="1:27" ht="15" thickBot="1" x14ac:dyDescent="0.4">
      <c r="A66" s="31"/>
      <c r="B66" s="32"/>
      <c r="C66" s="33">
        <v>2000</v>
      </c>
      <c r="D66" s="33">
        <v>2001</v>
      </c>
      <c r="E66" s="33">
        <v>2002</v>
      </c>
      <c r="F66" s="33">
        <v>2003</v>
      </c>
      <c r="G66" s="33">
        <v>2004</v>
      </c>
      <c r="H66" s="33">
        <v>2005</v>
      </c>
      <c r="I66" s="33">
        <v>2006</v>
      </c>
      <c r="J66" s="33">
        <v>2007</v>
      </c>
      <c r="K66" s="33">
        <v>2008</v>
      </c>
      <c r="L66" s="33">
        <v>2009</v>
      </c>
      <c r="M66" s="33">
        <v>2010</v>
      </c>
      <c r="N66" s="33">
        <v>2011</v>
      </c>
      <c r="O66" s="33">
        <v>2012</v>
      </c>
      <c r="P66" s="33">
        <v>2013</v>
      </c>
      <c r="Q66" s="33">
        <v>2014</v>
      </c>
      <c r="R66" s="33">
        <v>2015</v>
      </c>
      <c r="S66" s="33">
        <v>2016</v>
      </c>
      <c r="T66" s="33">
        <v>2017</v>
      </c>
      <c r="U66" s="33">
        <v>2018</v>
      </c>
      <c r="V66" s="33">
        <v>2019</v>
      </c>
      <c r="W66" s="33">
        <v>2020</v>
      </c>
      <c r="X66" s="33">
        <v>2021</v>
      </c>
      <c r="Y66" s="33">
        <v>2022</v>
      </c>
      <c r="Z66" s="33">
        <v>2023</v>
      </c>
      <c r="AA66" s="34">
        <v>2024</v>
      </c>
    </row>
    <row r="67" spans="1:27" ht="15" thickBot="1" x14ac:dyDescent="0.4">
      <c r="A67" s="39" t="s">
        <v>87</v>
      </c>
      <c r="B67" s="40"/>
      <c r="C67" s="40"/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  <c r="AA67" s="41"/>
    </row>
    <row r="68" spans="1:27" x14ac:dyDescent="0.35">
      <c r="A68" s="12" t="s">
        <v>33</v>
      </c>
      <c r="B68" s="14" t="s">
        <v>76</v>
      </c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3">
        <v>50.643098428333445</v>
      </c>
      <c r="W68" s="13">
        <v>50.100001124845342</v>
      </c>
      <c r="X68" s="13">
        <v>49.556903821357245</v>
      </c>
      <c r="Y68" s="13">
        <v>49.013806517869149</v>
      </c>
      <c r="Z68" s="13">
        <v>48.470709214381046</v>
      </c>
      <c r="AA68" s="19">
        <v>47.927611910892949</v>
      </c>
    </row>
    <row r="69" spans="1:27" x14ac:dyDescent="0.35">
      <c r="A69" s="12" t="s">
        <v>33</v>
      </c>
      <c r="B69" s="14" t="s">
        <v>53</v>
      </c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3"/>
      <c r="V69" s="13">
        <v>58.131902696511901</v>
      </c>
      <c r="W69" s="13">
        <v>57.588805393023797</v>
      </c>
      <c r="X69" s="13">
        <v>57.045708089535701</v>
      </c>
      <c r="Y69" s="13">
        <v>56.502610786047605</v>
      </c>
      <c r="Z69" s="13">
        <v>55.959513482559501</v>
      </c>
      <c r="AA69" s="19">
        <v>55.416416179071405</v>
      </c>
    </row>
    <row r="70" spans="1:27" x14ac:dyDescent="0.35">
      <c r="A70" s="12" t="s">
        <v>33</v>
      </c>
      <c r="B70" s="14" t="s">
        <v>3</v>
      </c>
      <c r="C70" s="13">
        <v>100.4</v>
      </c>
      <c r="D70" s="13">
        <v>114.7</v>
      </c>
      <c r="E70" s="13">
        <v>105.6</v>
      </c>
      <c r="F70" s="13">
        <v>89.2</v>
      </c>
      <c r="G70" s="13">
        <v>84.3</v>
      </c>
      <c r="H70" s="13">
        <v>73.099999999999994</v>
      </c>
      <c r="I70" s="13">
        <v>73.8</v>
      </c>
      <c r="J70" s="13">
        <v>82.899999999999991</v>
      </c>
      <c r="K70" s="13">
        <v>79.599999999999994</v>
      </c>
      <c r="L70" s="13">
        <v>62.2</v>
      </c>
      <c r="M70" s="13">
        <v>59.1</v>
      </c>
      <c r="N70" s="13">
        <v>66.3</v>
      </c>
      <c r="O70" s="13">
        <v>53.1</v>
      </c>
      <c r="P70" s="13">
        <v>53.099999999999994</v>
      </c>
      <c r="Q70" s="13">
        <v>52.5</v>
      </c>
      <c r="R70" s="13">
        <v>64.099999999999994</v>
      </c>
      <c r="S70" s="13">
        <v>62.4</v>
      </c>
      <c r="T70" s="13">
        <v>55.6</v>
      </c>
      <c r="U70" s="13"/>
      <c r="V70" s="13">
        <v>58.131902696511901</v>
      </c>
      <c r="W70" s="13">
        <v>57.588805393023797</v>
      </c>
      <c r="X70" s="13">
        <v>57.045708089535701</v>
      </c>
      <c r="Y70" s="13">
        <v>56.502610786047605</v>
      </c>
      <c r="Z70" s="13">
        <v>55.959513482559501</v>
      </c>
      <c r="AA70" s="29">
        <v>55.416416179071405</v>
      </c>
    </row>
    <row r="71" spans="1:27" x14ac:dyDescent="0.35">
      <c r="A71" s="12" t="s">
        <v>33</v>
      </c>
      <c r="B71" s="14" t="s">
        <v>54</v>
      </c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3"/>
      <c r="V71" s="13">
        <v>58.131902696511901</v>
      </c>
      <c r="W71" s="13">
        <v>57.588805393023797</v>
      </c>
      <c r="X71" s="13">
        <v>57.045708089535701</v>
      </c>
      <c r="Y71" s="13">
        <v>56.502610786047605</v>
      </c>
      <c r="Z71" s="13">
        <v>55.959513482559501</v>
      </c>
      <c r="AA71" s="19">
        <v>55.416416179071405</v>
      </c>
    </row>
    <row r="72" spans="1:27" ht="15" thickBot="1" x14ac:dyDescent="0.4">
      <c r="A72" s="12" t="s">
        <v>33</v>
      </c>
      <c r="B72" s="14" t="s">
        <v>77</v>
      </c>
      <c r="C72" s="14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3">
        <v>65.620706964690356</v>
      </c>
      <c r="W72" s="13">
        <v>65.077609661202246</v>
      </c>
      <c r="X72" s="13">
        <v>64.534512357714149</v>
      </c>
      <c r="Y72" s="13">
        <v>63.99141505422606</v>
      </c>
      <c r="Z72" s="13">
        <v>63.448317750737957</v>
      </c>
      <c r="AA72" s="19">
        <v>62.90522044724986</v>
      </c>
    </row>
    <row r="73" spans="1:27" ht="15" thickBot="1" x14ac:dyDescent="0.4">
      <c r="A73" s="39" t="s">
        <v>88</v>
      </c>
      <c r="B73" s="37"/>
      <c r="C73" s="37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8"/>
    </row>
    <row r="74" spans="1:27" x14ac:dyDescent="0.35">
      <c r="A74" s="12" t="s">
        <v>33</v>
      </c>
      <c r="B74" s="14" t="s">
        <v>76</v>
      </c>
      <c r="C74" s="14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3">
        <v>50.385195731821533</v>
      </c>
      <c r="W74" s="13">
        <v>50.385195731821533</v>
      </c>
      <c r="X74" s="13">
        <v>50.385195731821533</v>
      </c>
      <c r="Y74" s="13">
        <v>50.385195731821533</v>
      </c>
      <c r="Z74" s="13">
        <v>50.385195731821533</v>
      </c>
      <c r="AA74" s="19">
        <v>50.385195731821533</v>
      </c>
    </row>
    <row r="75" spans="1:27" x14ac:dyDescent="0.35">
      <c r="A75" s="12" t="s">
        <v>33</v>
      </c>
      <c r="B75" s="14" t="s">
        <v>53</v>
      </c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3">
        <v>57.873999999999988</v>
      </c>
      <c r="W75" s="13">
        <v>57.873999999999988</v>
      </c>
      <c r="X75" s="13">
        <v>57.873999999999988</v>
      </c>
      <c r="Y75" s="13">
        <v>57.873999999999988</v>
      </c>
      <c r="Z75" s="13">
        <v>57.873999999999988</v>
      </c>
      <c r="AA75" s="19">
        <v>57.873999999999988</v>
      </c>
    </row>
    <row r="76" spans="1:27" x14ac:dyDescent="0.35">
      <c r="A76" s="12" t="s">
        <v>33</v>
      </c>
      <c r="B76" s="14" t="s">
        <v>36</v>
      </c>
      <c r="C76" s="13">
        <v>101.8</v>
      </c>
      <c r="D76" s="13">
        <v>99.4</v>
      </c>
      <c r="E76" s="13">
        <v>67.900000000000006</v>
      </c>
      <c r="F76" s="13">
        <v>46.8</v>
      </c>
      <c r="G76" s="13">
        <v>52.2</v>
      </c>
      <c r="H76" s="13">
        <v>50.4</v>
      </c>
      <c r="I76" s="13">
        <v>46.8</v>
      </c>
      <c r="J76" s="13">
        <v>50.1</v>
      </c>
      <c r="K76" s="13">
        <v>64.8</v>
      </c>
      <c r="L76" s="13">
        <v>63.2</v>
      </c>
      <c r="M76" s="13">
        <v>51.8</v>
      </c>
      <c r="N76" s="13">
        <v>58.7</v>
      </c>
      <c r="O76" s="13">
        <v>59.2</v>
      </c>
      <c r="P76" s="13">
        <v>54.5</v>
      </c>
      <c r="Q76" s="13">
        <v>47.6</v>
      </c>
      <c r="R76" s="13">
        <v>52.3</v>
      </c>
      <c r="S76" s="13">
        <v>70.2</v>
      </c>
      <c r="T76" s="30">
        <v>57.873999999999988</v>
      </c>
      <c r="U76" s="30"/>
      <c r="V76" s="30">
        <v>57.873999999999988</v>
      </c>
      <c r="W76" s="30">
        <v>57.873999999999988</v>
      </c>
      <c r="X76" s="30">
        <v>57.873999999999988</v>
      </c>
      <c r="Y76" s="30">
        <v>57.873999999999988</v>
      </c>
      <c r="Z76" s="30">
        <v>57.873999999999988</v>
      </c>
      <c r="AA76" s="29">
        <v>57.873999999999988</v>
      </c>
    </row>
    <row r="77" spans="1:27" x14ac:dyDescent="0.35">
      <c r="A77" s="12" t="s">
        <v>33</v>
      </c>
      <c r="B77" s="14" t="s">
        <v>54</v>
      </c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3">
        <v>57.873999999999988</v>
      </c>
      <c r="W77" s="13">
        <v>57.873999999999988</v>
      </c>
      <c r="X77" s="13">
        <v>57.873999999999988</v>
      </c>
      <c r="Y77" s="13">
        <v>57.873999999999988</v>
      </c>
      <c r="Z77" s="13">
        <v>57.873999999999988</v>
      </c>
      <c r="AA77" s="19">
        <v>57.873999999999988</v>
      </c>
    </row>
    <row r="78" spans="1:27" ht="15" thickBot="1" x14ac:dyDescent="0.4">
      <c r="A78" s="12" t="s">
        <v>33</v>
      </c>
      <c r="B78" s="14" t="s">
        <v>77</v>
      </c>
      <c r="C78" s="14"/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3">
        <v>65.362804268178436</v>
      </c>
      <c r="W78" s="13">
        <v>65.362804268178436</v>
      </c>
      <c r="X78" s="13">
        <v>65.362804268178436</v>
      </c>
      <c r="Y78" s="13">
        <v>65.362804268178436</v>
      </c>
      <c r="Z78" s="13">
        <v>65.362804268178436</v>
      </c>
      <c r="AA78" s="19">
        <v>65.362804268178436</v>
      </c>
    </row>
    <row r="79" spans="1:27" ht="15" thickBot="1" x14ac:dyDescent="0.4">
      <c r="A79" s="39" t="s">
        <v>89</v>
      </c>
      <c r="B79" s="40"/>
      <c r="C79" s="40"/>
      <c r="D79" s="37"/>
      <c r="E79" s="37"/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8"/>
    </row>
    <row r="80" spans="1:27" x14ac:dyDescent="0.35">
      <c r="A80" s="12" t="s">
        <v>33</v>
      </c>
      <c r="B80" s="14" t="s">
        <v>76</v>
      </c>
      <c r="C80" s="14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3">
        <v>75.835696294244215</v>
      </c>
      <c r="W80" s="13">
        <v>75.292598990756105</v>
      </c>
      <c r="X80" s="13">
        <v>74.749501687268008</v>
      </c>
      <c r="Y80" s="13">
        <v>74.206404383779912</v>
      </c>
      <c r="Z80" s="13">
        <v>73.663307080291816</v>
      </c>
      <c r="AA80" s="19">
        <v>73.120209776803719</v>
      </c>
    </row>
    <row r="81" spans="1:27" x14ac:dyDescent="0.35">
      <c r="A81" s="12" t="s">
        <v>33</v>
      </c>
      <c r="B81" s="14" t="s">
        <v>53</v>
      </c>
      <c r="C81" s="14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3">
        <v>87.068902696511898</v>
      </c>
      <c r="W81" s="13">
        <v>86.525805393023788</v>
      </c>
      <c r="X81" s="13">
        <v>85.982708089535691</v>
      </c>
      <c r="Y81" s="13">
        <v>85.439610786047595</v>
      </c>
      <c r="Z81" s="13">
        <v>84.896513482559499</v>
      </c>
      <c r="AA81" s="19">
        <v>84.353416179071402</v>
      </c>
    </row>
    <row r="82" spans="1:27" x14ac:dyDescent="0.35">
      <c r="A82" s="12" t="s">
        <v>33</v>
      </c>
      <c r="B82" s="14" t="s">
        <v>49</v>
      </c>
      <c r="C82" s="30">
        <v>151.30000000000001</v>
      </c>
      <c r="D82" s="30">
        <v>164.4</v>
      </c>
      <c r="E82" s="30">
        <v>139.55000000000001</v>
      </c>
      <c r="F82" s="30">
        <v>112.6</v>
      </c>
      <c r="G82" s="30">
        <v>110.4</v>
      </c>
      <c r="H82" s="30">
        <v>98.3</v>
      </c>
      <c r="I82" s="30">
        <v>97.199999999999989</v>
      </c>
      <c r="J82" s="30">
        <v>107.94999999999999</v>
      </c>
      <c r="K82" s="30">
        <v>112</v>
      </c>
      <c r="L82" s="30">
        <v>93.800000000000011</v>
      </c>
      <c r="M82" s="30">
        <v>85</v>
      </c>
      <c r="N82" s="30">
        <v>95.65</v>
      </c>
      <c r="O82" s="30">
        <v>82.7</v>
      </c>
      <c r="P82" s="30">
        <v>80.349999999999994</v>
      </c>
      <c r="Q82" s="30">
        <v>76.3</v>
      </c>
      <c r="R82" s="30">
        <v>90.25</v>
      </c>
      <c r="S82" s="30">
        <v>97.5</v>
      </c>
      <c r="T82" s="30">
        <v>84.536999999999992</v>
      </c>
      <c r="U82" s="30"/>
      <c r="V82" s="30">
        <v>87.068902696511898</v>
      </c>
      <c r="W82" s="30">
        <v>86.525805393023788</v>
      </c>
      <c r="X82" s="30">
        <v>85.982708089535691</v>
      </c>
      <c r="Y82" s="30">
        <v>85.439610786047595</v>
      </c>
      <c r="Z82" s="30">
        <v>84.896513482559499</v>
      </c>
      <c r="AA82" s="29">
        <v>84.353416179071402</v>
      </c>
    </row>
    <row r="83" spans="1:27" x14ac:dyDescent="0.35">
      <c r="A83" s="12" t="s">
        <v>33</v>
      </c>
      <c r="B83" s="14" t="s">
        <v>54</v>
      </c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3">
        <v>87.068902696511898</v>
      </c>
      <c r="W83" s="13">
        <v>86.525805393023788</v>
      </c>
      <c r="X83" s="13">
        <v>85.982708089535691</v>
      </c>
      <c r="Y83" s="13">
        <v>85.439610786047595</v>
      </c>
      <c r="Z83" s="13">
        <v>84.896513482559499</v>
      </c>
      <c r="AA83" s="19">
        <v>84.353416179071402</v>
      </c>
    </row>
    <row r="84" spans="1:27" ht="15" thickBot="1" x14ac:dyDescent="0.4">
      <c r="A84" s="16" t="s">
        <v>33</v>
      </c>
      <c r="B84" s="18" t="s">
        <v>77</v>
      </c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7">
        <v>98.302109098779567</v>
      </c>
      <c r="W84" s="17">
        <v>97.759011795291457</v>
      </c>
      <c r="X84" s="17">
        <v>97.215914491803375</v>
      </c>
      <c r="Y84" s="17">
        <v>96.672817188315278</v>
      </c>
      <c r="Z84" s="17">
        <v>96.129719884827182</v>
      </c>
      <c r="AA84" s="20">
        <v>95.586622581339071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"/>
  <sheetViews>
    <sheetView workbookViewId="0">
      <selection activeCell="D15" sqref="D15"/>
    </sheetView>
  </sheetViews>
  <sheetFormatPr defaultRowHeight="14.5" x14ac:dyDescent="0.35"/>
  <cols>
    <col min="1" max="16384" width="8.7265625" style="1"/>
  </cols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</sheetPr>
  <dimension ref="B1:H6"/>
  <sheetViews>
    <sheetView workbookViewId="0">
      <selection activeCell="G5" sqref="G5"/>
    </sheetView>
  </sheetViews>
  <sheetFormatPr defaultRowHeight="14.5" x14ac:dyDescent="0.35"/>
  <cols>
    <col min="1" max="1" width="3.36328125" style="1" customWidth="1"/>
    <col min="2" max="2" width="29.453125" style="1" customWidth="1"/>
    <col min="3" max="16384" width="8.7265625" style="1"/>
  </cols>
  <sheetData>
    <row r="1" spans="2:8" ht="15" thickBot="1" x14ac:dyDescent="0.4"/>
    <row r="2" spans="2:8" ht="21" x14ac:dyDescent="0.5">
      <c r="B2" s="36" t="s">
        <v>988</v>
      </c>
      <c r="C2" s="25"/>
      <c r="D2" s="25"/>
      <c r="E2" s="25"/>
      <c r="F2" s="25"/>
      <c r="G2" s="25"/>
      <c r="H2" s="35"/>
    </row>
    <row r="3" spans="2:8" x14ac:dyDescent="0.35">
      <c r="B3" s="12"/>
      <c r="C3" s="14"/>
      <c r="D3" s="14"/>
      <c r="E3" s="14"/>
      <c r="F3" s="14"/>
      <c r="G3" s="14"/>
      <c r="H3" s="165"/>
    </row>
    <row r="4" spans="2:8" x14ac:dyDescent="0.35">
      <c r="B4" s="12"/>
      <c r="C4" s="14" t="s">
        <v>58</v>
      </c>
      <c r="D4" s="14" t="s">
        <v>59</v>
      </c>
      <c r="E4" s="14" t="s">
        <v>60</v>
      </c>
      <c r="F4" s="14" t="s">
        <v>61</v>
      </c>
      <c r="G4" s="14" t="s">
        <v>62</v>
      </c>
      <c r="H4" s="165" t="s">
        <v>63</v>
      </c>
    </row>
    <row r="5" spans="2:8" x14ac:dyDescent="0.35">
      <c r="B5" s="12" t="s">
        <v>987</v>
      </c>
      <c r="C5" s="322" t="e">
        <f>'RI Allowance Calculations'!P4/10^6</f>
        <v>#VALUE!</v>
      </c>
      <c r="D5" s="322" t="e">
        <f>'RI Allowance Calculations'!Q4/10^6</f>
        <v>#VALUE!</v>
      </c>
      <c r="E5" s="322" t="e">
        <f>'RI Allowance Calculations'!R4/10^6</f>
        <v>#VALUE!</v>
      </c>
      <c r="F5" s="322" t="e">
        <f>'RI Allowance Calculations'!S4/10^6</f>
        <v>#VALUE!</v>
      </c>
      <c r="G5" s="322" t="e">
        <f>'RI Allowance Calculations'!T4/10^6</f>
        <v>#VALUE!</v>
      </c>
      <c r="H5" s="323" t="e">
        <f>'RI Allowance Calculations'!U4/10^6</f>
        <v>#VALUE!</v>
      </c>
    </row>
    <row r="6" spans="2:8" ht="15" thickBot="1" x14ac:dyDescent="0.4">
      <c r="B6" s="16"/>
      <c r="C6" s="18"/>
      <c r="D6" s="18"/>
      <c r="E6" s="18"/>
      <c r="F6" s="18"/>
      <c r="G6" s="18"/>
      <c r="H6" s="162"/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</sheetPr>
  <dimension ref="A1:U114"/>
  <sheetViews>
    <sheetView workbookViewId="0"/>
  </sheetViews>
  <sheetFormatPr defaultRowHeight="14.5" x14ac:dyDescent="0.35"/>
  <cols>
    <col min="1" max="1" width="28.54296875" style="292" customWidth="1"/>
    <col min="2" max="3" width="5.6328125" style="292" customWidth="1"/>
    <col min="4" max="4" width="91.453125" style="292" bestFit="1" customWidth="1"/>
    <col min="5" max="5" width="14.6328125" style="292" bestFit="1" customWidth="1"/>
    <col min="6" max="6" width="8.26953125" style="241" bestFit="1" customWidth="1"/>
    <col min="7" max="7" width="105.1796875" style="241" bestFit="1" customWidth="1"/>
    <col min="8" max="13" width="12.6328125" style="241" customWidth="1"/>
    <col min="14" max="14" width="8.26953125" style="241" bestFit="1" customWidth="1"/>
    <col min="15" max="15" width="66.36328125" style="241" bestFit="1" customWidth="1"/>
    <col min="16" max="21" width="10.6328125" style="241" customWidth="1"/>
    <col min="22" max="16384" width="8.7265625" style="241"/>
  </cols>
  <sheetData>
    <row r="1" spans="1:21" ht="21.5" thickBot="1" x14ac:dyDescent="0.55000000000000004">
      <c r="A1" s="237" t="s">
        <v>918</v>
      </c>
      <c r="B1" s="238"/>
      <c r="C1" s="239"/>
      <c r="D1" s="239"/>
      <c r="E1" s="239"/>
      <c r="F1" s="239"/>
      <c r="G1" s="239"/>
      <c r="H1" s="239"/>
      <c r="I1" s="239"/>
      <c r="J1" s="239"/>
      <c r="K1" s="239"/>
      <c r="L1" s="239"/>
      <c r="M1" s="239"/>
      <c r="N1" s="239"/>
      <c r="O1" s="239"/>
      <c r="P1" s="239"/>
      <c r="Q1" s="239"/>
      <c r="R1" s="239"/>
      <c r="S1" s="239"/>
      <c r="T1" s="239"/>
      <c r="U1" s="240"/>
    </row>
    <row r="2" spans="1:21" ht="19" thickBot="1" x14ac:dyDescent="0.5">
      <c r="A2" s="242" t="s">
        <v>919</v>
      </c>
      <c r="B2" s="243"/>
      <c r="C2" s="241"/>
      <c r="D2" s="244" t="s">
        <v>920</v>
      </c>
      <c r="E2" s="245"/>
      <c r="G2" s="244" t="s">
        <v>921</v>
      </c>
      <c r="H2" s="246"/>
      <c r="I2" s="246"/>
      <c r="J2" s="246"/>
      <c r="K2" s="246"/>
      <c r="L2" s="246"/>
      <c r="M2" s="245"/>
      <c r="O2" s="247" t="s">
        <v>922</v>
      </c>
      <c r="P2" s="248"/>
      <c r="Q2" s="248"/>
      <c r="R2" s="248"/>
      <c r="S2" s="248"/>
      <c r="T2" s="248"/>
      <c r="U2" s="249"/>
    </row>
    <row r="3" spans="1:21" ht="15" thickBot="1" x14ac:dyDescent="0.4">
      <c r="A3" s="250" t="s">
        <v>984</v>
      </c>
      <c r="B3" s="313"/>
      <c r="C3" s="241"/>
      <c r="D3" s="251" t="s">
        <v>983</v>
      </c>
      <c r="E3" s="252"/>
      <c r="G3" s="251" t="s">
        <v>940</v>
      </c>
      <c r="H3" s="253"/>
      <c r="I3" s="254"/>
      <c r="J3" s="254"/>
      <c r="K3" s="254"/>
      <c r="L3" s="254"/>
      <c r="M3" s="255"/>
      <c r="O3" s="250"/>
      <c r="P3" s="256" t="s">
        <v>58</v>
      </c>
      <c r="Q3" s="256" t="s">
        <v>59</v>
      </c>
      <c r="R3" s="256" t="s">
        <v>60</v>
      </c>
      <c r="S3" s="256" t="s">
        <v>61</v>
      </c>
      <c r="T3" s="256" t="s">
        <v>62</v>
      </c>
      <c r="U3" s="256" t="s">
        <v>63</v>
      </c>
    </row>
    <row r="4" spans="1:21" ht="15" thickBot="1" x14ac:dyDescent="0.4">
      <c r="A4" s="250" t="s">
        <v>923</v>
      </c>
      <c r="B4" s="314"/>
      <c r="C4" s="241"/>
      <c r="D4" s="257" t="s">
        <v>982</v>
      </c>
      <c r="E4" s="258"/>
      <c r="G4" s="260" t="s">
        <v>942</v>
      </c>
      <c r="H4" s="296">
        <f>AVERAGE(E5:E10)</f>
        <v>180503640.80879357</v>
      </c>
      <c r="I4" s="262"/>
      <c r="J4" s="262"/>
      <c r="K4" s="262"/>
      <c r="L4" s="262"/>
      <c r="M4" s="263"/>
      <c r="O4" s="259" t="s">
        <v>924</v>
      </c>
      <c r="P4" s="302" t="str">
        <f>H$37</f>
        <v>N/A</v>
      </c>
      <c r="Q4" s="302" t="str">
        <f t="shared" ref="Q4:U4" si="0">I$37</f>
        <v>N/A</v>
      </c>
      <c r="R4" s="302" t="str">
        <f t="shared" si="0"/>
        <v>N/A</v>
      </c>
      <c r="S4" s="302" t="str">
        <f t="shared" si="0"/>
        <v>N/A</v>
      </c>
      <c r="T4" s="302" t="str">
        <f t="shared" si="0"/>
        <v>N/A</v>
      </c>
      <c r="U4" s="303" t="str">
        <f t="shared" si="0"/>
        <v>N/A</v>
      </c>
    </row>
    <row r="5" spans="1:21" ht="15" thickBot="1" x14ac:dyDescent="0.4">
      <c r="A5" s="250" t="s">
        <v>925</v>
      </c>
      <c r="B5" s="315"/>
      <c r="C5" s="241"/>
      <c r="D5" s="260" t="s">
        <v>58</v>
      </c>
      <c r="E5" s="261">
        <f>'CML analysis 2'!$J$15</f>
        <v>180503640.80879357</v>
      </c>
      <c r="G5" s="266" t="s">
        <v>944</v>
      </c>
      <c r="H5" s="297">
        <f>$H$4*$E$42</f>
        <v>2707554.6121319034</v>
      </c>
      <c r="I5" s="268"/>
      <c r="J5" s="268"/>
      <c r="K5" s="268"/>
      <c r="L5" s="268"/>
      <c r="M5" s="269"/>
      <c r="O5" s="250"/>
      <c r="P5" s="264"/>
      <c r="Q5" s="264"/>
      <c r="R5" s="264"/>
      <c r="S5" s="264"/>
      <c r="T5" s="264"/>
      <c r="U5" s="265"/>
    </row>
    <row r="6" spans="1:21" ht="15" thickBot="1" x14ac:dyDescent="0.4">
      <c r="A6" s="250" t="s">
        <v>921</v>
      </c>
      <c r="B6" s="316"/>
      <c r="C6" s="241"/>
      <c r="D6" s="266" t="s">
        <v>59</v>
      </c>
      <c r="E6" s="267">
        <f>'CML analysis 2'!$J$15</f>
        <v>180503640.80879357</v>
      </c>
      <c r="G6" s="266" t="s">
        <v>946</v>
      </c>
      <c r="H6" s="297">
        <f>$H$5*$E$43</f>
        <v>1805036.4080879355</v>
      </c>
      <c r="I6" s="268"/>
      <c r="J6" s="268"/>
      <c r="K6" s="268"/>
      <c r="L6" s="268"/>
      <c r="M6" s="269"/>
      <c r="O6" s="270" t="s">
        <v>926</v>
      </c>
      <c r="P6" s="256" t="s">
        <v>58</v>
      </c>
      <c r="Q6" s="256" t="s">
        <v>59</v>
      </c>
      <c r="R6" s="256" t="s">
        <v>60</v>
      </c>
      <c r="S6" s="256" t="s">
        <v>61</v>
      </c>
      <c r="T6" s="256" t="s">
        <v>62</v>
      </c>
      <c r="U6" s="256" t="s">
        <v>63</v>
      </c>
    </row>
    <row r="7" spans="1:21" ht="15" thickBot="1" x14ac:dyDescent="0.4">
      <c r="A7" s="271" t="s">
        <v>922</v>
      </c>
      <c r="B7" s="317"/>
      <c r="C7" s="241"/>
      <c r="D7" s="266" t="s">
        <v>60</v>
      </c>
      <c r="E7" s="267">
        <f>'CML analysis 2'!$J$15</f>
        <v>180503640.80879357</v>
      </c>
      <c r="G7" s="266" t="s">
        <v>948</v>
      </c>
      <c r="H7" s="297">
        <f>$H$5*$E$44</f>
        <v>902518.20404396777</v>
      </c>
      <c r="I7" s="268"/>
      <c r="J7" s="268"/>
      <c r="K7" s="268"/>
      <c r="L7" s="268"/>
      <c r="M7" s="269"/>
      <c r="O7" s="259" t="s">
        <v>927</v>
      </c>
      <c r="P7" s="304">
        <f t="shared" ref="P7:U7" si="1">H11</f>
        <v>65.349158312946301</v>
      </c>
      <c r="Q7" s="305">
        <f t="shared" si="1"/>
        <v>64.534512357714149</v>
      </c>
      <c r="R7" s="305">
        <f t="shared" si="1"/>
        <v>63.719866402482012</v>
      </c>
      <c r="S7" s="305">
        <f t="shared" si="1"/>
        <v>62.905220447249867</v>
      </c>
      <c r="T7" s="305">
        <f t="shared" si="1"/>
        <v>62.090574492017716</v>
      </c>
      <c r="U7" s="306">
        <f t="shared" si="1"/>
        <v>61.275928536785571</v>
      </c>
    </row>
    <row r="8" spans="1:21" ht="15" thickBot="1" x14ac:dyDescent="0.4">
      <c r="A8" s="241"/>
      <c r="B8" s="241"/>
      <c r="C8" s="241"/>
      <c r="D8" s="266" t="s">
        <v>61</v>
      </c>
      <c r="E8" s="267">
        <f>'CML analysis 2'!$J$15</f>
        <v>180503640.80879357</v>
      </c>
      <c r="G8" s="266" t="s">
        <v>950</v>
      </c>
      <c r="H8" s="298">
        <f>$H$6/$E$40</f>
        <v>7.4888042681784546</v>
      </c>
      <c r="I8" s="268"/>
      <c r="J8" s="268"/>
      <c r="K8" s="268"/>
      <c r="L8" s="268"/>
      <c r="M8" s="269"/>
      <c r="O8" s="259" t="s">
        <v>47</v>
      </c>
      <c r="P8" s="307">
        <f t="shared" ref="P8:U9" si="2">H12</f>
        <v>57.860354044767853</v>
      </c>
      <c r="Q8" s="308">
        <f t="shared" si="2"/>
        <v>57.045708089535701</v>
      </c>
      <c r="R8" s="308">
        <f t="shared" si="2"/>
        <v>56.231062134303556</v>
      </c>
      <c r="S8" s="308">
        <f t="shared" si="2"/>
        <v>55.416416179071412</v>
      </c>
      <c r="T8" s="308">
        <f t="shared" si="2"/>
        <v>54.60177022383926</v>
      </c>
      <c r="U8" s="309">
        <f t="shared" si="2"/>
        <v>53.787124268607116</v>
      </c>
    </row>
    <row r="9" spans="1:21" ht="15" thickBot="1" x14ac:dyDescent="0.4">
      <c r="A9" s="241"/>
      <c r="B9" s="241"/>
      <c r="C9" s="241"/>
      <c r="D9" s="266" t="s">
        <v>62</v>
      </c>
      <c r="E9" s="267">
        <f>'CML analysis 2'!$J$15</f>
        <v>180503640.80879357</v>
      </c>
      <c r="G9" s="250" t="s">
        <v>952</v>
      </c>
      <c r="H9" s="278">
        <f>$H$7/$E$41</f>
        <v>7.4888042681784546</v>
      </c>
      <c r="M9" s="273"/>
      <c r="O9" s="299" t="s">
        <v>929</v>
      </c>
      <c r="P9" s="307">
        <f t="shared" si="2"/>
        <v>50.371549776589397</v>
      </c>
      <c r="Q9" s="308">
        <f t="shared" si="2"/>
        <v>49.556903821357245</v>
      </c>
      <c r="R9" s="308">
        <f t="shared" si="2"/>
        <v>48.742257866125101</v>
      </c>
      <c r="S9" s="308">
        <f t="shared" si="2"/>
        <v>47.927611910892956</v>
      </c>
      <c r="T9" s="308">
        <f t="shared" si="2"/>
        <v>47.112965955660805</v>
      </c>
      <c r="U9" s="309">
        <f t="shared" si="2"/>
        <v>46.29832000042866</v>
      </c>
    </row>
    <row r="10" spans="1:21" ht="15" thickBot="1" x14ac:dyDescent="0.4">
      <c r="A10" s="241"/>
      <c r="B10" s="241"/>
      <c r="C10" s="241"/>
      <c r="D10" s="250" t="s">
        <v>63</v>
      </c>
      <c r="E10" s="272">
        <f>'CML analysis 2'!$J$15</f>
        <v>180503640.80879357</v>
      </c>
      <c r="G10" s="275" t="s">
        <v>954</v>
      </c>
      <c r="H10" s="256" t="s">
        <v>58</v>
      </c>
      <c r="I10" s="256" t="s">
        <v>59</v>
      </c>
      <c r="J10" s="256" t="s">
        <v>60</v>
      </c>
      <c r="K10" s="256" t="s">
        <v>61</v>
      </c>
      <c r="L10" s="256" t="s">
        <v>62</v>
      </c>
      <c r="M10" s="256" t="s">
        <v>63</v>
      </c>
      <c r="O10" s="259" t="s">
        <v>928</v>
      </c>
      <c r="P10" s="310">
        <f>$E$12</f>
        <v>0</v>
      </c>
      <c r="Q10" s="311">
        <f>$E$13</f>
        <v>0</v>
      </c>
      <c r="R10" s="311">
        <f>$E$14</f>
        <v>0</v>
      </c>
      <c r="S10" s="311">
        <f>$E$15</f>
        <v>0</v>
      </c>
      <c r="T10" s="311">
        <f>$E$16</f>
        <v>0</v>
      </c>
      <c r="U10" s="312">
        <f>$E$17</f>
        <v>0</v>
      </c>
    </row>
    <row r="11" spans="1:21" ht="15" thickBot="1" x14ac:dyDescent="0.4">
      <c r="A11" s="241"/>
      <c r="B11" s="241"/>
      <c r="C11" s="241"/>
      <c r="D11" s="257" t="s">
        <v>928</v>
      </c>
      <c r="E11" s="258"/>
      <c r="G11" s="260" t="s">
        <v>956</v>
      </c>
      <c r="H11" s="276">
        <f t="shared" ref="H11:M11" si="3">H12+$H$8</f>
        <v>65.349158312946301</v>
      </c>
      <c r="I11" s="276">
        <f t="shared" si="3"/>
        <v>64.534512357714149</v>
      </c>
      <c r="J11" s="276">
        <f t="shared" si="3"/>
        <v>63.719866402482012</v>
      </c>
      <c r="K11" s="276">
        <f t="shared" si="3"/>
        <v>62.905220447249867</v>
      </c>
      <c r="L11" s="276">
        <f t="shared" si="3"/>
        <v>62.090574492017716</v>
      </c>
      <c r="M11" s="276">
        <f t="shared" si="3"/>
        <v>61.275928536785571</v>
      </c>
      <c r="O11" s="274" t="str">
        <f>G20</f>
        <v>Did NIE Network beat their unplanned CML target?</v>
      </c>
      <c r="P11" s="300" t="str">
        <f t="shared" ref="P11:U11" si="4">H20</f>
        <v>N/A</v>
      </c>
      <c r="Q11" s="300" t="str">
        <f t="shared" si="4"/>
        <v>N/A</v>
      </c>
      <c r="R11" s="300" t="str">
        <f t="shared" si="4"/>
        <v>N/A</v>
      </c>
      <c r="S11" s="300" t="str">
        <f t="shared" si="4"/>
        <v>N/A</v>
      </c>
      <c r="T11" s="300" t="str">
        <f t="shared" si="4"/>
        <v>N/A</v>
      </c>
      <c r="U11" s="300" t="str">
        <f t="shared" si="4"/>
        <v>N/A</v>
      </c>
    </row>
    <row r="12" spans="1:21" ht="15" thickBot="1" x14ac:dyDescent="0.4">
      <c r="A12" s="241"/>
      <c r="B12" s="241"/>
      <c r="C12" s="241"/>
      <c r="D12" s="260" t="s">
        <v>58</v>
      </c>
      <c r="E12" s="318">
        <f>'NIE Networks'!$R$9</f>
        <v>0</v>
      </c>
      <c r="G12" s="266" t="s">
        <v>959</v>
      </c>
      <c r="H12" s="277">
        <f>$E$26</f>
        <v>57.860354044767853</v>
      </c>
      <c r="I12" s="277">
        <f>$E$27</f>
        <v>57.045708089535701</v>
      </c>
      <c r="J12" s="277">
        <f>$E$28</f>
        <v>56.231062134303556</v>
      </c>
      <c r="K12" s="277">
        <f>$E$29</f>
        <v>55.416416179071412</v>
      </c>
      <c r="L12" s="277">
        <f>$E$30</f>
        <v>54.60177022383926</v>
      </c>
      <c r="M12" s="277">
        <f>$E$31</f>
        <v>53.787124268607116</v>
      </c>
      <c r="O12" s="250"/>
      <c r="P12" s="264"/>
      <c r="Q12" s="264"/>
      <c r="R12" s="264"/>
      <c r="S12" s="264"/>
      <c r="T12" s="264"/>
      <c r="U12" s="265"/>
    </row>
    <row r="13" spans="1:21" ht="15" thickBot="1" x14ac:dyDescent="0.4">
      <c r="A13" s="241"/>
      <c r="B13" s="241"/>
      <c r="C13" s="241"/>
      <c r="D13" s="266" t="s">
        <v>59</v>
      </c>
      <c r="E13" s="319">
        <f>'NIE Networks'!$S$9</f>
        <v>0</v>
      </c>
      <c r="G13" s="271" t="s">
        <v>961</v>
      </c>
      <c r="H13" s="278">
        <f>$H$12-$H$8</f>
        <v>50.371549776589397</v>
      </c>
      <c r="I13" s="278">
        <f>$I$12-$H$8</f>
        <v>49.556903821357245</v>
      </c>
      <c r="J13" s="278">
        <f>$J$12-$H$8</f>
        <v>48.742257866125101</v>
      </c>
      <c r="K13" s="278">
        <f>$K$12-$H$8</f>
        <v>47.927611910892956</v>
      </c>
      <c r="L13" s="278">
        <f>$L$12-$H$8</f>
        <v>47.112965955660805</v>
      </c>
      <c r="M13" s="278">
        <f>$M$12-$H$8</f>
        <v>46.29832000042866</v>
      </c>
      <c r="O13" s="270" t="s">
        <v>930</v>
      </c>
      <c r="P13" s="256" t="s">
        <v>58</v>
      </c>
      <c r="Q13" s="256" t="s">
        <v>59</v>
      </c>
      <c r="R13" s="256" t="s">
        <v>60</v>
      </c>
      <c r="S13" s="256" t="s">
        <v>61</v>
      </c>
      <c r="T13" s="256" t="s">
        <v>62</v>
      </c>
      <c r="U13" s="256" t="s">
        <v>63</v>
      </c>
    </row>
    <row r="14" spans="1:21" ht="15" thickBot="1" x14ac:dyDescent="0.4">
      <c r="A14" s="241"/>
      <c r="B14" s="241"/>
      <c r="C14" s="241"/>
      <c r="D14" s="266" t="s">
        <v>60</v>
      </c>
      <c r="E14" s="319">
        <f>'NIE Networks'!$T$9</f>
        <v>0</v>
      </c>
      <c r="G14" s="275" t="s">
        <v>962</v>
      </c>
      <c r="H14" s="256" t="s">
        <v>58</v>
      </c>
      <c r="I14" s="256" t="s">
        <v>59</v>
      </c>
      <c r="J14" s="256" t="s">
        <v>60</v>
      </c>
      <c r="K14" s="256" t="s">
        <v>61</v>
      </c>
      <c r="L14" s="256" t="s">
        <v>62</v>
      </c>
      <c r="M14" s="256" t="s">
        <v>63</v>
      </c>
      <c r="O14" s="259" t="s">
        <v>931</v>
      </c>
      <c r="P14" s="304">
        <f t="shared" ref="P14:U14" si="5">H15</f>
        <v>65.362804268178436</v>
      </c>
      <c r="Q14" s="305">
        <f t="shared" si="5"/>
        <v>65.362804268178436</v>
      </c>
      <c r="R14" s="305">
        <f t="shared" si="5"/>
        <v>65.362804268178436</v>
      </c>
      <c r="S14" s="305">
        <f t="shared" si="5"/>
        <v>65.362804268178436</v>
      </c>
      <c r="T14" s="305">
        <f t="shared" si="5"/>
        <v>65.362804268178436</v>
      </c>
      <c r="U14" s="306">
        <f t="shared" si="5"/>
        <v>65.362804268178436</v>
      </c>
    </row>
    <row r="15" spans="1:21" ht="15" thickBot="1" x14ac:dyDescent="0.4">
      <c r="A15" s="241"/>
      <c r="B15" s="241"/>
      <c r="C15" s="241"/>
      <c r="D15" s="266" t="s">
        <v>61</v>
      </c>
      <c r="E15" s="319">
        <f>'NIE Networks'!$U$9</f>
        <v>0</v>
      </c>
      <c r="G15" s="260" t="s">
        <v>963</v>
      </c>
      <c r="H15" s="279">
        <f>$H$16+$H$9</f>
        <v>65.362804268178436</v>
      </c>
      <c r="I15" s="279">
        <f>$I$16+$H$9</f>
        <v>65.362804268178436</v>
      </c>
      <c r="J15" s="279">
        <f>$J$16+$H$9</f>
        <v>65.362804268178436</v>
      </c>
      <c r="K15" s="279">
        <f>$K$16+$H$9</f>
        <v>65.362804268178436</v>
      </c>
      <c r="L15" s="279">
        <f>$L$16+$H$9</f>
        <v>65.362804268178436</v>
      </c>
      <c r="M15" s="279">
        <f>$M$16+$H$9</f>
        <v>65.362804268178436</v>
      </c>
      <c r="O15" s="259" t="s">
        <v>45</v>
      </c>
      <c r="P15" s="307">
        <f t="shared" ref="P15:U16" si="6">H16</f>
        <v>57.873999999999988</v>
      </c>
      <c r="Q15" s="308">
        <f t="shared" si="6"/>
        <v>57.873999999999988</v>
      </c>
      <c r="R15" s="308">
        <f t="shared" si="6"/>
        <v>57.873999999999988</v>
      </c>
      <c r="S15" s="308">
        <f t="shared" si="6"/>
        <v>57.873999999999988</v>
      </c>
      <c r="T15" s="308">
        <f t="shared" si="6"/>
        <v>57.873999999999988</v>
      </c>
      <c r="U15" s="309">
        <f t="shared" si="6"/>
        <v>57.873999999999988</v>
      </c>
    </row>
    <row r="16" spans="1:21" ht="15" thickBot="1" x14ac:dyDescent="0.4">
      <c r="A16" s="241"/>
      <c r="B16" s="241"/>
      <c r="C16" s="241"/>
      <c r="D16" s="266" t="s">
        <v>62</v>
      </c>
      <c r="E16" s="319">
        <f>'NIE Networks'!$V$9</f>
        <v>0</v>
      </c>
      <c r="G16" s="266" t="s">
        <v>964</v>
      </c>
      <c r="H16" s="280">
        <f>$E$33</f>
        <v>57.873999999999988</v>
      </c>
      <c r="I16" s="280">
        <f>$E$34</f>
        <v>57.873999999999988</v>
      </c>
      <c r="J16" s="280">
        <f>$E$35</f>
        <v>57.873999999999988</v>
      </c>
      <c r="K16" s="280">
        <f>$E$36</f>
        <v>57.873999999999988</v>
      </c>
      <c r="L16" s="280">
        <f>$E$37</f>
        <v>57.873999999999988</v>
      </c>
      <c r="M16" s="280">
        <f>$E$38</f>
        <v>57.873999999999988</v>
      </c>
      <c r="O16" s="299" t="s">
        <v>933</v>
      </c>
      <c r="P16" s="307">
        <f t="shared" si="6"/>
        <v>50.385195731821533</v>
      </c>
      <c r="Q16" s="308">
        <f t="shared" si="6"/>
        <v>50.385195731821533</v>
      </c>
      <c r="R16" s="308">
        <f t="shared" si="6"/>
        <v>50.385195731821533</v>
      </c>
      <c r="S16" s="308">
        <f t="shared" si="6"/>
        <v>50.385195731821533</v>
      </c>
      <c r="T16" s="308">
        <f t="shared" si="6"/>
        <v>50.385195731821533</v>
      </c>
      <c r="U16" s="309">
        <f t="shared" si="6"/>
        <v>50.385195731821533</v>
      </c>
    </row>
    <row r="17" spans="1:21" ht="15" thickBot="1" x14ac:dyDescent="0.4">
      <c r="A17" s="241"/>
      <c r="B17" s="241"/>
      <c r="C17" s="241"/>
      <c r="D17" s="250" t="s">
        <v>63</v>
      </c>
      <c r="E17" s="319">
        <f>'NIE Networks'!$W$9</f>
        <v>0</v>
      </c>
      <c r="G17" s="250" t="s">
        <v>965</v>
      </c>
      <c r="H17" s="281">
        <f>$H$16-$H$9</f>
        <v>50.385195731821533</v>
      </c>
      <c r="I17" s="281">
        <f>$I$16-$H$9</f>
        <v>50.385195731821533</v>
      </c>
      <c r="J17" s="281">
        <f>$J$16-$H$9</f>
        <v>50.385195731821533</v>
      </c>
      <c r="K17" s="281">
        <f>$K$16-$H$9</f>
        <v>50.385195731821533</v>
      </c>
      <c r="L17" s="281">
        <f>$L$16-$H$9</f>
        <v>50.385195731821533</v>
      </c>
      <c r="M17" s="281">
        <f>$M$16-$H$9</f>
        <v>50.385195731821533</v>
      </c>
      <c r="O17" s="259" t="s">
        <v>932</v>
      </c>
      <c r="P17" s="310">
        <f>$E$19</f>
        <v>0</v>
      </c>
      <c r="Q17" s="311">
        <f>$E$20</f>
        <v>0</v>
      </c>
      <c r="R17" s="311">
        <f>$E$21</f>
        <v>0</v>
      </c>
      <c r="S17" s="311">
        <f>$E$22</f>
        <v>0</v>
      </c>
      <c r="T17" s="311">
        <f>$E$23</f>
        <v>0</v>
      </c>
      <c r="U17" s="312">
        <f>$E$24</f>
        <v>0</v>
      </c>
    </row>
    <row r="18" spans="1:21" ht="15" thickBot="1" x14ac:dyDescent="0.4">
      <c r="A18" s="241"/>
      <c r="B18" s="241"/>
      <c r="C18" s="241"/>
      <c r="D18" s="338" t="s">
        <v>932</v>
      </c>
      <c r="E18" s="336"/>
      <c r="G18" s="259" t="s">
        <v>966</v>
      </c>
      <c r="H18" s="256" t="s">
        <v>58</v>
      </c>
      <c r="I18" s="256" t="s">
        <v>59</v>
      </c>
      <c r="J18" s="256" t="s">
        <v>60</v>
      </c>
      <c r="K18" s="256" t="s">
        <v>61</v>
      </c>
      <c r="L18" s="256" t="s">
        <v>62</v>
      </c>
      <c r="M18" s="256" t="s">
        <v>63</v>
      </c>
      <c r="O18" s="259" t="str">
        <f>G28</f>
        <v>Did NIE Network beat the target?</v>
      </c>
      <c r="P18" s="301" t="str">
        <f t="shared" ref="P18:U18" si="7">H28</f>
        <v>N/A</v>
      </c>
      <c r="Q18" s="301" t="str">
        <f t="shared" si="7"/>
        <v>N/A</v>
      </c>
      <c r="R18" s="301" t="str">
        <f t="shared" si="7"/>
        <v>N/A</v>
      </c>
      <c r="S18" s="301" t="str">
        <f t="shared" si="7"/>
        <v>N/A</v>
      </c>
      <c r="T18" s="301" t="str">
        <f t="shared" si="7"/>
        <v>N/A</v>
      </c>
      <c r="U18" s="301" t="str">
        <f t="shared" si="7"/>
        <v>N/A</v>
      </c>
    </row>
    <row r="19" spans="1:21" x14ac:dyDescent="0.35">
      <c r="A19" s="241"/>
      <c r="B19" s="241"/>
      <c r="C19" s="241"/>
      <c r="D19" s="260" t="s">
        <v>58</v>
      </c>
      <c r="E19" s="318">
        <f>'NIE Networks'!$R$19</f>
        <v>0</v>
      </c>
      <c r="G19" s="282" t="s">
        <v>967</v>
      </c>
      <c r="H19" s="283">
        <f>$E$12</f>
        <v>0</v>
      </c>
      <c r="I19" s="283">
        <f>$E$13</f>
        <v>0</v>
      </c>
      <c r="J19" s="283">
        <f>$E$14</f>
        <v>0</v>
      </c>
      <c r="K19" s="283">
        <f>$E$15</f>
        <v>0</v>
      </c>
      <c r="L19" s="283">
        <f>$E$16</f>
        <v>0</v>
      </c>
      <c r="M19" s="283">
        <f>$E$17</f>
        <v>0</v>
      </c>
      <c r="O19" s="250"/>
      <c r="U19" s="273"/>
    </row>
    <row r="20" spans="1:21" x14ac:dyDescent="0.35">
      <c r="A20" s="241"/>
      <c r="B20" s="241"/>
      <c r="C20" s="241"/>
      <c r="D20" s="266" t="s">
        <v>59</v>
      </c>
      <c r="E20" s="319">
        <f>'NIE Networks'!$S$19</f>
        <v>0</v>
      </c>
      <c r="G20" s="284" t="s">
        <v>968</v>
      </c>
      <c r="H20" s="341" t="str">
        <f>IF(H19=0,"N/A",H$19&lt;H$12)</f>
        <v>N/A</v>
      </c>
      <c r="I20" s="341" t="str">
        <f t="shared" ref="I20:M20" si="8">IF(I19=0,"N/A",I$19&lt;I$12)</f>
        <v>N/A</v>
      </c>
      <c r="J20" s="341" t="str">
        <f t="shared" si="8"/>
        <v>N/A</v>
      </c>
      <c r="K20" s="341" t="str">
        <f t="shared" si="8"/>
        <v>N/A</v>
      </c>
      <c r="L20" s="341" t="str">
        <f t="shared" si="8"/>
        <v>N/A</v>
      </c>
      <c r="M20" s="341" t="str">
        <f t="shared" si="8"/>
        <v>N/A</v>
      </c>
      <c r="O20" s="250"/>
      <c r="U20" s="273"/>
    </row>
    <row r="21" spans="1:21" x14ac:dyDescent="0.35">
      <c r="A21" s="241"/>
      <c r="B21" s="241"/>
      <c r="C21" s="241"/>
      <c r="D21" s="266" t="s">
        <v>60</v>
      </c>
      <c r="E21" s="319">
        <f>'NIE Networks'!$T$19</f>
        <v>0</v>
      </c>
      <c r="G21" s="284" t="s">
        <v>969</v>
      </c>
      <c r="H21" s="286" t="str">
        <f>IF(H19=0,"N/A",H$12-H$19)</f>
        <v>N/A</v>
      </c>
      <c r="I21" s="286" t="str">
        <f t="shared" ref="I21:M21" si="9">IF(I19=0,"N/A",I$12-I$19)</f>
        <v>N/A</v>
      </c>
      <c r="J21" s="286" t="str">
        <f t="shared" si="9"/>
        <v>N/A</v>
      </c>
      <c r="K21" s="286" t="str">
        <f t="shared" si="9"/>
        <v>N/A</v>
      </c>
      <c r="L21" s="286" t="str">
        <f t="shared" si="9"/>
        <v>N/A</v>
      </c>
      <c r="M21" s="286" t="str">
        <f t="shared" si="9"/>
        <v>N/A</v>
      </c>
      <c r="O21" s="250"/>
      <c r="U21" s="273"/>
    </row>
    <row r="22" spans="1:21" x14ac:dyDescent="0.35">
      <c r="A22" s="241"/>
      <c r="B22" s="241"/>
      <c r="C22" s="241"/>
      <c r="D22" s="266" t="s">
        <v>61</v>
      </c>
      <c r="E22" s="319">
        <f>'NIE Networks'!$U$19</f>
        <v>0</v>
      </c>
      <c r="G22" s="284" t="s">
        <v>970</v>
      </c>
      <c r="H22" s="285" t="str">
        <f>IF(H19=0,"N/A",H$21*$E$40)</f>
        <v>N/A</v>
      </c>
      <c r="I22" s="285" t="str">
        <f t="shared" ref="I22:M22" si="10">IF(I19=0,"N/A",I$21*$E$40)</f>
        <v>N/A</v>
      </c>
      <c r="J22" s="285" t="str">
        <f t="shared" si="10"/>
        <v>N/A</v>
      </c>
      <c r="K22" s="285" t="str">
        <f t="shared" si="10"/>
        <v>N/A</v>
      </c>
      <c r="L22" s="285" t="str">
        <f t="shared" si="10"/>
        <v>N/A</v>
      </c>
      <c r="M22" s="285" t="str">
        <f t="shared" si="10"/>
        <v>N/A</v>
      </c>
      <c r="O22" s="250"/>
      <c r="U22" s="273"/>
    </row>
    <row r="23" spans="1:21" x14ac:dyDescent="0.35">
      <c r="A23" s="241"/>
      <c r="B23" s="241"/>
      <c r="C23" s="241"/>
      <c r="D23" s="266" t="s">
        <v>62</v>
      </c>
      <c r="E23" s="319">
        <f>'NIE Networks'!$V$19</f>
        <v>0</v>
      </c>
      <c r="G23" s="284" t="s">
        <v>971</v>
      </c>
      <c r="H23" s="287" t="str">
        <f>IF(H19=0,"N/A",ABS(H$22)&gt;$H$6)</f>
        <v>N/A</v>
      </c>
      <c r="I23" s="287" t="str">
        <f t="shared" ref="I23:M23" si="11">IF(I19=0,"N/A",ABS(I$22)&gt;$H$6)</f>
        <v>N/A</v>
      </c>
      <c r="J23" s="287" t="str">
        <f t="shared" si="11"/>
        <v>N/A</v>
      </c>
      <c r="K23" s="287" t="str">
        <f t="shared" si="11"/>
        <v>N/A</v>
      </c>
      <c r="L23" s="287" t="str">
        <f t="shared" si="11"/>
        <v>N/A</v>
      </c>
      <c r="M23" s="287" t="str">
        <f t="shared" si="11"/>
        <v>N/A</v>
      </c>
      <c r="O23" s="250"/>
      <c r="U23" s="273"/>
    </row>
    <row r="24" spans="1:21" ht="15" thickBot="1" x14ac:dyDescent="0.4">
      <c r="A24" s="241"/>
      <c r="B24" s="241"/>
      <c r="C24" s="241"/>
      <c r="D24" s="271" t="s">
        <v>63</v>
      </c>
      <c r="E24" s="340">
        <f>'NIE Networks'!$W$19</f>
        <v>0</v>
      </c>
      <c r="G24" s="284" t="s">
        <v>972</v>
      </c>
      <c r="H24" s="288" t="str">
        <f>IF(H19=0,"N/A",IF(H22&gt;0,"Reward","Penalty"))</f>
        <v>N/A</v>
      </c>
      <c r="I24" s="288" t="str">
        <f t="shared" ref="I24:M24" si="12">IF(I19=0,"N/A",IF(I22&gt;0,"Reward","Penalty"))</f>
        <v>N/A</v>
      </c>
      <c r="J24" s="288" t="str">
        <f t="shared" si="12"/>
        <v>N/A</v>
      </c>
      <c r="K24" s="288" t="str">
        <f t="shared" si="12"/>
        <v>N/A</v>
      </c>
      <c r="L24" s="288" t="str">
        <f t="shared" si="12"/>
        <v>N/A</v>
      </c>
      <c r="M24" s="288" t="str">
        <f t="shared" si="12"/>
        <v>N/A</v>
      </c>
      <c r="O24" s="250"/>
      <c r="U24" s="273"/>
    </row>
    <row r="25" spans="1:21" ht="15" thickBot="1" x14ac:dyDescent="0.4">
      <c r="A25" s="241"/>
      <c r="B25" s="241"/>
      <c r="C25" s="241"/>
      <c r="D25" s="339" t="s">
        <v>985</v>
      </c>
      <c r="E25" s="337"/>
      <c r="G25" s="291" t="s">
        <v>973</v>
      </c>
      <c r="H25" s="342" t="str">
        <f>IF(H19=0,"N/A",IF(H$23=FALSE,H$22,IF(H$22&gt;0,$H$6,$H$6*(-1))))</f>
        <v>N/A</v>
      </c>
      <c r="I25" s="342" t="str">
        <f t="shared" ref="I25:M25" si="13">IF(I19=0,"N/A",IF(I$23=FALSE,I$22,IF(I$22&gt;0,$H$6,$H$6*(-1))))</f>
        <v>N/A</v>
      </c>
      <c r="J25" s="342" t="str">
        <f t="shared" si="13"/>
        <v>N/A</v>
      </c>
      <c r="K25" s="342" t="str">
        <f t="shared" si="13"/>
        <v>N/A</v>
      </c>
      <c r="L25" s="342" t="str">
        <f t="shared" si="13"/>
        <v>N/A</v>
      </c>
      <c r="M25" s="342" t="str">
        <f t="shared" si="13"/>
        <v>N/A</v>
      </c>
      <c r="O25" s="250"/>
      <c r="U25" s="273"/>
    </row>
    <row r="26" spans="1:21" ht="15" thickBot="1" x14ac:dyDescent="0.4">
      <c r="A26" s="241"/>
      <c r="B26" s="241"/>
      <c r="C26" s="241"/>
      <c r="D26" s="266" t="s">
        <v>939</v>
      </c>
      <c r="E26" s="320">
        <f>'CML analysis 2'!$B$6</f>
        <v>57.860354044767853</v>
      </c>
      <c r="G26" s="259" t="s">
        <v>974</v>
      </c>
      <c r="H26" s="256" t="s">
        <v>58</v>
      </c>
      <c r="I26" s="256" t="s">
        <v>59</v>
      </c>
      <c r="J26" s="256" t="s">
        <v>60</v>
      </c>
      <c r="K26" s="256" t="s">
        <v>61</v>
      </c>
      <c r="L26" s="256" t="s">
        <v>62</v>
      </c>
      <c r="M26" s="256" t="s">
        <v>63</v>
      </c>
      <c r="O26" s="250"/>
      <c r="U26" s="273"/>
    </row>
    <row r="27" spans="1:21" x14ac:dyDescent="0.35">
      <c r="A27" s="241"/>
      <c r="B27" s="241"/>
      <c r="C27" s="241"/>
      <c r="D27" s="266" t="s">
        <v>941</v>
      </c>
      <c r="E27" s="320">
        <f>'CML analysis 2'!$C$6</f>
        <v>57.045708089535701</v>
      </c>
      <c r="G27" s="282" t="s">
        <v>975</v>
      </c>
      <c r="H27" s="283">
        <f>$E$19</f>
        <v>0</v>
      </c>
      <c r="I27" s="283">
        <f>$E$20</f>
        <v>0</v>
      </c>
      <c r="J27" s="283">
        <f>$E$21</f>
        <v>0</v>
      </c>
      <c r="K27" s="283">
        <f>$E$22</f>
        <v>0</v>
      </c>
      <c r="L27" s="283">
        <f>$E$23</f>
        <v>0</v>
      </c>
      <c r="M27" s="283">
        <f>$E$24</f>
        <v>0</v>
      </c>
      <c r="O27" s="250"/>
      <c r="U27" s="273"/>
    </row>
    <row r="28" spans="1:21" x14ac:dyDescent="0.35">
      <c r="A28" s="241"/>
      <c r="B28" s="241"/>
      <c r="C28" s="241"/>
      <c r="D28" s="266" t="s">
        <v>943</v>
      </c>
      <c r="E28" s="320">
        <f>'CML analysis 2'!$D$6</f>
        <v>56.231062134303556</v>
      </c>
      <c r="G28" s="284" t="s">
        <v>976</v>
      </c>
      <c r="H28" s="341" t="str">
        <f>IF(H27=0,"N/A",H$27&lt;H$16)</f>
        <v>N/A</v>
      </c>
      <c r="I28" s="341" t="str">
        <f t="shared" ref="I28:M28" si="14">IF(I27=0,"N/A",I$27&lt;I$16)</f>
        <v>N/A</v>
      </c>
      <c r="J28" s="341" t="str">
        <f t="shared" si="14"/>
        <v>N/A</v>
      </c>
      <c r="K28" s="341" t="str">
        <f t="shared" si="14"/>
        <v>N/A</v>
      </c>
      <c r="L28" s="341" t="str">
        <f t="shared" si="14"/>
        <v>N/A</v>
      </c>
      <c r="M28" s="341" t="str">
        <f t="shared" si="14"/>
        <v>N/A</v>
      </c>
      <c r="O28" s="250"/>
      <c r="U28" s="273"/>
    </row>
    <row r="29" spans="1:21" x14ac:dyDescent="0.35">
      <c r="A29" s="241"/>
      <c r="B29" s="241"/>
      <c r="C29" s="241"/>
      <c r="D29" s="266" t="s">
        <v>945</v>
      </c>
      <c r="E29" s="320">
        <f>'CML analysis 2'!$E$6</f>
        <v>55.416416179071412</v>
      </c>
      <c r="G29" s="284" t="s">
        <v>977</v>
      </c>
      <c r="H29" s="286" t="str">
        <f>IF(H27=0,"N/A",H$16-H$27)</f>
        <v>N/A</v>
      </c>
      <c r="I29" s="286" t="str">
        <f t="shared" ref="I29:M29" si="15">IF(I27=0,"N/A",I$16-I$27)</f>
        <v>N/A</v>
      </c>
      <c r="J29" s="286" t="str">
        <f t="shared" si="15"/>
        <v>N/A</v>
      </c>
      <c r="K29" s="286" t="str">
        <f t="shared" si="15"/>
        <v>N/A</v>
      </c>
      <c r="L29" s="286" t="str">
        <f t="shared" si="15"/>
        <v>N/A</v>
      </c>
      <c r="M29" s="286" t="str">
        <f t="shared" si="15"/>
        <v>N/A</v>
      </c>
      <c r="O29" s="250"/>
      <c r="U29" s="273"/>
    </row>
    <row r="30" spans="1:21" x14ac:dyDescent="0.35">
      <c r="A30" s="241"/>
      <c r="B30" s="241"/>
      <c r="C30" s="241"/>
      <c r="D30" s="266" t="s">
        <v>947</v>
      </c>
      <c r="E30" s="320">
        <f>'CML analysis 2'!$F$6</f>
        <v>54.60177022383926</v>
      </c>
      <c r="G30" s="284" t="s">
        <v>978</v>
      </c>
      <c r="H30" s="285" t="str">
        <f>IF(H27=0,"N/A",H$29*$E$41)</f>
        <v>N/A</v>
      </c>
      <c r="I30" s="285" t="str">
        <f t="shared" ref="I30:M30" si="16">IF(I27=0,"N/A",I$29*$E$41)</f>
        <v>N/A</v>
      </c>
      <c r="J30" s="285" t="str">
        <f t="shared" si="16"/>
        <v>N/A</v>
      </c>
      <c r="K30" s="285" t="str">
        <f t="shared" si="16"/>
        <v>N/A</v>
      </c>
      <c r="L30" s="285" t="str">
        <f t="shared" si="16"/>
        <v>N/A</v>
      </c>
      <c r="M30" s="285" t="str">
        <f t="shared" si="16"/>
        <v>N/A</v>
      </c>
      <c r="O30" s="250"/>
      <c r="U30" s="273"/>
    </row>
    <row r="31" spans="1:21" ht="15" thickBot="1" x14ac:dyDescent="0.4">
      <c r="A31" s="241"/>
      <c r="B31" s="241"/>
      <c r="C31" s="241"/>
      <c r="D31" s="266" t="s">
        <v>949</v>
      </c>
      <c r="E31" s="320">
        <f>'CML analysis 2'!$G$6</f>
        <v>53.787124268607116</v>
      </c>
      <c r="G31" s="284" t="s">
        <v>971</v>
      </c>
      <c r="H31" s="287" t="str">
        <f>IF(H27=0,"N/A",ABS(H$30)&gt;$H$7)</f>
        <v>N/A</v>
      </c>
      <c r="I31" s="287" t="str">
        <f t="shared" ref="I31:M31" si="17">IF(I27=0,"N/A",ABS(I$30)&gt;$H$7)</f>
        <v>N/A</v>
      </c>
      <c r="J31" s="287" t="str">
        <f t="shared" si="17"/>
        <v>N/A</v>
      </c>
      <c r="K31" s="287" t="str">
        <f t="shared" si="17"/>
        <v>N/A</v>
      </c>
      <c r="L31" s="287" t="str">
        <f t="shared" si="17"/>
        <v>N/A</v>
      </c>
      <c r="M31" s="287" t="str">
        <f t="shared" si="17"/>
        <v>N/A</v>
      </c>
      <c r="O31" s="250"/>
      <c r="U31" s="273"/>
    </row>
    <row r="32" spans="1:21" ht="15" thickBot="1" x14ac:dyDescent="0.4">
      <c r="A32" s="241"/>
      <c r="B32" s="241"/>
      <c r="C32" s="241"/>
      <c r="D32" s="257" t="s">
        <v>986</v>
      </c>
      <c r="E32" s="258"/>
      <c r="G32" s="284" t="s">
        <v>972</v>
      </c>
      <c r="H32" s="288" t="str">
        <f>IF(H27=0,"N/A",IF(H30&gt;0,"Reward","Penalty"))</f>
        <v>N/A</v>
      </c>
      <c r="I32" s="288" t="str">
        <f t="shared" ref="I32:M32" si="18">IF(I27=0,"N/A",IF(I30&gt;0,"Reward","Penalty"))</f>
        <v>N/A</v>
      </c>
      <c r="J32" s="288" t="str">
        <f t="shared" si="18"/>
        <v>N/A</v>
      </c>
      <c r="K32" s="288" t="str">
        <f t="shared" si="18"/>
        <v>N/A</v>
      </c>
      <c r="L32" s="288" t="str">
        <f t="shared" si="18"/>
        <v>N/A</v>
      </c>
      <c r="M32" s="288" t="str">
        <f t="shared" si="18"/>
        <v>N/A</v>
      </c>
      <c r="O32" s="250"/>
      <c r="U32" s="273"/>
    </row>
    <row r="33" spans="1:21" ht="15" thickBot="1" x14ac:dyDescent="0.4">
      <c r="A33" s="241"/>
      <c r="B33" s="241"/>
      <c r="C33" s="241"/>
      <c r="D33" s="266" t="s">
        <v>951</v>
      </c>
      <c r="E33" s="320">
        <f>'CML analysis 2'!$B$12</f>
        <v>57.873999999999988</v>
      </c>
      <c r="G33" s="291" t="s">
        <v>979</v>
      </c>
      <c r="H33" s="343" t="str">
        <f>IF(H27=0,"N/A",IF(H$31=FALSE,H$30,IF(H$31&gt;0,$H$7,$H$7*(-1))))</f>
        <v>N/A</v>
      </c>
      <c r="I33" s="343" t="str">
        <f t="shared" ref="I33:M33" si="19">IF(I27=0,"N/A",IF(I$31=FALSE,I$30,IF(I$31&gt;0,$H$7,$H$7*(-1))))</f>
        <v>N/A</v>
      </c>
      <c r="J33" s="343" t="str">
        <f t="shared" si="19"/>
        <v>N/A</v>
      </c>
      <c r="K33" s="343" t="str">
        <f t="shared" si="19"/>
        <v>N/A</v>
      </c>
      <c r="L33" s="343" t="str">
        <f t="shared" si="19"/>
        <v>N/A</v>
      </c>
      <c r="M33" s="343" t="str">
        <f t="shared" si="19"/>
        <v>N/A</v>
      </c>
      <c r="O33" s="250"/>
      <c r="U33" s="273"/>
    </row>
    <row r="34" spans="1:21" ht="15" thickBot="1" x14ac:dyDescent="0.4">
      <c r="A34" s="241"/>
      <c r="B34" s="241"/>
      <c r="C34" s="241"/>
      <c r="D34" s="266" t="s">
        <v>953</v>
      </c>
      <c r="E34" s="320">
        <f>'CML analysis 2'!$C$12</f>
        <v>57.873999999999988</v>
      </c>
      <c r="G34" s="259" t="s">
        <v>980</v>
      </c>
      <c r="H34" s="256" t="s">
        <v>58</v>
      </c>
      <c r="I34" s="256" t="s">
        <v>59</v>
      </c>
      <c r="J34" s="256" t="s">
        <v>60</v>
      </c>
      <c r="K34" s="256" t="s">
        <v>61</v>
      </c>
      <c r="L34" s="256" t="s">
        <v>62</v>
      </c>
      <c r="M34" s="256" t="s">
        <v>63</v>
      </c>
      <c r="O34" s="250"/>
      <c r="U34" s="273"/>
    </row>
    <row r="35" spans="1:21" x14ac:dyDescent="0.35">
      <c r="A35" s="241"/>
      <c r="B35" s="241"/>
      <c r="C35" s="241"/>
      <c r="D35" s="266" t="s">
        <v>955</v>
      </c>
      <c r="E35" s="320">
        <f>'CML analysis 2'!$D$12</f>
        <v>57.873999999999988</v>
      </c>
      <c r="G35" s="282" t="str">
        <f>G25</f>
        <v>Unplanned CML penalty/reward calculation (restricted)</v>
      </c>
      <c r="H35" s="344" t="str">
        <f>IF(H19=0,"N/A",H25)</f>
        <v>N/A</v>
      </c>
      <c r="I35" s="344" t="str">
        <f t="shared" ref="I35:M35" si="20">IF(I19=0,"N/A",I25)</f>
        <v>N/A</v>
      </c>
      <c r="J35" s="344" t="str">
        <f t="shared" si="20"/>
        <v>N/A</v>
      </c>
      <c r="K35" s="344" t="str">
        <f t="shared" si="20"/>
        <v>N/A</v>
      </c>
      <c r="L35" s="344" t="str">
        <f t="shared" si="20"/>
        <v>N/A</v>
      </c>
      <c r="M35" s="344" t="str">
        <f t="shared" si="20"/>
        <v>N/A</v>
      </c>
      <c r="O35" s="250"/>
      <c r="U35" s="273"/>
    </row>
    <row r="36" spans="1:21" x14ac:dyDescent="0.35">
      <c r="A36" s="241"/>
      <c r="B36" s="241"/>
      <c r="C36" s="241"/>
      <c r="D36" s="266" t="s">
        <v>957</v>
      </c>
      <c r="E36" s="320">
        <f>'CML analysis 2'!$E$12</f>
        <v>57.873999999999988</v>
      </c>
      <c r="G36" s="284" t="str">
        <f>G33</f>
        <v>Planned CML penalty/reward calculation (restricted)</v>
      </c>
      <c r="H36" s="345" t="str">
        <f>IF(H$27=0,"N/A",H33)</f>
        <v>N/A</v>
      </c>
      <c r="I36" s="345" t="str">
        <f t="shared" ref="I36:M36" si="21">IF(I$27=0,"N/A",I33)</f>
        <v>N/A</v>
      </c>
      <c r="J36" s="345" t="str">
        <f t="shared" si="21"/>
        <v>N/A</v>
      </c>
      <c r="K36" s="345" t="str">
        <f t="shared" si="21"/>
        <v>N/A</v>
      </c>
      <c r="L36" s="345" t="str">
        <f t="shared" si="21"/>
        <v>N/A</v>
      </c>
      <c r="M36" s="345" t="str">
        <f t="shared" si="21"/>
        <v>N/A</v>
      </c>
      <c r="O36" s="250"/>
      <c r="U36" s="273"/>
    </row>
    <row r="37" spans="1:21" ht="15" thickBot="1" x14ac:dyDescent="0.4">
      <c r="A37" s="241"/>
      <c r="B37" s="241"/>
      <c r="C37" s="241"/>
      <c r="D37" s="266" t="s">
        <v>958</v>
      </c>
      <c r="E37" s="320">
        <f>'CML analysis 2'!$F$12</f>
        <v>57.873999999999988</v>
      </c>
      <c r="G37" s="291" t="s">
        <v>981</v>
      </c>
      <c r="H37" s="342" t="str">
        <f>IF(OR(H19=0,H27=0),"N/A",H35+H36)</f>
        <v>N/A</v>
      </c>
      <c r="I37" s="342" t="str">
        <f t="shared" ref="I37:M37" si="22">IF(OR(I19=0,I27=0),"N/A",I35+I36)</f>
        <v>N/A</v>
      </c>
      <c r="J37" s="342" t="str">
        <f t="shared" si="22"/>
        <v>N/A</v>
      </c>
      <c r="K37" s="342" t="str">
        <f t="shared" si="22"/>
        <v>N/A</v>
      </c>
      <c r="L37" s="342" t="str">
        <f t="shared" si="22"/>
        <v>N/A</v>
      </c>
      <c r="M37" s="342" t="str">
        <f t="shared" si="22"/>
        <v>N/A</v>
      </c>
      <c r="O37" s="250"/>
      <c r="U37" s="273"/>
    </row>
    <row r="38" spans="1:21" ht="15" thickBot="1" x14ac:dyDescent="0.4">
      <c r="A38" s="241"/>
      <c r="B38" s="241"/>
      <c r="C38" s="241"/>
      <c r="D38" s="271" t="s">
        <v>960</v>
      </c>
      <c r="E38" s="321">
        <f>'CML analysis 2'!$G$12</f>
        <v>57.873999999999988</v>
      </c>
      <c r="O38" s="250"/>
      <c r="U38" s="273"/>
    </row>
    <row r="39" spans="1:21" ht="15" thickBot="1" x14ac:dyDescent="0.4">
      <c r="A39" s="241"/>
      <c r="B39" s="241"/>
      <c r="C39" s="241"/>
      <c r="D39" s="251" t="s">
        <v>934</v>
      </c>
      <c r="E39" s="252"/>
      <c r="O39" s="250"/>
      <c r="U39" s="273"/>
    </row>
    <row r="40" spans="1:21" x14ac:dyDescent="0.35">
      <c r="A40" s="241"/>
      <c r="B40" s="241"/>
      <c r="C40" s="241"/>
      <c r="D40" s="260" t="s">
        <v>935</v>
      </c>
      <c r="E40" s="293">
        <f>'CML analysis 2'!$J$12</f>
        <v>241031.32402030117</v>
      </c>
      <c r="O40" s="250"/>
      <c r="U40" s="273"/>
    </row>
    <row r="41" spans="1:21" x14ac:dyDescent="0.35">
      <c r="A41" s="241"/>
      <c r="B41" s="241"/>
      <c r="C41" s="241"/>
      <c r="D41" s="266" t="s">
        <v>936</v>
      </c>
      <c r="E41" s="294">
        <f>'CML analysis 2'!$J$13</f>
        <v>120515.66201015058</v>
      </c>
      <c r="O41" s="250"/>
      <c r="U41" s="273"/>
    </row>
    <row r="42" spans="1:21" x14ac:dyDescent="0.35">
      <c r="A42" s="241"/>
      <c r="B42" s="241"/>
      <c r="C42" s="241"/>
      <c r="D42" s="266" t="s">
        <v>82</v>
      </c>
      <c r="E42" s="295">
        <f>'CML analysis 2'!$O$10</f>
        <v>1.4999999999999999E-2</v>
      </c>
      <c r="O42" s="250"/>
      <c r="U42" s="273"/>
    </row>
    <row r="43" spans="1:21" x14ac:dyDescent="0.35">
      <c r="A43" s="241"/>
      <c r="B43" s="241"/>
      <c r="C43" s="241"/>
      <c r="D43" s="266" t="s">
        <v>937</v>
      </c>
      <c r="E43" s="295">
        <f>2/3</f>
        <v>0.66666666666666663</v>
      </c>
      <c r="O43" s="250"/>
      <c r="U43" s="273"/>
    </row>
    <row r="44" spans="1:21" x14ac:dyDescent="0.35">
      <c r="A44" s="241"/>
      <c r="B44" s="241"/>
      <c r="C44" s="241"/>
      <c r="D44" s="266" t="s">
        <v>938</v>
      </c>
      <c r="E44" s="295">
        <f>1/3</f>
        <v>0.33333333333333331</v>
      </c>
      <c r="O44" s="250"/>
      <c r="U44" s="273"/>
    </row>
    <row r="45" spans="1:21" x14ac:dyDescent="0.35">
      <c r="A45" s="241"/>
      <c r="B45" s="241"/>
      <c r="C45" s="241"/>
      <c r="O45" s="250"/>
      <c r="U45" s="273"/>
    </row>
    <row r="46" spans="1:21" x14ac:dyDescent="0.35">
      <c r="A46" s="241"/>
      <c r="B46" s="241"/>
      <c r="C46" s="241"/>
      <c r="O46" s="250"/>
      <c r="U46" s="273"/>
    </row>
    <row r="47" spans="1:21" x14ac:dyDescent="0.35">
      <c r="A47" s="241"/>
      <c r="B47" s="241"/>
      <c r="C47" s="241"/>
      <c r="O47" s="250"/>
      <c r="U47" s="273"/>
    </row>
    <row r="48" spans="1:21" x14ac:dyDescent="0.35">
      <c r="A48" s="241"/>
      <c r="B48" s="241"/>
      <c r="C48" s="241"/>
      <c r="O48" s="250"/>
      <c r="U48" s="273"/>
    </row>
    <row r="49" spans="1:21" x14ac:dyDescent="0.35">
      <c r="A49" s="241"/>
      <c r="B49" s="241"/>
      <c r="C49" s="241"/>
      <c r="O49" s="250"/>
      <c r="U49" s="273"/>
    </row>
    <row r="50" spans="1:21" x14ac:dyDescent="0.35">
      <c r="A50" s="241"/>
      <c r="B50" s="241"/>
      <c r="C50" s="241"/>
      <c r="O50" s="250"/>
      <c r="U50" s="273"/>
    </row>
    <row r="51" spans="1:21" x14ac:dyDescent="0.35">
      <c r="A51" s="241"/>
      <c r="B51" s="241"/>
      <c r="C51" s="241"/>
      <c r="O51" s="250"/>
      <c r="U51" s="273"/>
    </row>
    <row r="52" spans="1:21" ht="15" thickBot="1" x14ac:dyDescent="0.4">
      <c r="A52" s="241"/>
      <c r="B52" s="241"/>
      <c r="C52" s="241"/>
      <c r="O52" s="271"/>
      <c r="P52" s="289"/>
      <c r="Q52" s="289"/>
      <c r="R52" s="289"/>
      <c r="S52" s="289"/>
      <c r="T52" s="289"/>
      <c r="U52" s="290"/>
    </row>
    <row r="53" spans="1:21" x14ac:dyDescent="0.35">
      <c r="A53" s="241"/>
      <c r="B53" s="241"/>
      <c r="C53" s="241"/>
    </row>
    <row r="54" spans="1:21" x14ac:dyDescent="0.35">
      <c r="A54" s="241"/>
      <c r="B54" s="241"/>
      <c r="C54" s="241"/>
    </row>
    <row r="55" spans="1:21" x14ac:dyDescent="0.35">
      <c r="A55" s="241"/>
      <c r="B55" s="241"/>
      <c r="C55" s="241"/>
      <c r="D55" s="241"/>
      <c r="E55" s="241"/>
    </row>
    <row r="56" spans="1:21" x14ac:dyDescent="0.35">
      <c r="A56" s="241"/>
      <c r="B56" s="241"/>
      <c r="C56" s="241"/>
      <c r="D56" s="241"/>
      <c r="E56" s="241"/>
    </row>
    <row r="57" spans="1:21" x14ac:dyDescent="0.35">
      <c r="A57" s="241"/>
      <c r="B57" s="241"/>
      <c r="C57" s="241"/>
      <c r="D57" s="241"/>
      <c r="E57" s="241"/>
    </row>
    <row r="58" spans="1:21" x14ac:dyDescent="0.35">
      <c r="A58" s="241"/>
      <c r="B58" s="241"/>
      <c r="C58" s="241"/>
      <c r="D58" s="241"/>
      <c r="E58" s="241"/>
    </row>
    <row r="59" spans="1:21" x14ac:dyDescent="0.35">
      <c r="A59" s="241"/>
      <c r="B59" s="241"/>
      <c r="C59" s="241"/>
      <c r="D59" s="241"/>
      <c r="E59" s="241"/>
    </row>
    <row r="60" spans="1:21" x14ac:dyDescent="0.35">
      <c r="A60" s="241"/>
      <c r="B60" s="241"/>
      <c r="C60" s="241"/>
      <c r="D60" s="241"/>
      <c r="E60" s="241"/>
    </row>
    <row r="61" spans="1:21" x14ac:dyDescent="0.35">
      <c r="A61" s="241"/>
      <c r="B61" s="241"/>
      <c r="C61" s="241"/>
      <c r="D61" s="241"/>
      <c r="E61" s="241"/>
    </row>
    <row r="62" spans="1:21" x14ac:dyDescent="0.35">
      <c r="A62" s="241"/>
      <c r="B62" s="241"/>
      <c r="C62" s="241"/>
      <c r="D62" s="241"/>
      <c r="E62" s="241"/>
    </row>
    <row r="63" spans="1:21" x14ac:dyDescent="0.35">
      <c r="A63" s="241"/>
      <c r="B63" s="241"/>
      <c r="C63" s="241"/>
      <c r="D63" s="241"/>
      <c r="E63" s="241"/>
    </row>
    <row r="64" spans="1:21" x14ac:dyDescent="0.35">
      <c r="A64" s="241"/>
      <c r="B64" s="241"/>
      <c r="C64" s="241"/>
      <c r="D64" s="241"/>
      <c r="E64" s="241"/>
    </row>
    <row r="65" spans="1:5" x14ac:dyDescent="0.35">
      <c r="A65" s="241"/>
      <c r="B65" s="241"/>
      <c r="C65" s="241"/>
      <c r="D65" s="241"/>
      <c r="E65" s="241"/>
    </row>
    <row r="66" spans="1:5" x14ac:dyDescent="0.35">
      <c r="A66" s="241"/>
      <c r="B66" s="241"/>
      <c r="C66" s="241"/>
      <c r="D66" s="241"/>
      <c r="E66" s="241"/>
    </row>
    <row r="67" spans="1:5" x14ac:dyDescent="0.35">
      <c r="A67" s="241"/>
      <c r="B67" s="241"/>
      <c r="C67" s="241"/>
      <c r="D67" s="241"/>
      <c r="E67" s="241"/>
    </row>
    <row r="68" spans="1:5" x14ac:dyDescent="0.35">
      <c r="A68" s="241"/>
      <c r="B68" s="241"/>
      <c r="C68" s="241"/>
      <c r="D68" s="241"/>
      <c r="E68" s="241"/>
    </row>
    <row r="69" spans="1:5" x14ac:dyDescent="0.35">
      <c r="A69" s="241"/>
      <c r="B69" s="241"/>
      <c r="C69" s="241"/>
      <c r="D69" s="241"/>
      <c r="E69" s="241"/>
    </row>
    <row r="70" spans="1:5" x14ac:dyDescent="0.35">
      <c r="A70" s="241"/>
      <c r="B70" s="241"/>
      <c r="C70" s="241"/>
      <c r="D70" s="241"/>
      <c r="E70" s="241"/>
    </row>
    <row r="71" spans="1:5" x14ac:dyDescent="0.35">
      <c r="A71" s="241"/>
      <c r="B71" s="241"/>
      <c r="C71" s="241"/>
      <c r="D71" s="241"/>
      <c r="E71" s="241"/>
    </row>
    <row r="72" spans="1:5" x14ac:dyDescent="0.35">
      <c r="A72" s="241"/>
      <c r="B72" s="241"/>
      <c r="C72" s="241"/>
      <c r="D72" s="241"/>
      <c r="E72" s="241"/>
    </row>
    <row r="73" spans="1:5" x14ac:dyDescent="0.35">
      <c r="A73" s="241"/>
      <c r="B73" s="241"/>
      <c r="C73" s="241"/>
      <c r="D73" s="241"/>
      <c r="E73" s="241"/>
    </row>
    <row r="74" spans="1:5" x14ac:dyDescent="0.35">
      <c r="A74" s="241"/>
      <c r="B74" s="241"/>
      <c r="C74" s="241"/>
      <c r="D74" s="241"/>
      <c r="E74" s="241"/>
    </row>
    <row r="75" spans="1:5" x14ac:dyDescent="0.35">
      <c r="A75" s="241"/>
      <c r="B75" s="241"/>
      <c r="C75" s="241"/>
      <c r="D75" s="241"/>
      <c r="E75" s="241"/>
    </row>
    <row r="76" spans="1:5" x14ac:dyDescent="0.35">
      <c r="A76" s="241"/>
      <c r="B76" s="241"/>
      <c r="C76" s="241"/>
      <c r="D76" s="241"/>
      <c r="E76" s="241"/>
    </row>
    <row r="77" spans="1:5" x14ac:dyDescent="0.35">
      <c r="A77" s="241"/>
      <c r="B77" s="241"/>
      <c r="C77" s="241"/>
      <c r="D77" s="241"/>
      <c r="E77" s="241"/>
    </row>
    <row r="78" spans="1:5" x14ac:dyDescent="0.35">
      <c r="A78" s="241"/>
      <c r="B78" s="241"/>
      <c r="C78" s="241"/>
      <c r="D78" s="241"/>
      <c r="E78" s="241"/>
    </row>
    <row r="79" spans="1:5" x14ac:dyDescent="0.35">
      <c r="A79" s="241"/>
      <c r="B79" s="241"/>
      <c r="C79" s="241"/>
      <c r="D79" s="241"/>
      <c r="E79" s="241"/>
    </row>
    <row r="80" spans="1:5" x14ac:dyDescent="0.35">
      <c r="A80" s="241"/>
      <c r="B80" s="241"/>
      <c r="C80" s="241"/>
      <c r="D80" s="241"/>
      <c r="E80" s="241"/>
    </row>
    <row r="81" spans="1:5" x14ac:dyDescent="0.35">
      <c r="A81" s="241"/>
      <c r="B81" s="241"/>
      <c r="C81" s="241"/>
      <c r="D81" s="241"/>
      <c r="E81" s="241"/>
    </row>
    <row r="82" spans="1:5" x14ac:dyDescent="0.35">
      <c r="A82" s="241"/>
      <c r="B82" s="241"/>
      <c r="C82" s="241"/>
      <c r="D82" s="241"/>
      <c r="E82" s="241"/>
    </row>
    <row r="83" spans="1:5" x14ac:dyDescent="0.35">
      <c r="A83" s="241"/>
      <c r="B83" s="241"/>
      <c r="C83" s="241"/>
      <c r="D83" s="241"/>
      <c r="E83" s="241"/>
    </row>
    <row r="84" spans="1:5" x14ac:dyDescent="0.35">
      <c r="A84" s="241"/>
      <c r="B84" s="241"/>
      <c r="C84" s="241"/>
      <c r="D84" s="241"/>
      <c r="E84" s="241"/>
    </row>
    <row r="85" spans="1:5" x14ac:dyDescent="0.35">
      <c r="A85" s="241"/>
      <c r="B85" s="241"/>
      <c r="C85" s="241"/>
      <c r="D85" s="241"/>
      <c r="E85" s="241"/>
    </row>
    <row r="86" spans="1:5" x14ac:dyDescent="0.35">
      <c r="A86" s="241"/>
      <c r="B86" s="241"/>
      <c r="C86" s="241"/>
      <c r="D86" s="241"/>
      <c r="E86" s="241"/>
    </row>
    <row r="87" spans="1:5" x14ac:dyDescent="0.35">
      <c r="A87" s="241"/>
      <c r="B87" s="241"/>
      <c r="C87" s="241"/>
      <c r="D87" s="241"/>
      <c r="E87" s="241"/>
    </row>
    <row r="88" spans="1:5" x14ac:dyDescent="0.35">
      <c r="A88" s="241"/>
      <c r="B88" s="241"/>
      <c r="C88" s="241"/>
      <c r="D88" s="241"/>
      <c r="E88" s="241"/>
    </row>
    <row r="89" spans="1:5" x14ac:dyDescent="0.35">
      <c r="A89" s="241"/>
      <c r="B89" s="241"/>
      <c r="C89" s="241"/>
      <c r="D89" s="241"/>
      <c r="E89" s="241"/>
    </row>
    <row r="90" spans="1:5" x14ac:dyDescent="0.35">
      <c r="A90" s="241"/>
      <c r="B90" s="241"/>
      <c r="C90" s="241"/>
      <c r="D90" s="241"/>
      <c r="E90" s="241"/>
    </row>
    <row r="91" spans="1:5" x14ac:dyDescent="0.35">
      <c r="A91" s="241"/>
      <c r="B91" s="241"/>
      <c r="C91" s="241"/>
      <c r="D91" s="241"/>
      <c r="E91" s="241"/>
    </row>
    <row r="92" spans="1:5" x14ac:dyDescent="0.35">
      <c r="A92" s="241"/>
      <c r="B92" s="241"/>
      <c r="C92" s="241"/>
      <c r="D92" s="241"/>
      <c r="E92" s="241"/>
    </row>
    <row r="93" spans="1:5" x14ac:dyDescent="0.35">
      <c r="A93" s="241"/>
      <c r="B93" s="241"/>
      <c r="C93" s="241"/>
      <c r="D93" s="241"/>
      <c r="E93" s="241"/>
    </row>
    <row r="94" spans="1:5" x14ac:dyDescent="0.35">
      <c r="A94" s="241"/>
      <c r="B94" s="241"/>
      <c r="C94" s="241"/>
      <c r="D94" s="241"/>
      <c r="E94" s="241"/>
    </row>
    <row r="95" spans="1:5" x14ac:dyDescent="0.35">
      <c r="A95" s="241"/>
      <c r="B95" s="241"/>
      <c r="C95" s="241"/>
      <c r="D95" s="241"/>
      <c r="E95" s="241"/>
    </row>
    <row r="96" spans="1:5" x14ac:dyDescent="0.35">
      <c r="A96" s="241"/>
      <c r="B96" s="241"/>
      <c r="C96" s="241"/>
      <c r="D96" s="241"/>
      <c r="E96" s="241"/>
    </row>
    <row r="97" spans="1:5" x14ac:dyDescent="0.35">
      <c r="A97" s="241"/>
      <c r="B97" s="241"/>
      <c r="C97" s="241"/>
      <c r="D97" s="241"/>
      <c r="E97" s="241"/>
    </row>
    <row r="98" spans="1:5" x14ac:dyDescent="0.35">
      <c r="A98" s="241"/>
      <c r="B98" s="241"/>
      <c r="C98" s="241"/>
      <c r="D98" s="241"/>
      <c r="E98" s="241"/>
    </row>
    <row r="99" spans="1:5" x14ac:dyDescent="0.35">
      <c r="A99" s="241"/>
      <c r="B99" s="241"/>
      <c r="C99" s="241"/>
      <c r="D99" s="241"/>
      <c r="E99" s="241"/>
    </row>
    <row r="100" spans="1:5" x14ac:dyDescent="0.35">
      <c r="A100" s="241"/>
      <c r="B100" s="241"/>
      <c r="C100" s="241"/>
      <c r="D100" s="241"/>
      <c r="E100" s="241"/>
    </row>
    <row r="101" spans="1:5" x14ac:dyDescent="0.35">
      <c r="A101" s="241"/>
      <c r="B101" s="241"/>
      <c r="C101" s="241"/>
      <c r="D101" s="241"/>
      <c r="E101" s="241"/>
    </row>
    <row r="102" spans="1:5" x14ac:dyDescent="0.35">
      <c r="A102" s="241"/>
      <c r="B102" s="241"/>
      <c r="C102" s="241"/>
      <c r="D102" s="241"/>
      <c r="E102" s="241"/>
    </row>
    <row r="103" spans="1:5" x14ac:dyDescent="0.35">
      <c r="A103" s="241"/>
      <c r="B103" s="241"/>
      <c r="C103" s="241"/>
      <c r="D103" s="241"/>
      <c r="E103" s="241"/>
    </row>
    <row r="104" spans="1:5" x14ac:dyDescent="0.35">
      <c r="A104" s="241"/>
      <c r="B104" s="241"/>
      <c r="C104" s="241"/>
      <c r="D104" s="241"/>
      <c r="E104" s="241"/>
    </row>
    <row r="105" spans="1:5" x14ac:dyDescent="0.35">
      <c r="A105" s="241"/>
      <c r="B105" s="241"/>
      <c r="C105" s="241"/>
      <c r="D105" s="241"/>
      <c r="E105" s="241"/>
    </row>
    <row r="106" spans="1:5" x14ac:dyDescent="0.35">
      <c r="A106" s="241"/>
      <c r="B106" s="241"/>
      <c r="C106" s="241"/>
      <c r="D106" s="241"/>
      <c r="E106" s="241"/>
    </row>
    <row r="107" spans="1:5" x14ac:dyDescent="0.35">
      <c r="A107" s="241"/>
      <c r="B107" s="241"/>
      <c r="C107" s="241"/>
      <c r="D107" s="241"/>
      <c r="E107" s="241"/>
    </row>
    <row r="108" spans="1:5" x14ac:dyDescent="0.35">
      <c r="A108" s="241"/>
      <c r="B108" s="241"/>
      <c r="C108" s="241"/>
      <c r="D108" s="241"/>
      <c r="E108" s="241"/>
    </row>
    <row r="109" spans="1:5" x14ac:dyDescent="0.35">
      <c r="A109" s="241"/>
      <c r="B109" s="241"/>
      <c r="C109" s="241"/>
      <c r="D109" s="241"/>
      <c r="E109" s="241"/>
    </row>
    <row r="110" spans="1:5" x14ac:dyDescent="0.35">
      <c r="A110" s="241"/>
      <c r="B110" s="241"/>
      <c r="C110" s="241"/>
      <c r="D110" s="241"/>
      <c r="E110" s="241"/>
    </row>
    <row r="111" spans="1:5" x14ac:dyDescent="0.35">
      <c r="A111" s="241"/>
      <c r="B111" s="241"/>
      <c r="C111" s="241"/>
      <c r="D111" s="241"/>
      <c r="E111" s="241"/>
    </row>
    <row r="112" spans="1:5" x14ac:dyDescent="0.35">
      <c r="A112" s="241"/>
      <c r="B112" s="241"/>
      <c r="C112" s="241"/>
      <c r="D112" s="241"/>
      <c r="E112" s="241"/>
    </row>
    <row r="113" spans="1:5" x14ac:dyDescent="0.35">
      <c r="A113" s="241"/>
      <c r="B113" s="241"/>
      <c r="C113" s="241"/>
      <c r="D113" s="241"/>
      <c r="E113" s="241"/>
    </row>
    <row r="114" spans="1:5" x14ac:dyDescent="0.35">
      <c r="A114" s="241"/>
      <c r="B114" s="241"/>
      <c r="C114" s="241"/>
    </row>
  </sheetData>
  <conditionalFormatting sqref="H24:M24">
    <cfRule type="containsText" dxfId="13" priority="13" operator="containsText" text="Penalty">
      <formula>NOT(ISERROR(SEARCH("Penalty",H24)))</formula>
    </cfRule>
    <cfRule type="containsText" dxfId="12" priority="14" operator="containsText" text="Reward">
      <formula>NOT(ISERROR(SEARCH("Reward",H24)))</formula>
    </cfRule>
  </conditionalFormatting>
  <conditionalFormatting sqref="H23:M23">
    <cfRule type="containsText" dxfId="11" priority="11" operator="containsText" text="TRUE">
      <formula>NOT(ISERROR(SEARCH("TRUE",H23)))</formula>
    </cfRule>
    <cfRule type="containsText" dxfId="10" priority="12" operator="containsText" text="FALSE">
      <formula>NOT(ISERROR(SEARCH("FALSE",H23)))</formula>
    </cfRule>
  </conditionalFormatting>
  <conditionalFormatting sqref="H32:M32">
    <cfRule type="containsText" dxfId="9" priority="9" operator="containsText" text="Penalty">
      <formula>NOT(ISERROR(SEARCH("Penalty",H32)))</formula>
    </cfRule>
    <cfRule type="containsText" dxfId="8" priority="10" operator="containsText" text="Reward">
      <formula>NOT(ISERROR(SEARCH("Reward",H32)))</formula>
    </cfRule>
  </conditionalFormatting>
  <conditionalFormatting sqref="H31:M31">
    <cfRule type="containsText" dxfId="7" priority="7" operator="containsText" text="TRUE">
      <formula>NOT(ISERROR(SEARCH("TRUE",H31)))</formula>
    </cfRule>
    <cfRule type="containsText" dxfId="6" priority="8" operator="containsText" text="FALSE">
      <formula>NOT(ISERROR(SEARCH("FALSE",H31)))</formula>
    </cfRule>
  </conditionalFormatting>
  <conditionalFormatting sqref="H28:M28">
    <cfRule type="cellIs" dxfId="5" priority="6" operator="equal">
      <formula>TRUE</formula>
    </cfRule>
  </conditionalFormatting>
  <conditionalFormatting sqref="H20:M20">
    <cfRule type="cellIs" dxfId="4" priority="5" operator="equal">
      <formula>TRUE</formula>
    </cfRule>
  </conditionalFormatting>
  <conditionalFormatting sqref="P11:U11">
    <cfRule type="containsText" dxfId="3" priority="3" operator="containsText" text="FALSE">
      <formula>NOT(ISERROR(SEARCH("FALSE",P11)))</formula>
    </cfRule>
    <cfRule type="containsText" dxfId="2" priority="4" operator="containsText" text="TRUE">
      <formula>NOT(ISERROR(SEARCH("TRUE",P11)))</formula>
    </cfRule>
  </conditionalFormatting>
  <conditionalFormatting sqref="P18:U18">
    <cfRule type="containsText" dxfId="1" priority="1" operator="containsText" text="FALSE">
      <formula>NOT(ISERROR(SEARCH("FALSE",P18)))</formula>
    </cfRule>
    <cfRule type="containsText" dxfId="0" priority="2" operator="containsText" text="TRUE">
      <formula>NOT(ISERROR(SEARCH("TRUE",P18)))</formula>
    </cfRule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1"/>
  <sheetViews>
    <sheetView workbookViewId="0">
      <selection sqref="A1:XFD1048576"/>
    </sheetView>
  </sheetViews>
  <sheetFormatPr defaultRowHeight="14.5" x14ac:dyDescent="0.35"/>
  <cols>
    <col min="1" max="16384" width="8.7265625" style="1"/>
  </cols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79998168889431442"/>
  </sheetPr>
  <dimension ref="A1:J59"/>
  <sheetViews>
    <sheetView zoomScale="80" zoomScaleNormal="80" workbookViewId="0"/>
  </sheetViews>
  <sheetFormatPr defaultRowHeight="12.5" x14ac:dyDescent="0.25"/>
  <cols>
    <col min="1" max="1" width="8.7265625" style="100"/>
    <col min="2" max="2" width="67.08984375" style="100" bestFit="1" customWidth="1"/>
    <col min="3" max="3" width="8.7265625" style="100"/>
    <col min="4" max="9" width="8.7265625" style="104"/>
    <col min="10" max="16384" width="8.7265625" style="100"/>
  </cols>
  <sheetData>
    <row r="1" spans="1:10" ht="13" x14ac:dyDescent="0.3">
      <c r="A1" s="97" t="s">
        <v>8</v>
      </c>
      <c r="B1" s="97" t="s">
        <v>4</v>
      </c>
      <c r="C1" s="98" t="s">
        <v>5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</row>
    <row r="2" spans="1:10" x14ac:dyDescent="0.25">
      <c r="A2" s="100" t="s">
        <v>16</v>
      </c>
      <c r="B2" s="100" t="s">
        <v>0</v>
      </c>
      <c r="C2" s="101" t="s">
        <v>6</v>
      </c>
      <c r="D2" s="102">
        <v>59</v>
      </c>
      <c r="E2" s="102">
        <v>51.12</v>
      </c>
      <c r="F2" s="102">
        <v>48.8</v>
      </c>
      <c r="G2" s="102">
        <v>56.13</v>
      </c>
      <c r="H2" s="102">
        <v>46.48</v>
      </c>
      <c r="I2" s="102">
        <v>43.55</v>
      </c>
      <c r="J2" s="107"/>
    </row>
    <row r="3" spans="1:10" x14ac:dyDescent="0.25">
      <c r="A3" s="100" t="s">
        <v>16</v>
      </c>
      <c r="B3" s="100" t="s">
        <v>1</v>
      </c>
      <c r="C3" s="101" t="s">
        <v>7</v>
      </c>
      <c r="D3" s="102">
        <v>47.94</v>
      </c>
      <c r="E3" s="102">
        <v>35.69</v>
      </c>
      <c r="F3" s="102">
        <v>29.73</v>
      </c>
      <c r="G3" s="102">
        <v>27</v>
      </c>
      <c r="H3" s="102">
        <v>22.74</v>
      </c>
      <c r="I3" s="102">
        <v>21.11</v>
      </c>
      <c r="J3" s="107"/>
    </row>
    <row r="4" spans="1:10" x14ac:dyDescent="0.25">
      <c r="A4" s="100" t="s">
        <v>16</v>
      </c>
      <c r="B4" s="100" t="s">
        <v>2</v>
      </c>
      <c r="C4" s="101" t="s">
        <v>6</v>
      </c>
      <c r="D4" s="102">
        <v>59</v>
      </c>
      <c r="E4" s="102">
        <v>51.05</v>
      </c>
      <c r="F4" s="102">
        <v>47.12</v>
      </c>
      <c r="G4" s="102">
        <v>52.38</v>
      </c>
      <c r="H4" s="102">
        <v>45.01</v>
      </c>
      <c r="I4" s="102">
        <v>41.68</v>
      </c>
      <c r="J4" s="107"/>
    </row>
    <row r="5" spans="1:10" x14ac:dyDescent="0.25">
      <c r="A5" s="100" t="s">
        <v>16</v>
      </c>
      <c r="B5" s="100" t="s">
        <v>3</v>
      </c>
      <c r="C5" s="101" t="s">
        <v>7</v>
      </c>
      <c r="D5" s="102">
        <v>47.94</v>
      </c>
      <c r="E5" s="102">
        <v>32.82</v>
      </c>
      <c r="F5" s="102">
        <v>28.58</v>
      </c>
      <c r="G5" s="102">
        <v>25.08</v>
      </c>
      <c r="H5" s="102">
        <v>21.49</v>
      </c>
      <c r="I5" s="102">
        <v>19.899999999999999</v>
      </c>
      <c r="J5" s="107"/>
    </row>
    <row r="6" spans="1:10" x14ac:dyDescent="0.25">
      <c r="A6" s="100" t="s">
        <v>17</v>
      </c>
      <c r="B6" s="100" t="s">
        <v>0</v>
      </c>
      <c r="C6" s="101" t="s">
        <v>6</v>
      </c>
      <c r="D6" s="102">
        <v>47.82</v>
      </c>
      <c r="E6" s="102">
        <v>43.25</v>
      </c>
      <c r="F6" s="102">
        <v>44.77</v>
      </c>
      <c r="G6" s="102">
        <v>47.78</v>
      </c>
      <c r="H6" s="102">
        <v>34.44</v>
      </c>
      <c r="I6" s="102">
        <v>45.62</v>
      </c>
      <c r="J6" s="107"/>
    </row>
    <row r="7" spans="1:10" x14ac:dyDescent="0.25">
      <c r="A7" s="100" t="s">
        <v>17</v>
      </c>
      <c r="B7" s="100" t="s">
        <v>1</v>
      </c>
      <c r="C7" s="101" t="s">
        <v>7</v>
      </c>
      <c r="D7" s="102">
        <v>42.22</v>
      </c>
      <c r="E7" s="102">
        <v>39.65</v>
      </c>
      <c r="F7" s="102">
        <v>44.46</v>
      </c>
      <c r="G7" s="102">
        <v>46.56</v>
      </c>
      <c r="H7" s="102">
        <v>29.08</v>
      </c>
      <c r="I7" s="102">
        <v>78.81</v>
      </c>
      <c r="J7" s="107"/>
    </row>
    <row r="8" spans="1:10" x14ac:dyDescent="0.25">
      <c r="A8" s="100" t="s">
        <v>17</v>
      </c>
      <c r="B8" s="100" t="s">
        <v>2</v>
      </c>
      <c r="C8" s="101" t="s">
        <v>6</v>
      </c>
      <c r="D8" s="102">
        <v>45.65</v>
      </c>
      <c r="E8" s="102">
        <v>43.25</v>
      </c>
      <c r="F8" s="102">
        <v>44.08</v>
      </c>
      <c r="G8" s="102">
        <v>42.59</v>
      </c>
      <c r="H8" s="102">
        <v>34.44</v>
      </c>
      <c r="I8" s="102">
        <v>35.54</v>
      </c>
      <c r="J8" s="107"/>
    </row>
    <row r="9" spans="1:10" x14ac:dyDescent="0.25">
      <c r="A9" s="100" t="s">
        <v>17</v>
      </c>
      <c r="B9" s="100" t="s">
        <v>3</v>
      </c>
      <c r="C9" s="101" t="s">
        <v>7</v>
      </c>
      <c r="D9" s="102">
        <v>40.44</v>
      </c>
      <c r="E9" s="103">
        <v>39.65</v>
      </c>
      <c r="F9" s="102">
        <v>42.5</v>
      </c>
      <c r="G9" s="102">
        <v>37.229999999999997</v>
      </c>
      <c r="H9" s="102">
        <v>29.08</v>
      </c>
      <c r="I9" s="102">
        <v>28.62</v>
      </c>
      <c r="J9" s="107"/>
    </row>
    <row r="10" spans="1:10" x14ac:dyDescent="0.25">
      <c r="A10" s="100" t="s">
        <v>18</v>
      </c>
      <c r="B10" s="100" t="s">
        <v>0</v>
      </c>
      <c r="C10" s="101" t="s">
        <v>6</v>
      </c>
      <c r="D10" s="102">
        <v>86.664478160767899</v>
      </c>
      <c r="E10" s="102">
        <v>66.2</v>
      </c>
      <c r="F10" s="102">
        <v>56.699999999999996</v>
      </c>
      <c r="G10" s="102">
        <v>80.387491006601465</v>
      </c>
      <c r="H10" s="102">
        <v>53.879999999999995</v>
      </c>
      <c r="I10" s="102">
        <v>51.53</v>
      </c>
      <c r="J10" s="107"/>
    </row>
    <row r="11" spans="1:10" x14ac:dyDescent="0.25">
      <c r="A11" s="100" t="s">
        <v>18</v>
      </c>
      <c r="B11" s="100" t="s">
        <v>1</v>
      </c>
      <c r="C11" s="101" t="s">
        <v>7</v>
      </c>
      <c r="D11" s="102">
        <v>72.830115878988678</v>
      </c>
      <c r="E11" s="102">
        <v>50.085999999999999</v>
      </c>
      <c r="F11" s="102">
        <v>49.64</v>
      </c>
      <c r="G11" s="102">
        <v>116.21954438962798</v>
      </c>
      <c r="H11" s="102">
        <v>40.199999999999996</v>
      </c>
      <c r="I11" s="102">
        <v>34.32</v>
      </c>
      <c r="J11" s="107"/>
    </row>
    <row r="12" spans="1:10" x14ac:dyDescent="0.25">
      <c r="A12" s="100" t="s">
        <v>18</v>
      </c>
      <c r="B12" s="100" t="s">
        <v>2</v>
      </c>
      <c r="C12" s="101" t="s">
        <v>6</v>
      </c>
      <c r="D12" s="102">
        <v>86</v>
      </c>
      <c r="E12" s="102">
        <v>63.2</v>
      </c>
      <c r="F12" s="102">
        <v>56.7</v>
      </c>
      <c r="G12" s="102">
        <v>59.84</v>
      </c>
      <c r="H12" s="102">
        <v>52.78</v>
      </c>
      <c r="I12" s="102">
        <v>43.3309</v>
      </c>
      <c r="J12" s="107"/>
    </row>
    <row r="13" spans="1:10" x14ac:dyDescent="0.25">
      <c r="A13" s="100" t="s">
        <v>18</v>
      </c>
      <c r="B13" s="100" t="s">
        <v>3</v>
      </c>
      <c r="C13" s="101" t="s">
        <v>7</v>
      </c>
      <c r="D13" s="102">
        <v>72.400000000000006</v>
      </c>
      <c r="E13" s="102">
        <v>47.5</v>
      </c>
      <c r="F13" s="102">
        <v>49.64</v>
      </c>
      <c r="G13" s="102">
        <v>51.18</v>
      </c>
      <c r="H13" s="102">
        <v>40.200000000000003</v>
      </c>
      <c r="I13" s="102">
        <v>29.8489</v>
      </c>
      <c r="J13" s="107"/>
    </row>
    <row r="14" spans="1:10" x14ac:dyDescent="0.25">
      <c r="A14" s="100" t="s">
        <v>19</v>
      </c>
      <c r="B14" s="100" t="s">
        <v>0</v>
      </c>
      <c r="C14" s="101" t="s">
        <v>6</v>
      </c>
      <c r="D14" s="102">
        <v>24.434919614262139</v>
      </c>
      <c r="E14" s="102">
        <v>27.625</v>
      </c>
      <c r="F14" s="102">
        <v>26.97</v>
      </c>
      <c r="G14" s="102">
        <v>21.610560542215836</v>
      </c>
      <c r="H14" s="102">
        <v>21.164999999999999</v>
      </c>
      <c r="I14" s="102">
        <v>18.899999999999999</v>
      </c>
      <c r="J14" s="107"/>
    </row>
    <row r="15" spans="1:10" x14ac:dyDescent="0.25">
      <c r="A15" s="100" t="s">
        <v>19</v>
      </c>
      <c r="B15" s="100" t="s">
        <v>1</v>
      </c>
      <c r="C15" s="101" t="s">
        <v>7</v>
      </c>
      <c r="D15" s="102">
        <v>42.419544409779917</v>
      </c>
      <c r="E15" s="102">
        <v>31.164999999999999</v>
      </c>
      <c r="F15" s="102">
        <v>33.964999999999996</v>
      </c>
      <c r="G15" s="102">
        <v>29.784493340564008</v>
      </c>
      <c r="H15" s="102">
        <v>24.025000000000002</v>
      </c>
      <c r="I15" s="102">
        <v>18.72</v>
      </c>
      <c r="J15" s="107"/>
    </row>
    <row r="16" spans="1:10" x14ac:dyDescent="0.25">
      <c r="A16" s="100" t="s">
        <v>19</v>
      </c>
      <c r="B16" s="100" t="s">
        <v>2</v>
      </c>
      <c r="C16" s="101" t="s">
        <v>6</v>
      </c>
      <c r="D16" s="102">
        <v>24.4</v>
      </c>
      <c r="E16" s="102">
        <v>27.6</v>
      </c>
      <c r="F16" s="102">
        <v>25.04</v>
      </c>
      <c r="G16" s="102">
        <v>21.61</v>
      </c>
      <c r="H16" s="102">
        <v>20.89</v>
      </c>
      <c r="I16" s="102">
        <v>18.649999999999999</v>
      </c>
      <c r="J16" s="107"/>
    </row>
    <row r="17" spans="1:10" x14ac:dyDescent="0.25">
      <c r="A17" s="100" t="s">
        <v>19</v>
      </c>
      <c r="B17" s="100" t="s">
        <v>3</v>
      </c>
      <c r="C17" s="101" t="s">
        <v>7</v>
      </c>
      <c r="D17" s="102">
        <v>42.4</v>
      </c>
      <c r="E17" s="102">
        <v>31.2</v>
      </c>
      <c r="F17" s="102">
        <v>33.82</v>
      </c>
      <c r="G17" s="102">
        <v>29.78</v>
      </c>
      <c r="H17" s="102">
        <v>24.03</v>
      </c>
      <c r="I17" s="102">
        <v>18.72</v>
      </c>
      <c r="J17" s="107"/>
    </row>
    <row r="18" spans="1:10" x14ac:dyDescent="0.25">
      <c r="A18" s="100" t="s">
        <v>20</v>
      </c>
      <c r="B18" s="100" t="s">
        <v>0</v>
      </c>
      <c r="C18" s="101" t="s">
        <v>6</v>
      </c>
      <c r="D18" s="102">
        <v>63.073924627114792</v>
      </c>
      <c r="E18" s="102">
        <v>64.97799446067458</v>
      </c>
      <c r="F18" s="102">
        <v>69.769017578002902</v>
      </c>
      <c r="G18" s="102">
        <v>63.8834066527697</v>
      </c>
      <c r="H18" s="102">
        <v>61.950377684103316</v>
      </c>
      <c r="I18" s="102">
        <v>63.771021076514657</v>
      </c>
      <c r="J18" s="107"/>
    </row>
    <row r="19" spans="1:10" x14ac:dyDescent="0.25">
      <c r="A19" s="100" t="s">
        <v>20</v>
      </c>
      <c r="B19" s="100" t="s">
        <v>1</v>
      </c>
      <c r="C19" s="101" t="s">
        <v>7</v>
      </c>
      <c r="D19" s="102">
        <v>64.607362761362353</v>
      </c>
      <c r="E19" s="102">
        <v>60.112878931593123</v>
      </c>
      <c r="F19" s="102">
        <v>83.036468183480068</v>
      </c>
      <c r="G19" s="102">
        <v>58.26911507779171</v>
      </c>
      <c r="H19" s="102">
        <v>48.008259342036467</v>
      </c>
      <c r="I19" s="102">
        <v>56.760244779732069</v>
      </c>
      <c r="J19" s="107"/>
    </row>
    <row r="20" spans="1:10" x14ac:dyDescent="0.25">
      <c r="A20" s="100" t="s">
        <v>20</v>
      </c>
      <c r="B20" s="100" t="s">
        <v>2</v>
      </c>
      <c r="C20" s="101" t="s">
        <v>6</v>
      </c>
      <c r="D20" s="102">
        <v>61.943924627114789</v>
      </c>
      <c r="E20" s="102">
        <v>64.127994460674586</v>
      </c>
      <c r="F20" s="102">
        <v>61.169903506318093</v>
      </c>
      <c r="G20" s="102">
        <v>58.51717228922422</v>
      </c>
      <c r="H20" s="102">
        <v>61.950377684103316</v>
      </c>
      <c r="I20" s="102">
        <v>55.381021076514656</v>
      </c>
      <c r="J20" s="107"/>
    </row>
    <row r="21" spans="1:10" x14ac:dyDescent="0.25">
      <c r="A21" s="100" t="s">
        <v>20</v>
      </c>
      <c r="B21" s="100" t="s">
        <v>3</v>
      </c>
      <c r="C21" s="101" t="s">
        <v>7</v>
      </c>
      <c r="D21" s="102">
        <v>62.447362761362356</v>
      </c>
      <c r="E21" s="102">
        <v>58.48287893159312</v>
      </c>
      <c r="F21" s="102">
        <v>59.663835120265055</v>
      </c>
      <c r="G21" s="102">
        <v>51.920197396219734</v>
      </c>
      <c r="H21" s="102">
        <v>48.008259342036467</v>
      </c>
      <c r="I21" s="102">
        <v>43.310244779732074</v>
      </c>
      <c r="J21" s="107"/>
    </row>
    <row r="22" spans="1:10" x14ac:dyDescent="0.25">
      <c r="A22" s="100" t="s">
        <v>21</v>
      </c>
      <c r="B22" s="100" t="s">
        <v>0</v>
      </c>
      <c r="C22" s="101" t="s">
        <v>6</v>
      </c>
      <c r="D22" s="102">
        <v>68.416368373417697</v>
      </c>
      <c r="E22" s="102">
        <v>69.669229248732819</v>
      </c>
      <c r="F22" s="102">
        <v>71.358783234890552</v>
      </c>
      <c r="G22" s="102">
        <v>67.905301415271012</v>
      </c>
      <c r="H22" s="102">
        <v>59.184236380735221</v>
      </c>
      <c r="I22" s="102">
        <v>52.795434649983719</v>
      </c>
      <c r="J22" s="107"/>
    </row>
    <row r="23" spans="1:10" x14ac:dyDescent="0.25">
      <c r="A23" s="100" t="s">
        <v>21</v>
      </c>
      <c r="B23" s="100" t="s">
        <v>1</v>
      </c>
      <c r="C23" s="101" t="s">
        <v>7</v>
      </c>
      <c r="D23" s="102">
        <v>64.95587193433947</v>
      </c>
      <c r="E23" s="102">
        <v>60.747198278904939</v>
      </c>
      <c r="F23" s="102">
        <v>58.815214932674287</v>
      </c>
      <c r="G23" s="102">
        <v>63.833274771706968</v>
      </c>
      <c r="H23" s="102">
        <v>45.843044726809111</v>
      </c>
      <c r="I23" s="102">
        <v>42.812099687456616</v>
      </c>
      <c r="J23" s="107"/>
    </row>
    <row r="24" spans="1:10" x14ac:dyDescent="0.25">
      <c r="A24" s="100" t="s">
        <v>21</v>
      </c>
      <c r="B24" s="100" t="s">
        <v>2</v>
      </c>
      <c r="C24" s="101" t="s">
        <v>6</v>
      </c>
      <c r="D24" s="102">
        <v>68.092368373417699</v>
      </c>
      <c r="E24" s="102">
        <v>67.399229248732823</v>
      </c>
      <c r="F24" s="102">
        <v>70.448783234890556</v>
      </c>
      <c r="G24" s="102">
        <v>62.475301415271012</v>
      </c>
      <c r="H24" s="102">
        <v>59.184236380735221</v>
      </c>
      <c r="I24" s="102">
        <v>51.235434649983716</v>
      </c>
      <c r="J24" s="107"/>
    </row>
    <row r="25" spans="1:10" x14ac:dyDescent="0.25">
      <c r="A25" s="100" t="s">
        <v>21</v>
      </c>
      <c r="B25" s="100" t="s">
        <v>3</v>
      </c>
      <c r="C25" s="101" t="s">
        <v>7</v>
      </c>
      <c r="D25" s="102">
        <v>63.015871934339472</v>
      </c>
      <c r="E25" s="102">
        <v>59.517198278904942</v>
      </c>
      <c r="F25" s="102">
        <v>57.795214932674284</v>
      </c>
      <c r="G25" s="102">
        <v>52.508274771706965</v>
      </c>
      <c r="H25" s="102">
        <v>45.843044726809111</v>
      </c>
      <c r="I25" s="102">
        <v>38.012099687456619</v>
      </c>
      <c r="J25" s="107"/>
    </row>
    <row r="26" spans="1:10" x14ac:dyDescent="0.25">
      <c r="A26" s="100" t="s">
        <v>22</v>
      </c>
      <c r="B26" s="100" t="s">
        <v>0</v>
      </c>
      <c r="C26" s="101" t="s">
        <v>6</v>
      </c>
      <c r="D26" s="102">
        <v>53.731869288185692</v>
      </c>
      <c r="E26" s="102">
        <v>50.483994464620643</v>
      </c>
      <c r="F26" s="102">
        <v>65.619401065367725</v>
      </c>
      <c r="G26" s="102">
        <v>52.008171652800932</v>
      </c>
      <c r="H26" s="102">
        <v>58.318083613537553</v>
      </c>
      <c r="I26" s="102">
        <v>47.682078122709655</v>
      </c>
      <c r="J26" s="107"/>
    </row>
    <row r="27" spans="1:10" x14ac:dyDescent="0.25">
      <c r="A27" s="100" t="s">
        <v>22</v>
      </c>
      <c r="B27" s="100" t="s">
        <v>1</v>
      </c>
      <c r="C27" s="101" t="s">
        <v>7</v>
      </c>
      <c r="D27" s="102">
        <v>64.44442157431709</v>
      </c>
      <c r="E27" s="102">
        <v>48.315132779862296</v>
      </c>
      <c r="F27" s="102">
        <v>94.960689806297239</v>
      </c>
      <c r="G27" s="102">
        <v>52.956052819175127</v>
      </c>
      <c r="H27" s="102">
        <v>53.895633822426156</v>
      </c>
      <c r="I27" s="102">
        <v>34.561122948289565</v>
      </c>
      <c r="J27" s="107"/>
    </row>
    <row r="28" spans="1:10" x14ac:dyDescent="0.25">
      <c r="A28" s="100" t="s">
        <v>22</v>
      </c>
      <c r="B28" s="100" t="s">
        <v>2</v>
      </c>
      <c r="C28" s="101" t="s">
        <v>6</v>
      </c>
      <c r="D28" s="102">
        <v>50.591869288185691</v>
      </c>
      <c r="E28" s="102">
        <v>49.46399446462064</v>
      </c>
      <c r="F28" s="102">
        <v>51.109401065367727</v>
      </c>
      <c r="G28" s="102">
        <v>49.87817165280093</v>
      </c>
      <c r="H28" s="102">
        <v>51.108083613537552</v>
      </c>
      <c r="I28" s="102">
        <v>44.752078122709655</v>
      </c>
      <c r="J28" s="107"/>
    </row>
    <row r="29" spans="1:10" x14ac:dyDescent="0.25">
      <c r="A29" s="100" t="s">
        <v>22</v>
      </c>
      <c r="B29" s="100" t="s">
        <v>3</v>
      </c>
      <c r="C29" s="101" t="s">
        <v>7</v>
      </c>
      <c r="D29" s="102">
        <v>48.774421574317088</v>
      </c>
      <c r="E29" s="102">
        <v>46.565132779862296</v>
      </c>
      <c r="F29" s="102">
        <v>45.160689806297242</v>
      </c>
      <c r="G29" s="102">
        <v>41.396052819175125</v>
      </c>
      <c r="H29" s="102">
        <v>39.265633822426153</v>
      </c>
      <c r="I29" s="102">
        <v>29.491122948289565</v>
      </c>
      <c r="J29" s="107"/>
    </row>
    <row r="30" spans="1:10" x14ac:dyDescent="0.25">
      <c r="A30" s="100" t="s">
        <v>23</v>
      </c>
      <c r="B30" s="100" t="s">
        <v>0</v>
      </c>
      <c r="C30" s="101" t="s">
        <v>6</v>
      </c>
      <c r="D30" s="102">
        <v>37.274405395332664</v>
      </c>
      <c r="E30" s="102">
        <v>40.823740045638395</v>
      </c>
      <c r="F30" s="102">
        <v>33.404866977004353</v>
      </c>
      <c r="G30" s="102">
        <v>34.321271353956014</v>
      </c>
      <c r="H30" s="102">
        <v>54.861802176445913</v>
      </c>
      <c r="I30" s="102">
        <v>30.550383461153721</v>
      </c>
      <c r="J30" s="107"/>
    </row>
    <row r="31" spans="1:10" x14ac:dyDescent="0.25">
      <c r="A31" s="100" t="s">
        <v>23</v>
      </c>
      <c r="B31" s="100" t="s">
        <v>1</v>
      </c>
      <c r="C31" s="101" t="s">
        <v>7</v>
      </c>
      <c r="D31" s="102">
        <v>39.656660832550997</v>
      </c>
      <c r="E31" s="102">
        <v>46.965719356860866</v>
      </c>
      <c r="F31" s="102">
        <v>33.078726001941625</v>
      </c>
      <c r="G31" s="102">
        <v>43.229582737210094</v>
      </c>
      <c r="H31" s="102">
        <v>129.6600201703707</v>
      </c>
      <c r="I31" s="102">
        <v>27.209677892630879</v>
      </c>
      <c r="J31" s="107"/>
    </row>
    <row r="32" spans="1:10" x14ac:dyDescent="0.25">
      <c r="A32" s="100" t="s">
        <v>23</v>
      </c>
      <c r="B32" s="100" t="s">
        <v>2</v>
      </c>
      <c r="C32" s="101" t="s">
        <v>6</v>
      </c>
      <c r="D32" s="102">
        <v>37.274405395332664</v>
      </c>
      <c r="E32" s="102">
        <v>36.803740045638392</v>
      </c>
      <c r="F32" s="102">
        <v>32.674866977004356</v>
      </c>
      <c r="G32" s="102">
        <v>31.111271353956013</v>
      </c>
      <c r="H32" s="102">
        <v>37.931802176445913</v>
      </c>
      <c r="I32" s="102">
        <v>29.820383461153721</v>
      </c>
      <c r="J32" s="107"/>
    </row>
    <row r="33" spans="1:10" x14ac:dyDescent="0.25">
      <c r="A33" s="100" t="s">
        <v>23</v>
      </c>
      <c r="B33" s="100" t="s">
        <v>3</v>
      </c>
      <c r="C33" s="101" t="s">
        <v>7</v>
      </c>
      <c r="D33" s="102">
        <v>39.656660832550997</v>
      </c>
      <c r="E33" s="102">
        <v>39.365719356860865</v>
      </c>
      <c r="F33" s="102">
        <v>32.248726001941627</v>
      </c>
      <c r="G33" s="102">
        <v>32.609582737210097</v>
      </c>
      <c r="H33" s="102">
        <v>34.680020170370696</v>
      </c>
      <c r="I33" s="102">
        <v>26.549677892630879</v>
      </c>
      <c r="J33" s="107"/>
    </row>
    <row r="34" spans="1:10" x14ac:dyDescent="0.25">
      <c r="A34" s="100" t="s">
        <v>24</v>
      </c>
      <c r="B34" s="100" t="s">
        <v>0</v>
      </c>
      <c r="C34" s="101" t="s">
        <v>6</v>
      </c>
      <c r="D34" s="102">
        <v>78.125369410483557</v>
      </c>
      <c r="E34" s="102">
        <v>55.994999999999997</v>
      </c>
      <c r="F34" s="102">
        <v>54.95</v>
      </c>
      <c r="G34" s="102">
        <v>80.620818937973795</v>
      </c>
      <c r="H34" s="102">
        <v>51.805</v>
      </c>
      <c r="I34" s="102">
        <v>51.86</v>
      </c>
      <c r="J34" s="107"/>
    </row>
    <row r="35" spans="1:10" x14ac:dyDescent="0.25">
      <c r="A35" s="100" t="s">
        <v>24</v>
      </c>
      <c r="B35" s="100" t="s">
        <v>1</v>
      </c>
      <c r="C35" s="101" t="s">
        <v>7</v>
      </c>
      <c r="D35" s="102">
        <v>73.222143494283259</v>
      </c>
      <c r="E35" s="102">
        <v>46.277000000000008</v>
      </c>
      <c r="F35" s="102">
        <v>47.015000000000001</v>
      </c>
      <c r="G35" s="102">
        <v>133.04807925984153</v>
      </c>
      <c r="H35" s="102">
        <v>36.895000000000003</v>
      </c>
      <c r="I35" s="102">
        <v>40.020000000000003</v>
      </c>
      <c r="J35" s="107"/>
    </row>
    <row r="36" spans="1:10" x14ac:dyDescent="0.25">
      <c r="A36" s="100" t="s">
        <v>24</v>
      </c>
      <c r="B36" s="100" t="s">
        <v>2</v>
      </c>
      <c r="C36" s="101" t="s">
        <v>6</v>
      </c>
      <c r="D36" s="102">
        <v>76.900000000000006</v>
      </c>
      <c r="E36" s="102">
        <v>53.5</v>
      </c>
      <c r="F36" s="102">
        <v>54.95</v>
      </c>
      <c r="G36" s="102">
        <v>55.83</v>
      </c>
      <c r="H36" s="102">
        <v>50.1</v>
      </c>
      <c r="I36" s="102">
        <v>47.671199999999999</v>
      </c>
      <c r="J36" s="107"/>
    </row>
    <row r="37" spans="1:10" x14ac:dyDescent="0.25">
      <c r="A37" s="100" t="s">
        <v>24</v>
      </c>
      <c r="B37" s="100" t="s">
        <v>3</v>
      </c>
      <c r="C37" s="101" t="s">
        <v>7</v>
      </c>
      <c r="D37" s="102">
        <v>73.2</v>
      </c>
      <c r="E37" s="102">
        <v>43</v>
      </c>
      <c r="F37" s="102">
        <v>47.02</v>
      </c>
      <c r="G37" s="102">
        <v>53.15</v>
      </c>
      <c r="H37" s="102">
        <v>35.04</v>
      </c>
      <c r="I37" s="102">
        <v>33.967200000000005</v>
      </c>
      <c r="J37" s="107"/>
    </row>
    <row r="38" spans="1:10" x14ac:dyDescent="0.25">
      <c r="A38" s="100" t="s">
        <v>9</v>
      </c>
      <c r="B38" s="100" t="s">
        <v>0</v>
      </c>
      <c r="C38" s="101" t="s">
        <v>6</v>
      </c>
      <c r="D38" s="102">
        <v>74</v>
      </c>
      <c r="E38" s="102">
        <v>71</v>
      </c>
      <c r="F38" s="102">
        <v>69</v>
      </c>
      <c r="G38" s="102">
        <v>75</v>
      </c>
      <c r="H38" s="102">
        <v>70</v>
      </c>
      <c r="I38" s="102">
        <v>82.31</v>
      </c>
      <c r="J38" s="107"/>
    </row>
    <row r="39" spans="1:10" x14ac:dyDescent="0.25">
      <c r="A39" s="100" t="s">
        <v>9</v>
      </c>
      <c r="B39" s="100" t="s">
        <v>1</v>
      </c>
      <c r="C39" s="101" t="s">
        <v>7</v>
      </c>
      <c r="D39" s="102">
        <v>78</v>
      </c>
      <c r="E39" s="102">
        <v>73</v>
      </c>
      <c r="F39" s="102">
        <v>73</v>
      </c>
      <c r="G39" s="102">
        <v>77</v>
      </c>
      <c r="H39" s="102">
        <v>69</v>
      </c>
      <c r="I39" s="102">
        <v>80.489999999999995</v>
      </c>
      <c r="J39" s="107"/>
    </row>
    <row r="40" spans="1:10" x14ac:dyDescent="0.25">
      <c r="A40" s="100" t="s">
        <v>9</v>
      </c>
      <c r="B40" s="100" t="s">
        <v>2</v>
      </c>
      <c r="C40" s="101" t="s">
        <v>6</v>
      </c>
      <c r="D40" s="102">
        <f t="shared" ref="D40:H41" si="0">D38</f>
        <v>74</v>
      </c>
      <c r="E40" s="102">
        <f t="shared" si="0"/>
        <v>71</v>
      </c>
      <c r="F40" s="102">
        <f t="shared" si="0"/>
        <v>69</v>
      </c>
      <c r="G40" s="102">
        <f t="shared" si="0"/>
        <v>75</v>
      </c>
      <c r="H40" s="102">
        <f t="shared" si="0"/>
        <v>70</v>
      </c>
      <c r="I40" s="102">
        <v>72.209999999999994</v>
      </c>
      <c r="J40" s="107"/>
    </row>
    <row r="41" spans="1:10" x14ac:dyDescent="0.25">
      <c r="A41" s="100" t="s">
        <v>9</v>
      </c>
      <c r="B41" s="100" t="s">
        <v>3</v>
      </c>
      <c r="C41" s="101" t="s">
        <v>7</v>
      </c>
      <c r="D41" s="102">
        <f t="shared" si="0"/>
        <v>78</v>
      </c>
      <c r="E41" s="102">
        <f t="shared" si="0"/>
        <v>73</v>
      </c>
      <c r="F41" s="102">
        <f t="shared" si="0"/>
        <v>73</v>
      </c>
      <c r="G41" s="102">
        <f t="shared" si="0"/>
        <v>77</v>
      </c>
      <c r="H41" s="102">
        <f t="shared" si="0"/>
        <v>69</v>
      </c>
      <c r="I41" s="102">
        <v>61.91</v>
      </c>
      <c r="J41" s="107"/>
    </row>
    <row r="42" spans="1:10" x14ac:dyDescent="0.25">
      <c r="A42" s="100" t="s">
        <v>25</v>
      </c>
      <c r="B42" s="100" t="s">
        <v>0</v>
      </c>
      <c r="C42" s="101" t="s">
        <v>6</v>
      </c>
      <c r="D42" s="102">
        <v>62</v>
      </c>
      <c r="E42" s="102">
        <v>74</v>
      </c>
      <c r="F42" s="102">
        <v>61</v>
      </c>
      <c r="G42" s="102">
        <v>87</v>
      </c>
      <c r="H42" s="102">
        <v>58</v>
      </c>
      <c r="I42" s="102">
        <v>48</v>
      </c>
      <c r="J42" s="107"/>
    </row>
    <row r="43" spans="1:10" x14ac:dyDescent="0.25">
      <c r="A43" s="100" t="s">
        <v>25</v>
      </c>
      <c r="B43" s="100" t="s">
        <v>1</v>
      </c>
      <c r="C43" s="101" t="s">
        <v>7</v>
      </c>
      <c r="D43" s="102">
        <v>63</v>
      </c>
      <c r="E43" s="102">
        <v>60</v>
      </c>
      <c r="F43" s="102">
        <v>61</v>
      </c>
      <c r="G43" s="102">
        <v>171</v>
      </c>
      <c r="H43" s="102">
        <v>51</v>
      </c>
      <c r="I43" s="102">
        <v>44</v>
      </c>
      <c r="J43" s="107"/>
    </row>
    <row r="44" spans="1:10" x14ac:dyDescent="0.25">
      <c r="A44" s="100" t="s">
        <v>25</v>
      </c>
      <c r="B44" s="100" t="s">
        <v>2</v>
      </c>
      <c r="C44" s="101" t="s">
        <v>6</v>
      </c>
      <c r="D44" s="102">
        <v>61</v>
      </c>
      <c r="E44" s="102">
        <v>68</v>
      </c>
      <c r="F44" s="102">
        <v>59</v>
      </c>
      <c r="G44" s="102">
        <v>67</v>
      </c>
      <c r="H44" s="102">
        <v>58</v>
      </c>
      <c r="I44" s="102">
        <v>46</v>
      </c>
      <c r="J44" s="107"/>
    </row>
    <row r="45" spans="1:10" x14ac:dyDescent="0.25">
      <c r="A45" s="100" t="s">
        <v>25</v>
      </c>
      <c r="B45" s="100" t="s">
        <v>3</v>
      </c>
      <c r="C45" s="101" t="s">
        <v>7</v>
      </c>
      <c r="D45" s="102">
        <v>58</v>
      </c>
      <c r="E45" s="102">
        <v>54</v>
      </c>
      <c r="F45" s="102">
        <v>59</v>
      </c>
      <c r="G45" s="102">
        <v>62</v>
      </c>
      <c r="H45" s="102">
        <v>51</v>
      </c>
      <c r="I45" s="102">
        <v>38</v>
      </c>
      <c r="J45" s="107"/>
    </row>
    <row r="46" spans="1:10" x14ac:dyDescent="0.25">
      <c r="A46" s="100" t="s">
        <v>26</v>
      </c>
      <c r="B46" s="100" t="s">
        <v>0</v>
      </c>
      <c r="C46" s="101" t="s">
        <v>6</v>
      </c>
      <c r="D46" s="102">
        <v>55.09</v>
      </c>
      <c r="E46" s="102">
        <v>51.94</v>
      </c>
      <c r="F46" s="102">
        <v>49.32</v>
      </c>
      <c r="G46" s="102">
        <v>72.97</v>
      </c>
      <c r="H46" s="102">
        <v>56.17</v>
      </c>
      <c r="I46" s="102">
        <v>49.99</v>
      </c>
      <c r="J46" s="107"/>
    </row>
    <row r="47" spans="1:10" x14ac:dyDescent="0.25">
      <c r="A47" s="100" t="s">
        <v>26</v>
      </c>
      <c r="B47" s="100" t="s">
        <v>1</v>
      </c>
      <c r="C47" s="101" t="s">
        <v>7</v>
      </c>
      <c r="D47" s="102">
        <v>27.06</v>
      </c>
      <c r="E47" s="102">
        <v>26.6</v>
      </c>
      <c r="F47" s="102">
        <v>29.35</v>
      </c>
      <c r="G47" s="102">
        <v>62.68</v>
      </c>
      <c r="H47" s="102">
        <v>25.74</v>
      </c>
      <c r="I47" s="102">
        <v>22.08</v>
      </c>
      <c r="J47" s="107"/>
    </row>
    <row r="48" spans="1:10" x14ac:dyDescent="0.25">
      <c r="A48" s="100" t="s">
        <v>26</v>
      </c>
      <c r="B48" s="100" t="s">
        <v>2</v>
      </c>
      <c r="C48" s="101" t="s">
        <v>6</v>
      </c>
      <c r="D48" s="102">
        <v>55.09</v>
      </c>
      <c r="E48" s="102">
        <v>49.21</v>
      </c>
      <c r="F48" s="102">
        <v>44.4</v>
      </c>
      <c r="G48" s="102">
        <v>45.76</v>
      </c>
      <c r="H48" s="102">
        <v>52.64</v>
      </c>
      <c r="I48" s="102">
        <v>43.79</v>
      </c>
      <c r="J48" s="107"/>
    </row>
    <row r="49" spans="1:10" x14ac:dyDescent="0.25">
      <c r="A49" s="100" t="s">
        <v>26</v>
      </c>
      <c r="B49" s="100" t="s">
        <v>3</v>
      </c>
      <c r="C49" s="101" t="s">
        <v>7</v>
      </c>
      <c r="D49" s="102">
        <v>27.06</v>
      </c>
      <c r="E49" s="102">
        <v>25.29</v>
      </c>
      <c r="F49" s="102">
        <v>23.86</v>
      </c>
      <c r="G49" s="102">
        <v>25.13</v>
      </c>
      <c r="H49" s="102">
        <v>24.16</v>
      </c>
      <c r="I49" s="102">
        <v>20.72</v>
      </c>
      <c r="J49" s="107"/>
    </row>
    <row r="50" spans="1:10" x14ac:dyDescent="0.25">
      <c r="A50" s="100" t="s">
        <v>27</v>
      </c>
      <c r="B50" s="100" t="s">
        <v>0</v>
      </c>
      <c r="C50" s="101" t="s">
        <v>6</v>
      </c>
      <c r="D50" s="102">
        <v>61.63</v>
      </c>
      <c r="E50" s="102">
        <v>50.43</v>
      </c>
      <c r="F50" s="102">
        <v>59.37</v>
      </c>
      <c r="G50" s="102">
        <v>70.010000000000005</v>
      </c>
      <c r="H50" s="102">
        <v>48.23</v>
      </c>
      <c r="I50" s="102">
        <v>56.91</v>
      </c>
      <c r="J50" s="107"/>
    </row>
    <row r="51" spans="1:10" x14ac:dyDescent="0.25">
      <c r="A51" s="100" t="s">
        <v>27</v>
      </c>
      <c r="B51" s="100" t="s">
        <v>1</v>
      </c>
      <c r="C51" s="101" t="s">
        <v>7</v>
      </c>
      <c r="D51" s="102">
        <v>35.549999999999997</v>
      </c>
      <c r="E51" s="102">
        <v>31.61</v>
      </c>
      <c r="F51" s="102">
        <v>39.99</v>
      </c>
      <c r="G51" s="102">
        <v>62.98</v>
      </c>
      <c r="H51" s="102">
        <v>31.15</v>
      </c>
      <c r="I51" s="102">
        <v>37.46</v>
      </c>
      <c r="J51" s="107"/>
    </row>
    <row r="52" spans="1:10" x14ac:dyDescent="0.25">
      <c r="A52" s="100" t="s">
        <v>27</v>
      </c>
      <c r="B52" s="100" t="s">
        <v>2</v>
      </c>
      <c r="C52" s="101" t="s">
        <v>6</v>
      </c>
      <c r="D52" s="102">
        <v>58.33</v>
      </c>
      <c r="E52" s="102">
        <v>50.43</v>
      </c>
      <c r="F52" s="102">
        <v>56.74</v>
      </c>
      <c r="G52" s="102">
        <v>50.01</v>
      </c>
      <c r="H52" s="102">
        <v>48.23</v>
      </c>
      <c r="I52" s="102">
        <v>47.86</v>
      </c>
      <c r="J52" s="107"/>
    </row>
    <row r="53" spans="1:10" x14ac:dyDescent="0.25">
      <c r="A53" s="100" t="s">
        <v>27</v>
      </c>
      <c r="B53" s="100" t="s">
        <v>3</v>
      </c>
      <c r="C53" s="101" t="s">
        <v>7</v>
      </c>
      <c r="D53" s="102">
        <v>35.549999999999997</v>
      </c>
      <c r="E53" s="102">
        <v>31.61</v>
      </c>
      <c r="F53" s="102">
        <v>37.65</v>
      </c>
      <c r="G53" s="102">
        <v>32.92</v>
      </c>
      <c r="H53" s="102">
        <v>31.15</v>
      </c>
      <c r="I53" s="102">
        <v>28.98</v>
      </c>
      <c r="J53" s="107"/>
    </row>
    <row r="54" spans="1:10" x14ac:dyDescent="0.25">
      <c r="A54" s="100" t="s">
        <v>28</v>
      </c>
      <c r="B54" s="100" t="s">
        <v>0</v>
      </c>
      <c r="C54" s="101" t="s">
        <v>6</v>
      </c>
      <c r="D54" s="102">
        <v>98.45</v>
      </c>
      <c r="E54" s="102">
        <v>70.66</v>
      </c>
      <c r="F54" s="102">
        <v>82.81</v>
      </c>
      <c r="G54" s="102">
        <v>85.46</v>
      </c>
      <c r="H54" s="102">
        <v>68.86</v>
      </c>
      <c r="I54" s="102">
        <v>66</v>
      </c>
      <c r="J54" s="107"/>
    </row>
    <row r="55" spans="1:10" x14ac:dyDescent="0.25">
      <c r="A55" s="100" t="s">
        <v>28</v>
      </c>
      <c r="B55" s="100" t="s">
        <v>1</v>
      </c>
      <c r="C55" s="101" t="s">
        <v>7</v>
      </c>
      <c r="D55" s="102">
        <v>78.28</v>
      </c>
      <c r="E55" s="102">
        <v>41.62</v>
      </c>
      <c r="F55" s="102">
        <v>43.34</v>
      </c>
      <c r="G55" s="102">
        <v>44.41</v>
      </c>
      <c r="H55" s="102">
        <v>31.44</v>
      </c>
      <c r="I55" s="102">
        <v>32.409999999999997</v>
      </c>
      <c r="J55" s="107"/>
    </row>
    <row r="56" spans="1:10" x14ac:dyDescent="0.25">
      <c r="A56" s="100" t="s">
        <v>28</v>
      </c>
      <c r="B56" s="100" t="s">
        <v>2</v>
      </c>
      <c r="C56" s="101" t="s">
        <v>6</v>
      </c>
      <c r="D56" s="102">
        <v>97.35</v>
      </c>
      <c r="E56" s="102">
        <v>70.66</v>
      </c>
      <c r="F56" s="102">
        <v>81.33</v>
      </c>
      <c r="G56" s="102">
        <v>78.5</v>
      </c>
      <c r="H56" s="102">
        <v>67.58</v>
      </c>
      <c r="I56" s="102">
        <v>63.34</v>
      </c>
      <c r="J56" s="107"/>
    </row>
    <row r="57" spans="1:10" x14ac:dyDescent="0.25">
      <c r="A57" s="100" t="s">
        <v>28</v>
      </c>
      <c r="B57" s="100" t="s">
        <v>3</v>
      </c>
      <c r="C57" s="101" t="s">
        <v>7</v>
      </c>
      <c r="D57" s="102">
        <v>77.239999999999995</v>
      </c>
      <c r="E57" s="102">
        <v>41.62</v>
      </c>
      <c r="F57" s="102">
        <v>42.07</v>
      </c>
      <c r="G57" s="102">
        <v>35.700000000000003</v>
      </c>
      <c r="H57" s="102">
        <v>30.65</v>
      </c>
      <c r="I57" s="102">
        <v>28.44</v>
      </c>
      <c r="J57" s="107"/>
    </row>
    <row r="59" spans="1:10" ht="13" x14ac:dyDescent="0.3">
      <c r="A59" s="97" t="s">
        <v>129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79998168889431442"/>
  </sheetPr>
  <dimension ref="A1:Y28"/>
  <sheetViews>
    <sheetView zoomScale="80" zoomScaleNormal="80" workbookViewId="0"/>
  </sheetViews>
  <sheetFormatPr defaultRowHeight="12.5" x14ac:dyDescent="0.25"/>
  <cols>
    <col min="1" max="1" width="12" style="100" bestFit="1" customWidth="1"/>
    <col min="2" max="2" width="11.36328125" style="100" bestFit="1" customWidth="1"/>
    <col min="3" max="3" width="67.08984375" style="100" bestFit="1" customWidth="1"/>
    <col min="4" max="16" width="8.7265625" style="100"/>
    <col min="17" max="23" width="8.7265625" style="101"/>
    <col min="24" max="24" width="16.90625" style="232" bestFit="1" customWidth="1"/>
    <col min="25" max="16384" width="8.7265625" style="100"/>
  </cols>
  <sheetData>
    <row r="1" spans="1:25" s="97" customFormat="1" ht="13" x14ac:dyDescent="0.3">
      <c r="A1" s="97" t="s">
        <v>8</v>
      </c>
      <c r="B1" s="97" t="s">
        <v>34</v>
      </c>
      <c r="C1" s="97" t="s">
        <v>4</v>
      </c>
      <c r="D1" s="97">
        <v>2005</v>
      </c>
      <c r="E1" s="97">
        <v>2006</v>
      </c>
      <c r="F1" s="97">
        <v>2007</v>
      </c>
      <c r="G1" s="97">
        <v>2008</v>
      </c>
      <c r="H1" s="97">
        <v>2009</v>
      </c>
      <c r="I1" s="97">
        <v>2010</v>
      </c>
      <c r="J1" s="97">
        <v>2011</v>
      </c>
      <c r="K1" s="97">
        <v>2012</v>
      </c>
      <c r="L1" s="97">
        <v>2013</v>
      </c>
      <c r="M1" s="97">
        <v>2014</v>
      </c>
      <c r="N1" s="97">
        <v>2015</v>
      </c>
      <c r="O1" s="97">
        <v>2016</v>
      </c>
      <c r="P1" s="97">
        <v>2017</v>
      </c>
      <c r="Q1" s="327">
        <v>2018</v>
      </c>
      <c r="R1" s="327">
        <v>2019</v>
      </c>
      <c r="S1" s="327">
        <v>2020</v>
      </c>
      <c r="T1" s="327">
        <v>2021</v>
      </c>
      <c r="U1" s="327">
        <v>2022</v>
      </c>
      <c r="V1" s="327">
        <v>2023</v>
      </c>
      <c r="W1" s="327">
        <v>2024</v>
      </c>
      <c r="X1" s="230" t="s">
        <v>96</v>
      </c>
      <c r="Y1" s="97" t="s">
        <v>41</v>
      </c>
    </row>
    <row r="2" spans="1:25" ht="13" x14ac:dyDescent="0.3">
      <c r="A2" s="100" t="s">
        <v>33</v>
      </c>
      <c r="B2" s="100" t="s">
        <v>29</v>
      </c>
      <c r="C2" s="100" t="s">
        <v>2</v>
      </c>
      <c r="D2" s="105">
        <v>4.7</v>
      </c>
      <c r="E2" s="105">
        <v>4.5999999999999996</v>
      </c>
      <c r="F2" s="105">
        <v>4.8</v>
      </c>
      <c r="G2" s="105">
        <v>5.3</v>
      </c>
      <c r="H2" s="105">
        <v>5</v>
      </c>
      <c r="I2" s="105">
        <v>4.2</v>
      </c>
      <c r="J2" s="105">
        <v>4.2</v>
      </c>
      <c r="K2" s="105">
        <v>3.6</v>
      </c>
      <c r="L2" s="105">
        <v>3.1</v>
      </c>
      <c r="M2" s="105">
        <v>2.7</v>
      </c>
      <c r="N2" s="105">
        <v>4.0999999999999996</v>
      </c>
      <c r="O2" s="105">
        <v>4</v>
      </c>
      <c r="P2" s="105">
        <v>3.6</v>
      </c>
      <c r="Q2" s="324"/>
      <c r="R2" s="324"/>
      <c r="S2" s="324"/>
      <c r="T2" s="324"/>
      <c r="U2" s="324"/>
      <c r="V2" s="324"/>
      <c r="W2" s="324"/>
      <c r="X2" s="231">
        <f>AVERAGE(L2:O2)</f>
        <v>3.4750000000000001</v>
      </c>
      <c r="Y2" s="97" t="s">
        <v>136</v>
      </c>
    </row>
    <row r="3" spans="1:25" x14ac:dyDescent="0.25">
      <c r="A3" s="100" t="s">
        <v>33</v>
      </c>
      <c r="B3" s="100" t="s">
        <v>30</v>
      </c>
      <c r="C3" s="100" t="s">
        <v>2</v>
      </c>
      <c r="D3" s="105">
        <v>62.3</v>
      </c>
      <c r="E3" s="105">
        <v>59.9</v>
      </c>
      <c r="F3" s="105">
        <v>66</v>
      </c>
      <c r="G3" s="105">
        <v>57.5</v>
      </c>
      <c r="H3" s="105">
        <v>49.1</v>
      </c>
      <c r="I3" s="105">
        <v>51.5</v>
      </c>
      <c r="J3" s="105">
        <v>54.4</v>
      </c>
      <c r="K3" s="105">
        <v>47.8</v>
      </c>
      <c r="L3" s="105">
        <v>42.5</v>
      </c>
      <c r="M3" s="105">
        <v>46.9</v>
      </c>
      <c r="N3" s="105">
        <v>48.2</v>
      </c>
      <c r="O3" s="105">
        <v>46</v>
      </c>
      <c r="P3" s="105">
        <v>43</v>
      </c>
      <c r="Q3" s="324"/>
      <c r="R3" s="324"/>
      <c r="S3" s="324"/>
      <c r="T3" s="324"/>
      <c r="U3" s="324"/>
      <c r="V3" s="324"/>
      <c r="W3" s="324"/>
      <c r="X3" s="231">
        <f>AVERAGE(L3:O3)</f>
        <v>45.900000000000006</v>
      </c>
    </row>
    <row r="4" spans="1:25" x14ac:dyDescent="0.25">
      <c r="A4" s="100" t="s">
        <v>33</v>
      </c>
      <c r="B4" s="100" t="s">
        <v>31</v>
      </c>
      <c r="C4" s="100" t="s">
        <v>2</v>
      </c>
      <c r="D4" s="105">
        <v>11.2</v>
      </c>
      <c r="E4" s="105">
        <v>21.2</v>
      </c>
      <c r="F4" s="105">
        <v>15.7</v>
      </c>
      <c r="G4" s="105">
        <v>14.7</v>
      </c>
      <c r="H4" s="105">
        <v>7</v>
      </c>
      <c r="I4" s="105">
        <v>13.1</v>
      </c>
      <c r="J4" s="105">
        <v>18.7</v>
      </c>
      <c r="K4" s="105">
        <v>12.6</v>
      </c>
      <c r="L4" s="105">
        <v>13.8</v>
      </c>
      <c r="M4" s="105">
        <v>13.6</v>
      </c>
      <c r="N4" s="105">
        <v>21.2</v>
      </c>
      <c r="O4" s="105">
        <v>12.6</v>
      </c>
      <c r="P4" s="105">
        <v>15.4</v>
      </c>
      <c r="Q4" s="324"/>
      <c r="R4" s="324"/>
      <c r="S4" s="324"/>
      <c r="T4" s="324"/>
      <c r="U4" s="324"/>
      <c r="V4" s="324"/>
      <c r="W4" s="324"/>
      <c r="X4" s="231">
        <f>AVERAGE(F4:O4)</f>
        <v>14.299999999999997</v>
      </c>
    </row>
    <row r="5" spans="1:25" x14ac:dyDescent="0.25">
      <c r="A5" s="100" t="s">
        <v>33</v>
      </c>
      <c r="B5" s="100" t="s">
        <v>32</v>
      </c>
      <c r="C5" s="100" t="s">
        <v>2</v>
      </c>
      <c r="D5" s="105">
        <f>SUM(D2:D4)</f>
        <v>78.2</v>
      </c>
      <c r="E5" s="105">
        <f t="shared" ref="E5:O5" si="0">SUM(E2:E4)</f>
        <v>85.7</v>
      </c>
      <c r="F5" s="105">
        <f t="shared" si="0"/>
        <v>86.5</v>
      </c>
      <c r="G5" s="105">
        <f t="shared" si="0"/>
        <v>77.5</v>
      </c>
      <c r="H5" s="105">
        <f t="shared" si="0"/>
        <v>61.1</v>
      </c>
      <c r="I5" s="105">
        <f t="shared" si="0"/>
        <v>68.8</v>
      </c>
      <c r="J5" s="105">
        <f t="shared" si="0"/>
        <v>77.3</v>
      </c>
      <c r="K5" s="105">
        <f t="shared" si="0"/>
        <v>64</v>
      </c>
      <c r="L5" s="105">
        <f t="shared" si="0"/>
        <v>59.400000000000006</v>
      </c>
      <c r="M5" s="105">
        <f t="shared" si="0"/>
        <v>63.2</v>
      </c>
      <c r="N5" s="105">
        <f t="shared" si="0"/>
        <v>73.5</v>
      </c>
      <c r="O5" s="105">
        <f t="shared" si="0"/>
        <v>62.6</v>
      </c>
      <c r="P5" s="105">
        <f>SUM(P2:P4)</f>
        <v>62</v>
      </c>
      <c r="Q5" s="324"/>
      <c r="R5" s="324"/>
      <c r="S5" s="324"/>
      <c r="T5" s="324"/>
      <c r="U5" s="324"/>
      <c r="V5" s="324"/>
      <c r="W5" s="324"/>
      <c r="X5" s="231">
        <f>SUM(X2:X4)</f>
        <v>63.675000000000004</v>
      </c>
    </row>
    <row r="6" spans="1:25" x14ac:dyDescent="0.25">
      <c r="A6" s="100" t="s">
        <v>33</v>
      </c>
      <c r="B6" s="100" t="s">
        <v>29</v>
      </c>
      <c r="C6" s="100" t="s">
        <v>3</v>
      </c>
      <c r="D6" s="105">
        <v>11.6</v>
      </c>
      <c r="E6" s="105">
        <v>10.6</v>
      </c>
      <c r="F6" s="105">
        <v>11.5</v>
      </c>
      <c r="G6" s="105">
        <v>11.5</v>
      </c>
      <c r="H6" s="105">
        <v>10.4</v>
      </c>
      <c r="I6" s="105">
        <v>8</v>
      </c>
      <c r="J6" s="105">
        <v>7.9</v>
      </c>
      <c r="K6" s="105">
        <v>7.5</v>
      </c>
      <c r="L6" s="105">
        <v>6.4</v>
      </c>
      <c r="M6" s="105">
        <v>6</v>
      </c>
      <c r="N6" s="105">
        <v>9.1</v>
      </c>
      <c r="O6" s="105">
        <v>8.6999999999999993</v>
      </c>
      <c r="P6" s="105">
        <v>6.9</v>
      </c>
      <c r="Q6" s="324"/>
      <c r="R6" s="324"/>
      <c r="S6" s="324"/>
      <c r="T6" s="324"/>
      <c r="U6" s="324"/>
      <c r="V6" s="324"/>
      <c r="W6" s="324"/>
      <c r="X6" s="231">
        <f>CHOOSE(Cover!$F$26,AVERAGE(L6:O6),AVERAGE('NIE Networks'!M6:P6),AVERAGE('NIE Networks'!N6:Q6),AVERAGE('NIE Networks'!O6:R6),AVERAGE('NIE Networks'!P6:S6),AVERAGE('NIE Networks'!Q6:T6),AVERAGE('NIE Networks'!R6:U6),AVERAGE('NIE Networks'!S6:V6),AVERAGE('NIE Networks'!T6:W6))</f>
        <v>7.6749999999999989</v>
      </c>
    </row>
    <row r="7" spans="1:25" x14ac:dyDescent="0.25">
      <c r="A7" s="100" t="s">
        <v>33</v>
      </c>
      <c r="B7" s="100" t="s">
        <v>30</v>
      </c>
      <c r="C7" s="100" t="s">
        <v>3</v>
      </c>
      <c r="D7" s="105">
        <v>58.6</v>
      </c>
      <c r="E7" s="105">
        <v>57.7</v>
      </c>
      <c r="F7" s="105">
        <v>66.8</v>
      </c>
      <c r="G7" s="105">
        <v>60.6</v>
      </c>
      <c r="H7" s="105">
        <v>48.6</v>
      </c>
      <c r="I7" s="105">
        <v>48.1</v>
      </c>
      <c r="J7" s="105">
        <v>50</v>
      </c>
      <c r="K7" s="105">
        <v>42</v>
      </c>
      <c r="L7" s="105">
        <v>41.8</v>
      </c>
      <c r="M7" s="105">
        <v>43.5</v>
      </c>
      <c r="N7" s="105">
        <v>48.5</v>
      </c>
      <c r="O7" s="105">
        <v>49.8</v>
      </c>
      <c r="P7" s="105">
        <v>42</v>
      </c>
      <c r="Q7" s="324"/>
      <c r="R7" s="324"/>
      <c r="S7" s="324"/>
      <c r="T7" s="324"/>
      <c r="U7" s="324"/>
      <c r="V7" s="324"/>
      <c r="W7" s="324"/>
      <c r="X7" s="231">
        <f>CHOOSE(Cover!$F$26,AVERAGE(L7:O7),AVERAGE('NIE Networks'!M7:P7),AVERAGE('NIE Networks'!N7:Q7),AVERAGE('NIE Networks'!O7:R7),AVERAGE('NIE Networks'!P7:S7),AVERAGE('NIE Networks'!Q7:T7),AVERAGE('NIE Networks'!R7:U7),AVERAGE('NIE Networks'!S7:V7),AVERAGE('NIE Networks'!T7:W7))</f>
        <v>45.95</v>
      </c>
    </row>
    <row r="8" spans="1:25" x14ac:dyDescent="0.25">
      <c r="A8" s="100" t="s">
        <v>33</v>
      </c>
      <c r="B8" s="100" t="s">
        <v>31</v>
      </c>
      <c r="C8" s="100" t="s">
        <v>3</v>
      </c>
      <c r="D8" s="105">
        <v>2.9</v>
      </c>
      <c r="E8" s="105">
        <v>5.5</v>
      </c>
      <c r="F8" s="105">
        <v>4.5999999999999996</v>
      </c>
      <c r="G8" s="105">
        <v>7.5</v>
      </c>
      <c r="H8" s="105">
        <v>3.2</v>
      </c>
      <c r="I8" s="105">
        <v>3</v>
      </c>
      <c r="J8" s="105">
        <v>8.4</v>
      </c>
      <c r="K8" s="105">
        <v>3.6</v>
      </c>
      <c r="L8" s="105">
        <v>4.9000000000000004</v>
      </c>
      <c r="M8" s="105">
        <v>3</v>
      </c>
      <c r="N8" s="105">
        <v>6.5</v>
      </c>
      <c r="O8" s="105">
        <v>3.9</v>
      </c>
      <c r="P8" s="105">
        <v>6.5</v>
      </c>
      <c r="Q8" s="324"/>
      <c r="R8" s="324"/>
      <c r="S8" s="324"/>
      <c r="T8" s="324"/>
      <c r="U8" s="324"/>
      <c r="V8" s="324"/>
      <c r="W8" s="324"/>
      <c r="X8" s="231">
        <f>CHOOSE(Cover!$F$26,AVERAGE(F8:O8),AVERAGE(G8:P8),AVERAGE(H8:Q8),AVERAGE(I8:R8),AVERAGE(J8:S8),AVERAGE(K8:T8),AVERAGE(L8:U8),AVERAGE(M8:V8),AVERAGE(N8:W8))</f>
        <v>5.05</v>
      </c>
    </row>
    <row r="9" spans="1:25" x14ac:dyDescent="0.25">
      <c r="A9" s="100" t="s">
        <v>33</v>
      </c>
      <c r="B9" s="100" t="s">
        <v>32</v>
      </c>
      <c r="C9" s="100" t="s">
        <v>3</v>
      </c>
      <c r="D9" s="105">
        <f t="shared" ref="D9:O9" si="1">SUM(D6:D8)</f>
        <v>73.100000000000009</v>
      </c>
      <c r="E9" s="105">
        <f t="shared" si="1"/>
        <v>73.8</v>
      </c>
      <c r="F9" s="105">
        <f t="shared" si="1"/>
        <v>82.899999999999991</v>
      </c>
      <c r="G9" s="105">
        <f t="shared" si="1"/>
        <v>79.599999999999994</v>
      </c>
      <c r="H9" s="105">
        <f t="shared" si="1"/>
        <v>62.2</v>
      </c>
      <c r="I9" s="105">
        <f t="shared" si="1"/>
        <v>59.1</v>
      </c>
      <c r="J9" s="105">
        <f t="shared" si="1"/>
        <v>66.3</v>
      </c>
      <c r="K9" s="105">
        <f t="shared" si="1"/>
        <v>53.1</v>
      </c>
      <c r="L9" s="105">
        <f t="shared" si="1"/>
        <v>53.099999999999994</v>
      </c>
      <c r="M9" s="105">
        <f t="shared" si="1"/>
        <v>52.5</v>
      </c>
      <c r="N9" s="105">
        <f t="shared" si="1"/>
        <v>64.099999999999994</v>
      </c>
      <c r="O9" s="105">
        <f t="shared" si="1"/>
        <v>62.4</v>
      </c>
      <c r="P9" s="105">
        <v>55.4</v>
      </c>
      <c r="Q9" s="324"/>
      <c r="R9" s="324"/>
      <c r="S9" s="324"/>
      <c r="T9" s="324"/>
      <c r="U9" s="324"/>
      <c r="V9" s="324"/>
      <c r="W9" s="324"/>
      <c r="X9" s="231">
        <f>SUM(X6:X8)</f>
        <v>58.674999999999997</v>
      </c>
    </row>
    <row r="10" spans="1:25" x14ac:dyDescent="0.25">
      <c r="A10" s="100" t="s">
        <v>33</v>
      </c>
      <c r="B10" s="100" t="s">
        <v>29</v>
      </c>
      <c r="C10" s="100" t="s">
        <v>0</v>
      </c>
      <c r="D10" s="105">
        <v>6.2</v>
      </c>
      <c r="E10" s="105">
        <v>4.5999999999999996</v>
      </c>
      <c r="F10" s="105">
        <v>6.2</v>
      </c>
      <c r="G10" s="105">
        <v>5.3</v>
      </c>
      <c r="H10" s="105">
        <v>5.0999999999999996</v>
      </c>
      <c r="I10" s="105">
        <v>4.5</v>
      </c>
      <c r="J10" s="105">
        <v>4.3</v>
      </c>
      <c r="K10" s="105">
        <v>4.0999999999999996</v>
      </c>
      <c r="L10" s="105">
        <v>3.6</v>
      </c>
      <c r="M10" s="105">
        <v>3.2</v>
      </c>
      <c r="N10" s="105">
        <v>4.0999999999999996</v>
      </c>
      <c r="O10" s="105">
        <v>4</v>
      </c>
      <c r="P10" s="105">
        <v>3.6</v>
      </c>
      <c r="Q10" s="324"/>
      <c r="R10" s="324"/>
      <c r="S10" s="324"/>
      <c r="T10" s="324"/>
      <c r="U10" s="324"/>
      <c r="V10" s="324"/>
      <c r="W10" s="324"/>
      <c r="X10" s="231">
        <f>CHOOSE(Cover!$F$26,AVERAGE(L10:O10),AVERAGE('NIE Networks'!M10:P10),AVERAGE('NIE Networks'!N10:Q10),AVERAGE('NIE Networks'!O10:R10),AVERAGE('NIE Networks'!P10:S10),AVERAGE('NIE Networks'!Q10:T10),AVERAGE('NIE Networks'!R10:U10),AVERAGE('NIE Networks'!S10:V10),AVERAGE('NIE Networks'!T10:W10))</f>
        <v>3.7250000000000001</v>
      </c>
    </row>
    <row r="11" spans="1:25" x14ac:dyDescent="0.25">
      <c r="A11" s="100" t="s">
        <v>33</v>
      </c>
      <c r="B11" s="100" t="s">
        <v>30</v>
      </c>
      <c r="C11" s="100" t="s">
        <v>0</v>
      </c>
      <c r="D11" s="105">
        <v>71.3</v>
      </c>
      <c r="E11" s="105">
        <v>59.9</v>
      </c>
      <c r="F11" s="105">
        <v>77.099999999999994</v>
      </c>
      <c r="G11" s="105">
        <v>57.5</v>
      </c>
      <c r="H11" s="105">
        <v>52.9</v>
      </c>
      <c r="I11" s="105">
        <v>62.7</v>
      </c>
      <c r="J11" s="105">
        <v>55.3</v>
      </c>
      <c r="K11" s="105">
        <v>57.6</v>
      </c>
      <c r="L11" s="105">
        <v>51.6</v>
      </c>
      <c r="M11" s="105">
        <v>53.1</v>
      </c>
      <c r="N11" s="105">
        <v>48.2</v>
      </c>
      <c r="O11" s="105">
        <v>46</v>
      </c>
      <c r="P11" s="105">
        <v>44.4</v>
      </c>
      <c r="Q11" s="324"/>
      <c r="R11" s="324"/>
      <c r="S11" s="324"/>
      <c r="T11" s="324"/>
      <c r="U11" s="324"/>
      <c r="V11" s="324"/>
      <c r="W11" s="324"/>
      <c r="X11" s="231">
        <f>CHOOSE(Cover!$F$26,AVERAGE(L11:O11),AVERAGE('NIE Networks'!M11:P11),AVERAGE('NIE Networks'!N11:Q11),AVERAGE('NIE Networks'!O11:R11),AVERAGE('NIE Networks'!P11:S11),AVERAGE('NIE Networks'!Q11:T11),AVERAGE('NIE Networks'!R11:U11),AVERAGE('NIE Networks'!S11:V11),AVERAGE('NIE Networks'!T11:W11))</f>
        <v>47.925000000000004</v>
      </c>
    </row>
    <row r="12" spans="1:25" x14ac:dyDescent="0.25">
      <c r="A12" s="100" t="s">
        <v>33</v>
      </c>
      <c r="B12" s="100" t="s">
        <v>31</v>
      </c>
      <c r="C12" s="100" t="s">
        <v>0</v>
      </c>
      <c r="D12" s="105">
        <v>11.9</v>
      </c>
      <c r="E12" s="105">
        <v>21.2</v>
      </c>
      <c r="F12" s="105">
        <v>20.6</v>
      </c>
      <c r="G12" s="105">
        <v>14.7</v>
      </c>
      <c r="H12" s="105">
        <v>8.4</v>
      </c>
      <c r="I12" s="105">
        <v>16.899999999999999</v>
      </c>
      <c r="J12" s="105">
        <v>18.7</v>
      </c>
      <c r="K12" s="105">
        <v>15.3</v>
      </c>
      <c r="L12" s="105">
        <v>25.1</v>
      </c>
      <c r="M12" s="105">
        <v>16</v>
      </c>
      <c r="N12" s="105">
        <v>21.2</v>
      </c>
      <c r="O12" s="105">
        <v>12.6</v>
      </c>
      <c r="P12" s="105">
        <v>15.4</v>
      </c>
      <c r="Q12" s="324"/>
      <c r="R12" s="324"/>
      <c r="S12" s="324"/>
      <c r="T12" s="324"/>
      <c r="U12" s="324"/>
      <c r="V12" s="324"/>
      <c r="W12" s="324"/>
      <c r="X12" s="231">
        <f>CHOOSE(Cover!$F$26,AVERAGE(F12:O12),AVERAGE(G12:P12),AVERAGE(H12:Q12),AVERAGE(I12:R12),AVERAGE(J12:S12),AVERAGE(K12:T12),AVERAGE(L12:U12),AVERAGE(M12:V12),AVERAGE(N12:W12))</f>
        <v>16.43</v>
      </c>
    </row>
    <row r="13" spans="1:25" x14ac:dyDescent="0.25">
      <c r="A13" s="100" t="s">
        <v>33</v>
      </c>
      <c r="B13" s="100" t="s">
        <v>32</v>
      </c>
      <c r="C13" s="100" t="s">
        <v>0</v>
      </c>
      <c r="D13" s="105">
        <f t="shared" ref="D13:P13" si="2">SUM(D10:D12)</f>
        <v>89.4</v>
      </c>
      <c r="E13" s="105">
        <f t="shared" si="2"/>
        <v>85.7</v>
      </c>
      <c r="F13" s="105">
        <f t="shared" si="2"/>
        <v>103.9</v>
      </c>
      <c r="G13" s="105">
        <f t="shared" si="2"/>
        <v>77.5</v>
      </c>
      <c r="H13" s="105">
        <f t="shared" si="2"/>
        <v>66.400000000000006</v>
      </c>
      <c r="I13" s="105">
        <f t="shared" si="2"/>
        <v>84.1</v>
      </c>
      <c r="J13" s="105">
        <f t="shared" si="2"/>
        <v>78.3</v>
      </c>
      <c r="K13" s="105">
        <f t="shared" si="2"/>
        <v>77</v>
      </c>
      <c r="L13" s="105">
        <f t="shared" si="2"/>
        <v>80.300000000000011</v>
      </c>
      <c r="M13" s="105">
        <f t="shared" si="2"/>
        <v>72.300000000000011</v>
      </c>
      <c r="N13" s="105">
        <f t="shared" si="2"/>
        <v>73.5</v>
      </c>
      <c r="O13" s="105">
        <f t="shared" si="2"/>
        <v>62.6</v>
      </c>
      <c r="P13" s="105">
        <f t="shared" si="2"/>
        <v>63.4</v>
      </c>
      <c r="Q13" s="324"/>
      <c r="R13" s="324"/>
      <c r="S13" s="324"/>
      <c r="T13" s="324"/>
      <c r="U13" s="324"/>
      <c r="V13" s="324"/>
      <c r="W13" s="324"/>
      <c r="X13" s="231">
        <f>SUM(X10:X12)</f>
        <v>68.080000000000013</v>
      </c>
    </row>
    <row r="14" spans="1:25" x14ac:dyDescent="0.25">
      <c r="A14" s="100" t="s">
        <v>33</v>
      </c>
      <c r="B14" s="100" t="s">
        <v>29</v>
      </c>
      <c r="C14" s="100" t="s">
        <v>1</v>
      </c>
      <c r="D14" s="105">
        <v>25</v>
      </c>
      <c r="E14" s="105">
        <v>10.6</v>
      </c>
      <c r="F14" s="105">
        <v>21.1</v>
      </c>
      <c r="G14" s="105">
        <v>11.5</v>
      </c>
      <c r="H14" s="105">
        <v>11.6</v>
      </c>
      <c r="I14" s="105">
        <v>10.7</v>
      </c>
      <c r="J14" s="105">
        <v>8.3000000000000007</v>
      </c>
      <c r="K14" s="105">
        <v>9.9</v>
      </c>
      <c r="L14" s="105">
        <v>11.3</v>
      </c>
      <c r="M14" s="105">
        <v>9.3000000000000007</v>
      </c>
      <c r="N14" s="105">
        <v>9.1</v>
      </c>
      <c r="O14" s="105">
        <v>8.6999999999999993</v>
      </c>
      <c r="P14" s="105"/>
      <c r="Q14" s="324"/>
      <c r="R14" s="324"/>
      <c r="S14" s="324"/>
      <c r="T14" s="324"/>
      <c r="U14" s="324"/>
      <c r="V14" s="324"/>
      <c r="W14" s="324"/>
      <c r="X14" s="231">
        <f>CHOOSE(Cover!$F$26,AVERAGE(L14:O14),AVERAGE('NIE Networks'!M14:P14),AVERAGE('NIE Networks'!N14:Q14),AVERAGE('NIE Networks'!O14:R14),AVERAGE('NIE Networks'!P14:S14),AVERAGE('NIE Networks'!Q14:T14),AVERAGE('NIE Networks'!R14:U14),AVERAGE('NIE Networks'!S14:V14),AVERAGE('NIE Networks'!T14:W14))</f>
        <v>9.0333333333333332</v>
      </c>
    </row>
    <row r="15" spans="1:25" x14ac:dyDescent="0.25">
      <c r="A15" s="100" t="s">
        <v>33</v>
      </c>
      <c r="B15" s="100" t="s">
        <v>30</v>
      </c>
      <c r="C15" s="100" t="s">
        <v>1</v>
      </c>
      <c r="D15" s="105">
        <v>85.5</v>
      </c>
      <c r="E15" s="105">
        <v>57.7</v>
      </c>
      <c r="F15" s="105">
        <v>100</v>
      </c>
      <c r="G15" s="105">
        <v>60.6</v>
      </c>
      <c r="H15" s="105">
        <v>58</v>
      </c>
      <c r="I15" s="105">
        <v>173.3</v>
      </c>
      <c r="J15" s="105">
        <v>51.4</v>
      </c>
      <c r="K15" s="105">
        <v>59.9</v>
      </c>
      <c r="L15" s="105">
        <v>101.1</v>
      </c>
      <c r="M15" s="105">
        <v>52.7</v>
      </c>
      <c r="N15" s="105">
        <v>48.5</v>
      </c>
      <c r="O15" s="105">
        <v>49.8</v>
      </c>
      <c r="P15" s="105"/>
      <c r="Q15" s="324"/>
      <c r="R15" s="324"/>
      <c r="S15" s="324"/>
      <c r="T15" s="324"/>
      <c r="U15" s="324"/>
      <c r="V15" s="324"/>
      <c r="W15" s="324"/>
      <c r="X15" s="231">
        <f>CHOOSE(Cover!$F$26,AVERAGE(L15:O15),AVERAGE('NIE Networks'!M15:P15),AVERAGE('NIE Networks'!N15:Q15),AVERAGE('NIE Networks'!O15:R15),AVERAGE('NIE Networks'!P15:S15),AVERAGE('NIE Networks'!Q15:T15),AVERAGE('NIE Networks'!R15:U15),AVERAGE('NIE Networks'!S15:V15),AVERAGE('NIE Networks'!T15:W15))</f>
        <v>50.333333333333336</v>
      </c>
    </row>
    <row r="16" spans="1:25" x14ac:dyDescent="0.25">
      <c r="A16" s="100" t="s">
        <v>33</v>
      </c>
      <c r="B16" s="100" t="s">
        <v>31</v>
      </c>
      <c r="C16" s="100" t="s">
        <v>1</v>
      </c>
      <c r="D16" s="105">
        <v>4.7</v>
      </c>
      <c r="E16" s="105">
        <v>5.5</v>
      </c>
      <c r="F16" s="105">
        <v>11.2</v>
      </c>
      <c r="G16" s="105">
        <v>7.5</v>
      </c>
      <c r="H16" s="105">
        <v>4</v>
      </c>
      <c r="I16" s="105">
        <v>8.9</v>
      </c>
      <c r="J16" s="105">
        <v>8.4</v>
      </c>
      <c r="K16" s="105">
        <v>5.3</v>
      </c>
      <c r="L16" s="105">
        <v>11.8</v>
      </c>
      <c r="M16" s="105">
        <v>4.0999999999999996</v>
      </c>
      <c r="N16" s="105">
        <v>6.5</v>
      </c>
      <c r="O16" s="105">
        <v>3.9</v>
      </c>
      <c r="P16" s="105"/>
      <c r="Q16" s="324"/>
      <c r="R16" s="324"/>
      <c r="S16" s="324"/>
      <c r="T16" s="324"/>
      <c r="U16" s="324"/>
      <c r="V16" s="324"/>
      <c r="W16" s="324"/>
      <c r="X16" s="231">
        <f>CHOOSE(Cover!$F$26,AVERAGE(F16:O16),AVERAGE(G16:P16),AVERAGE(H16:Q16),AVERAGE(I16:R16),AVERAGE(J16:S16),AVERAGE(K16:T16),AVERAGE(L16:U16),AVERAGE(M16:V16),AVERAGE(N16:W16))</f>
        <v>6.7111111111111104</v>
      </c>
    </row>
    <row r="17" spans="1:25" x14ac:dyDescent="0.25">
      <c r="A17" s="100" t="s">
        <v>33</v>
      </c>
      <c r="B17" s="100" t="s">
        <v>32</v>
      </c>
      <c r="C17" s="100" t="s">
        <v>1</v>
      </c>
      <c r="D17" s="105">
        <f t="shared" ref="D17:O17" si="3">SUM(D14:D16)</f>
        <v>115.2</v>
      </c>
      <c r="E17" s="105">
        <f t="shared" si="3"/>
        <v>73.8</v>
      </c>
      <c r="F17" s="105">
        <f t="shared" si="3"/>
        <v>132.29999999999998</v>
      </c>
      <c r="G17" s="105">
        <f t="shared" si="3"/>
        <v>79.599999999999994</v>
      </c>
      <c r="H17" s="105">
        <f t="shared" si="3"/>
        <v>73.599999999999994</v>
      </c>
      <c r="I17" s="105">
        <f t="shared" si="3"/>
        <v>192.9</v>
      </c>
      <c r="J17" s="105">
        <f t="shared" si="3"/>
        <v>68.100000000000009</v>
      </c>
      <c r="K17" s="105">
        <f t="shared" si="3"/>
        <v>75.099999999999994</v>
      </c>
      <c r="L17" s="105">
        <f t="shared" si="3"/>
        <v>124.19999999999999</v>
      </c>
      <c r="M17" s="105">
        <f t="shared" si="3"/>
        <v>66.099999999999994</v>
      </c>
      <c r="N17" s="105">
        <f t="shared" si="3"/>
        <v>64.099999999999994</v>
      </c>
      <c r="O17" s="105">
        <f t="shared" si="3"/>
        <v>62.4</v>
      </c>
      <c r="P17" s="105"/>
      <c r="Q17" s="324"/>
      <c r="R17" s="324"/>
      <c r="S17" s="324"/>
      <c r="T17" s="324"/>
      <c r="U17" s="324"/>
      <c r="V17" s="324"/>
      <c r="W17" s="324"/>
      <c r="X17" s="231">
        <f>SUM(X14:X16)</f>
        <v>66.077777777777783</v>
      </c>
    </row>
    <row r="18" spans="1:25" x14ac:dyDescent="0.25">
      <c r="A18" s="100" t="s">
        <v>33</v>
      </c>
      <c r="B18" s="100" t="s">
        <v>32</v>
      </c>
      <c r="C18" s="100" t="s">
        <v>35</v>
      </c>
      <c r="D18" s="105">
        <v>16.2</v>
      </c>
      <c r="E18" s="105">
        <v>16</v>
      </c>
      <c r="F18" s="105">
        <v>16.5</v>
      </c>
      <c r="G18" s="105">
        <v>19.899999999999999</v>
      </c>
      <c r="H18" s="105">
        <v>19.600000000000001</v>
      </c>
      <c r="I18" s="105">
        <v>16.600000000000001</v>
      </c>
      <c r="J18" s="105">
        <v>18.399999999999999</v>
      </c>
      <c r="K18" s="105">
        <v>18.100000000000001</v>
      </c>
      <c r="L18" s="105">
        <v>16.2</v>
      </c>
      <c r="M18" s="105">
        <v>13.6</v>
      </c>
      <c r="N18" s="105">
        <v>14.8</v>
      </c>
      <c r="O18" s="105">
        <v>18.899999999999999</v>
      </c>
      <c r="P18" s="105">
        <v>17.3</v>
      </c>
      <c r="Q18" s="324"/>
      <c r="R18" s="324"/>
      <c r="S18" s="324"/>
      <c r="T18" s="324"/>
      <c r="U18" s="324"/>
      <c r="V18" s="324"/>
      <c r="W18" s="324"/>
      <c r="X18" s="232">
        <f>CHOOSE(Cover!$F$26,AVERAGE(K18:O18),AVERAGE(L18:P18),AVERAGE(M18:Q18),AVERAGE(N18:R18),AVERAGE(O18:S18),AVERAGE(P18:T18),AVERAGE(Q18:U18),AVERAGE(R18:V18),AVERAGE(S18:W18))</f>
        <v>16.16</v>
      </c>
    </row>
    <row r="19" spans="1:25" x14ac:dyDescent="0.25">
      <c r="A19" s="100" t="s">
        <v>33</v>
      </c>
      <c r="B19" s="100" t="s">
        <v>32</v>
      </c>
      <c r="C19" s="100" t="s">
        <v>36</v>
      </c>
      <c r="D19" s="105">
        <v>50.4</v>
      </c>
      <c r="E19" s="105">
        <v>46.8</v>
      </c>
      <c r="F19" s="105">
        <v>50.1</v>
      </c>
      <c r="G19" s="105">
        <v>64.8</v>
      </c>
      <c r="H19" s="105">
        <v>63.2</v>
      </c>
      <c r="I19" s="105">
        <v>51.8</v>
      </c>
      <c r="J19" s="105">
        <v>58.7</v>
      </c>
      <c r="K19" s="105">
        <v>59.2</v>
      </c>
      <c r="L19" s="105">
        <v>54.5</v>
      </c>
      <c r="M19" s="105">
        <v>47.6</v>
      </c>
      <c r="N19" s="105">
        <v>52.3</v>
      </c>
      <c r="O19" s="105">
        <v>70.2</v>
      </c>
      <c r="P19" s="105">
        <v>64.77</v>
      </c>
      <c r="Q19" s="324"/>
      <c r="R19" s="324"/>
      <c r="S19" s="324"/>
      <c r="T19" s="324"/>
      <c r="U19" s="324"/>
      <c r="V19" s="324"/>
      <c r="W19" s="324"/>
      <c r="X19" s="232">
        <f>CHOOSE(Cover!$F$26,AVERAGE(K19:O19),AVERAGE(L19:P19),AVERAGE(M19:Q19),AVERAGE(N19:R19),AVERAGE(O19:S19),AVERAGE(P19:T19),AVERAGE(Q19:U19),AVERAGE(R19:V19),AVERAGE(S19:W19))</f>
        <v>57.873999999999988</v>
      </c>
    </row>
    <row r="21" spans="1:25" ht="13" x14ac:dyDescent="0.3">
      <c r="A21" s="97" t="s">
        <v>8</v>
      </c>
      <c r="B21" s="97" t="s">
        <v>34</v>
      </c>
      <c r="C21" s="97" t="s">
        <v>4</v>
      </c>
      <c r="D21" s="97">
        <v>2005</v>
      </c>
      <c r="E21" s="97">
        <v>2006</v>
      </c>
      <c r="F21" s="97">
        <v>2007</v>
      </c>
      <c r="G21" s="97">
        <v>2008</v>
      </c>
      <c r="H21" s="97">
        <v>2009</v>
      </c>
      <c r="I21" s="97">
        <v>2010</v>
      </c>
      <c r="J21" s="97">
        <v>2011</v>
      </c>
      <c r="K21" s="97">
        <v>2012</v>
      </c>
      <c r="L21" s="97">
        <v>2013</v>
      </c>
      <c r="M21" s="97">
        <v>2014</v>
      </c>
      <c r="N21" s="97">
        <v>2015</v>
      </c>
      <c r="O21" s="97">
        <v>2016</v>
      </c>
      <c r="P21" s="97">
        <v>2017</v>
      </c>
      <c r="Q21" s="98"/>
      <c r="R21" s="98"/>
      <c r="S21" s="98"/>
      <c r="T21" s="98"/>
      <c r="U21" s="98"/>
      <c r="V21" s="98"/>
      <c r="W21" s="98"/>
    </row>
    <row r="22" spans="1:25" x14ac:dyDescent="0.25">
      <c r="A22" s="100" t="s">
        <v>33</v>
      </c>
      <c r="B22" s="100" t="s">
        <v>29</v>
      </c>
      <c r="C22" s="100" t="s">
        <v>2</v>
      </c>
      <c r="D22" s="106">
        <f>D2/D$5</f>
        <v>6.010230179028133E-2</v>
      </c>
      <c r="E22" s="106">
        <f t="shared" ref="E22:O22" si="4">E2/E$5</f>
        <v>5.3675612602100346E-2</v>
      </c>
      <c r="F22" s="106">
        <f t="shared" si="4"/>
        <v>5.5491329479768786E-2</v>
      </c>
      <c r="G22" s="106">
        <f t="shared" si="4"/>
        <v>6.8387096774193551E-2</v>
      </c>
      <c r="H22" s="106">
        <f t="shared" si="4"/>
        <v>8.1833060556464804E-2</v>
      </c>
      <c r="I22" s="106">
        <f t="shared" si="4"/>
        <v>6.1046511627906981E-2</v>
      </c>
      <c r="J22" s="106">
        <f t="shared" si="4"/>
        <v>5.4333764553686936E-2</v>
      </c>
      <c r="K22" s="106">
        <f t="shared" si="4"/>
        <v>5.6250000000000001E-2</v>
      </c>
      <c r="L22" s="106">
        <f t="shared" si="4"/>
        <v>5.2188552188552187E-2</v>
      </c>
      <c r="M22" s="106">
        <f t="shared" si="4"/>
        <v>4.2721518987341771E-2</v>
      </c>
      <c r="N22" s="106">
        <f t="shared" si="4"/>
        <v>5.5782312925170066E-2</v>
      </c>
      <c r="O22" s="106">
        <f t="shared" si="4"/>
        <v>6.3897763578274758E-2</v>
      </c>
      <c r="P22" s="106"/>
      <c r="Q22" s="325"/>
      <c r="R22" s="325"/>
      <c r="S22" s="325"/>
      <c r="T22" s="325"/>
      <c r="U22" s="325"/>
      <c r="V22" s="325"/>
      <c r="W22" s="325"/>
      <c r="X22" s="233"/>
      <c r="Y22" s="105"/>
    </row>
    <row r="23" spans="1:25" x14ac:dyDescent="0.25">
      <c r="A23" s="100" t="s">
        <v>33</v>
      </c>
      <c r="B23" s="100" t="s">
        <v>30</v>
      </c>
      <c r="C23" s="100" t="s">
        <v>2</v>
      </c>
      <c r="D23" s="106">
        <f t="shared" ref="D23:O24" si="5">D3/D$5</f>
        <v>0.79667519181585666</v>
      </c>
      <c r="E23" s="106">
        <f t="shared" si="5"/>
        <v>0.69894982497082847</v>
      </c>
      <c r="F23" s="106">
        <f t="shared" si="5"/>
        <v>0.76300578034682076</v>
      </c>
      <c r="G23" s="106">
        <f t="shared" si="5"/>
        <v>0.74193548387096775</v>
      </c>
      <c r="H23" s="106">
        <f t="shared" si="5"/>
        <v>0.80360065466448449</v>
      </c>
      <c r="I23" s="106">
        <f t="shared" si="5"/>
        <v>0.74854651162790697</v>
      </c>
      <c r="J23" s="106">
        <f t="shared" si="5"/>
        <v>0.70375161707632605</v>
      </c>
      <c r="K23" s="106">
        <f t="shared" si="5"/>
        <v>0.74687499999999996</v>
      </c>
      <c r="L23" s="106">
        <f t="shared" si="5"/>
        <v>0.7154882154882154</v>
      </c>
      <c r="M23" s="106">
        <f t="shared" si="5"/>
        <v>0.74208860759493667</v>
      </c>
      <c r="N23" s="106">
        <f t="shared" si="5"/>
        <v>0.65578231292517009</v>
      </c>
      <c r="O23" s="106">
        <f t="shared" si="5"/>
        <v>0.73482428115015974</v>
      </c>
      <c r="P23" s="106"/>
      <c r="Q23" s="325"/>
      <c r="R23" s="325"/>
      <c r="S23" s="325"/>
      <c r="T23" s="325"/>
      <c r="U23" s="325"/>
      <c r="V23" s="325"/>
      <c r="W23" s="325"/>
      <c r="X23" s="233"/>
    </row>
    <row r="24" spans="1:25" x14ac:dyDescent="0.25">
      <c r="A24" s="100" t="s">
        <v>33</v>
      </c>
      <c r="B24" s="100" t="s">
        <v>31</v>
      </c>
      <c r="C24" s="100" t="s">
        <v>2</v>
      </c>
      <c r="D24" s="106">
        <f t="shared" si="5"/>
        <v>0.14322250639386189</v>
      </c>
      <c r="E24" s="106">
        <f t="shared" si="5"/>
        <v>0.24737456242707115</v>
      </c>
      <c r="F24" s="106">
        <f t="shared" si="5"/>
        <v>0.1815028901734104</v>
      </c>
      <c r="G24" s="106">
        <f t="shared" si="5"/>
        <v>0.1896774193548387</v>
      </c>
      <c r="H24" s="106">
        <f t="shared" si="5"/>
        <v>0.11456628477905073</v>
      </c>
      <c r="I24" s="106">
        <f t="shared" si="5"/>
        <v>0.19040697674418605</v>
      </c>
      <c r="J24" s="106">
        <f t="shared" si="5"/>
        <v>0.24191461836998707</v>
      </c>
      <c r="K24" s="106">
        <f t="shared" si="5"/>
        <v>0.19687499999999999</v>
      </c>
      <c r="L24" s="106">
        <f t="shared" si="5"/>
        <v>0.23232323232323232</v>
      </c>
      <c r="M24" s="106">
        <f t="shared" si="5"/>
        <v>0.2151898734177215</v>
      </c>
      <c r="N24" s="106">
        <f t="shared" si="5"/>
        <v>0.28843537414965986</v>
      </c>
      <c r="O24" s="106">
        <f t="shared" si="5"/>
        <v>0.20127795527156547</v>
      </c>
      <c r="P24" s="106"/>
      <c r="Q24" s="325"/>
      <c r="R24" s="325"/>
      <c r="S24" s="325"/>
      <c r="T24" s="325"/>
      <c r="U24" s="325"/>
      <c r="V24" s="325"/>
      <c r="W24" s="325"/>
      <c r="X24" s="233"/>
    </row>
    <row r="25" spans="1:25" x14ac:dyDescent="0.25">
      <c r="A25" s="100" t="s">
        <v>33</v>
      </c>
      <c r="B25" s="100" t="s">
        <v>32</v>
      </c>
      <c r="C25" s="100" t="s">
        <v>2</v>
      </c>
    </row>
    <row r="26" spans="1:25" x14ac:dyDescent="0.25">
      <c r="A26" s="100" t="s">
        <v>33</v>
      </c>
      <c r="B26" s="100" t="s">
        <v>29</v>
      </c>
      <c r="C26" s="100" t="s">
        <v>3</v>
      </c>
      <c r="D26" s="107">
        <f>D6/D$9</f>
        <v>0.15868673050615592</v>
      </c>
      <c r="E26" s="107">
        <f t="shared" ref="E26:O26" si="6">E6/E$9</f>
        <v>0.14363143631436315</v>
      </c>
      <c r="F26" s="107">
        <f t="shared" si="6"/>
        <v>0.13872135102533173</v>
      </c>
      <c r="G26" s="107">
        <f t="shared" si="6"/>
        <v>0.14447236180904524</v>
      </c>
      <c r="H26" s="107">
        <f t="shared" si="6"/>
        <v>0.16720257234726688</v>
      </c>
      <c r="I26" s="107">
        <f t="shared" si="6"/>
        <v>0.13536379018612521</v>
      </c>
      <c r="J26" s="107">
        <f t="shared" si="6"/>
        <v>0.1191553544494721</v>
      </c>
      <c r="K26" s="107">
        <f t="shared" si="6"/>
        <v>0.14124293785310735</v>
      </c>
      <c r="L26" s="107">
        <f t="shared" si="6"/>
        <v>0.12052730696798496</v>
      </c>
      <c r="M26" s="107">
        <f t="shared" si="6"/>
        <v>0.11428571428571428</v>
      </c>
      <c r="N26" s="107">
        <f t="shared" si="6"/>
        <v>0.1419656786271451</v>
      </c>
      <c r="O26" s="107">
        <f t="shared" si="6"/>
        <v>0.13942307692307693</v>
      </c>
      <c r="P26" s="107">
        <f>P6/P$9</f>
        <v>0.12454873646209387</v>
      </c>
      <c r="Q26" s="326"/>
      <c r="R26" s="326"/>
      <c r="S26" s="326"/>
      <c r="T26" s="326"/>
      <c r="U26" s="326"/>
      <c r="V26" s="326"/>
      <c r="W26" s="326"/>
      <c r="X26" s="233"/>
      <c r="Y26" s="105"/>
    </row>
    <row r="27" spans="1:25" x14ac:dyDescent="0.25">
      <c r="A27" s="100" t="s">
        <v>33</v>
      </c>
      <c r="B27" s="100" t="s">
        <v>30</v>
      </c>
      <c r="C27" s="100" t="s">
        <v>3</v>
      </c>
      <c r="D27" s="107">
        <f t="shared" ref="D27:O27" si="7">D7/D$9</f>
        <v>0.80164158686730502</v>
      </c>
      <c r="E27" s="107">
        <f t="shared" si="7"/>
        <v>0.78184281842818437</v>
      </c>
      <c r="F27" s="107">
        <f t="shared" si="7"/>
        <v>0.80579010856453559</v>
      </c>
      <c r="G27" s="107">
        <f t="shared" si="7"/>
        <v>0.7613065326633166</v>
      </c>
      <c r="H27" s="107">
        <f t="shared" si="7"/>
        <v>0.7813504823151125</v>
      </c>
      <c r="I27" s="107">
        <f t="shared" si="7"/>
        <v>0.81387478849407779</v>
      </c>
      <c r="J27" s="107">
        <f t="shared" si="7"/>
        <v>0.75414781297134237</v>
      </c>
      <c r="K27" s="107">
        <f t="shared" si="7"/>
        <v>0.79096045197740106</v>
      </c>
      <c r="L27" s="107">
        <f t="shared" si="7"/>
        <v>0.7871939736346516</v>
      </c>
      <c r="M27" s="107">
        <f t="shared" si="7"/>
        <v>0.82857142857142863</v>
      </c>
      <c r="N27" s="107">
        <f t="shared" si="7"/>
        <v>0.7566302652106085</v>
      </c>
      <c r="O27" s="107">
        <f t="shared" si="7"/>
        <v>0.79807692307692302</v>
      </c>
      <c r="P27" s="107">
        <f>P7/P$9</f>
        <v>0.75812274368231047</v>
      </c>
      <c r="Q27" s="326"/>
      <c r="R27" s="326"/>
      <c r="S27" s="326"/>
      <c r="T27" s="326"/>
      <c r="U27" s="326"/>
      <c r="V27" s="326"/>
      <c r="W27" s="326"/>
      <c r="X27" s="233"/>
    </row>
    <row r="28" spans="1:25" x14ac:dyDescent="0.25">
      <c r="A28" s="100" t="s">
        <v>33</v>
      </c>
      <c r="B28" s="100" t="s">
        <v>31</v>
      </c>
      <c r="C28" s="100" t="s">
        <v>3</v>
      </c>
      <c r="D28" s="107">
        <f t="shared" ref="D28:O28" si="8">D8/D$9</f>
        <v>3.967168262653898E-2</v>
      </c>
      <c r="E28" s="107">
        <f t="shared" si="8"/>
        <v>7.4525745257452577E-2</v>
      </c>
      <c r="F28" s="107">
        <f t="shared" si="8"/>
        <v>5.5488540410132695E-2</v>
      </c>
      <c r="G28" s="107">
        <f t="shared" si="8"/>
        <v>9.4221105527638196E-2</v>
      </c>
      <c r="H28" s="107">
        <f t="shared" si="8"/>
        <v>5.1446945337620578E-2</v>
      </c>
      <c r="I28" s="107">
        <f t="shared" si="8"/>
        <v>5.0761421319796954E-2</v>
      </c>
      <c r="J28" s="107">
        <f t="shared" si="8"/>
        <v>0.12669683257918554</v>
      </c>
      <c r="K28" s="107">
        <f t="shared" si="8"/>
        <v>6.7796610169491525E-2</v>
      </c>
      <c r="L28" s="107">
        <f t="shared" si="8"/>
        <v>9.2278719397363485E-2</v>
      </c>
      <c r="M28" s="107">
        <f t="shared" si="8"/>
        <v>5.7142857142857141E-2</v>
      </c>
      <c r="N28" s="107">
        <f t="shared" si="8"/>
        <v>0.1014040561622465</v>
      </c>
      <c r="O28" s="107">
        <f t="shared" si="8"/>
        <v>6.25E-2</v>
      </c>
      <c r="P28" s="107">
        <f>P8/P$9</f>
        <v>0.11732851985559567</v>
      </c>
      <c r="Q28" s="326"/>
      <c r="R28" s="326"/>
      <c r="S28" s="326"/>
      <c r="T28" s="326"/>
      <c r="U28" s="326"/>
      <c r="V28" s="326"/>
      <c r="W28" s="326"/>
      <c r="X28" s="233"/>
    </row>
  </sheetData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79998168889431442"/>
  </sheetPr>
  <dimension ref="A1:AB727"/>
  <sheetViews>
    <sheetView zoomScale="80" zoomScaleNormal="80" workbookViewId="0"/>
  </sheetViews>
  <sheetFormatPr defaultRowHeight="14.5" x14ac:dyDescent="0.35"/>
  <cols>
    <col min="1" max="1" width="8.7265625" style="1"/>
    <col min="2" max="2" width="25.7265625" style="1" bestFit="1" customWidth="1"/>
    <col min="3" max="3" width="12.54296875" style="1" customWidth="1"/>
    <col min="4" max="4" width="13.26953125" style="1" customWidth="1"/>
    <col min="5" max="5" width="12.26953125" style="1" bestFit="1" customWidth="1"/>
    <col min="6" max="6" width="8.81640625" style="1" bestFit="1" customWidth="1"/>
    <col min="7" max="7" width="8.08984375" style="1" bestFit="1" customWidth="1"/>
    <col min="8" max="8" width="12.54296875" style="1" bestFit="1" customWidth="1"/>
    <col min="9" max="9" width="8.7265625" style="1"/>
    <col min="10" max="10" width="11.1796875" style="1" customWidth="1"/>
    <col min="11" max="11" width="9.81640625" style="1" bestFit="1" customWidth="1"/>
    <col min="12" max="13" width="8.7265625" style="1"/>
    <col min="14" max="14" width="8.7265625" style="1" bestFit="1" customWidth="1"/>
    <col min="15" max="19" width="8.7265625" style="1"/>
    <col min="20" max="20" width="11" style="1" customWidth="1"/>
    <col min="21" max="21" width="15.453125" style="1" bestFit="1" customWidth="1"/>
    <col min="22" max="27" width="8.7265625" style="1"/>
    <col min="28" max="28" width="3.1796875" style="1" customWidth="1"/>
    <col min="29" max="16384" width="8.7265625" style="1"/>
  </cols>
  <sheetData>
    <row r="1" spans="1:28" ht="15" customHeight="1" thickBot="1" x14ac:dyDescent="0.4">
      <c r="A1" s="179" t="s">
        <v>869</v>
      </c>
      <c r="B1" s="180"/>
      <c r="C1" s="180"/>
      <c r="D1" s="181"/>
      <c r="E1" s="178"/>
      <c r="F1" s="346" t="s">
        <v>870</v>
      </c>
      <c r="G1" s="347"/>
      <c r="H1" s="348"/>
      <c r="I1" s="178"/>
      <c r="J1" s="197" t="s">
        <v>874</v>
      </c>
      <c r="K1" s="198"/>
      <c r="L1" s="198"/>
      <c r="M1" s="198"/>
      <c r="N1" s="198"/>
      <c r="O1" s="198"/>
      <c r="P1" s="198"/>
      <c r="Q1" s="198"/>
      <c r="R1" s="198"/>
      <c r="S1" s="199"/>
      <c r="U1" s="197" t="s">
        <v>880</v>
      </c>
      <c r="V1" s="198"/>
      <c r="W1" s="198"/>
      <c r="X1" s="198"/>
      <c r="Y1" s="198"/>
      <c r="Z1" s="198"/>
      <c r="AA1" s="198"/>
      <c r="AB1" s="199"/>
    </row>
    <row r="2" spans="1:28" ht="15" thickBot="1" x14ac:dyDescent="0.4">
      <c r="A2" s="183" t="s">
        <v>868</v>
      </c>
      <c r="B2" s="184" t="s">
        <v>866</v>
      </c>
      <c r="C2" s="184" t="s">
        <v>867</v>
      </c>
      <c r="D2" s="163" t="s">
        <v>149</v>
      </c>
      <c r="F2" s="193" t="s">
        <v>871</v>
      </c>
      <c r="G2" s="195" t="s">
        <v>872</v>
      </c>
      <c r="H2" s="195" t="s">
        <v>873</v>
      </c>
      <c r="J2" s="202" t="s">
        <v>875</v>
      </c>
      <c r="K2" s="200"/>
      <c r="L2" s="200"/>
      <c r="M2" s="200"/>
      <c r="N2" s="200"/>
      <c r="O2" s="200"/>
      <c r="P2" s="200"/>
      <c r="Q2" s="200"/>
      <c r="R2" s="200"/>
      <c r="S2" s="201"/>
      <c r="U2" s="207" t="s">
        <v>539</v>
      </c>
      <c r="V2" s="208" t="s">
        <v>540</v>
      </c>
      <c r="W2" s="208"/>
      <c r="X2" s="208"/>
      <c r="Y2" s="208"/>
      <c r="Z2" s="208"/>
      <c r="AA2" s="208"/>
      <c r="AB2" s="209"/>
    </row>
    <row r="3" spans="1:28" ht="15" thickBot="1" x14ac:dyDescent="0.4">
      <c r="A3" s="187">
        <v>100</v>
      </c>
      <c r="B3" s="185" t="s">
        <v>152</v>
      </c>
      <c r="C3" s="189">
        <v>1987</v>
      </c>
      <c r="D3" s="191">
        <v>1987</v>
      </c>
      <c r="F3" s="155">
        <v>1987</v>
      </c>
      <c r="G3" s="185">
        <v>1988</v>
      </c>
      <c r="H3" s="150">
        <f t="shared" ref="H3:H32" si="0">AVERAGEIFS($A$3:$A$365,$D$3:$D$365,$G3)</f>
        <v>102.71666666666665</v>
      </c>
      <c r="J3" s="145" t="s">
        <v>150</v>
      </c>
      <c r="K3" s="146"/>
      <c r="L3" s="146"/>
      <c r="M3" s="146"/>
      <c r="N3" s="146"/>
      <c r="O3" s="146"/>
      <c r="P3" s="146"/>
      <c r="Q3" s="146"/>
      <c r="R3" s="146"/>
      <c r="S3" s="163"/>
      <c r="U3" s="210" t="s">
        <v>541</v>
      </c>
      <c r="V3" s="72" t="s">
        <v>542</v>
      </c>
      <c r="W3" s="72"/>
      <c r="X3" s="72"/>
      <c r="Y3" s="72"/>
      <c r="Z3" s="72"/>
      <c r="AA3" s="72"/>
      <c r="AB3" s="211"/>
    </row>
    <row r="4" spans="1:28" ht="15" thickBot="1" x14ac:dyDescent="0.4">
      <c r="A4" s="187">
        <v>100.4</v>
      </c>
      <c r="B4" s="185" t="s">
        <v>154</v>
      </c>
      <c r="C4" s="189">
        <f>IF(B3="December",C3+1,C3)</f>
        <v>1987</v>
      </c>
      <c r="D4" s="191">
        <f>IF(B3="March",D3+1,D3)</f>
        <v>1987</v>
      </c>
      <c r="F4" s="155">
        <f>F3+1</f>
        <v>1988</v>
      </c>
      <c r="G4" s="185">
        <f>G3+1</f>
        <v>1989</v>
      </c>
      <c r="H4" s="150">
        <f t="shared" si="0"/>
        <v>108.875</v>
      </c>
      <c r="J4" s="164">
        <v>10000</v>
      </c>
      <c r="K4" s="14"/>
      <c r="L4" s="14"/>
      <c r="M4" s="14"/>
      <c r="N4" s="14"/>
      <c r="O4" s="14"/>
      <c r="P4" s="14"/>
      <c r="Q4" s="14"/>
      <c r="R4" s="14"/>
      <c r="S4" s="165"/>
      <c r="U4" s="210" t="s">
        <v>543</v>
      </c>
      <c r="V4" s="72" t="s">
        <v>544</v>
      </c>
      <c r="W4" s="72"/>
      <c r="X4" s="72"/>
      <c r="Y4" s="72"/>
      <c r="Z4" s="72"/>
      <c r="AA4" s="72"/>
      <c r="AB4" s="211"/>
    </row>
    <row r="5" spans="1:28" ht="15" thickBot="1" x14ac:dyDescent="0.4">
      <c r="A5" s="187">
        <v>100.6</v>
      </c>
      <c r="B5" s="185" t="s">
        <v>157</v>
      </c>
      <c r="C5" s="189">
        <f t="shared" ref="C5:C68" si="1">IF(B4="December",C4+1,C4)</f>
        <v>1987</v>
      </c>
      <c r="D5" s="191">
        <f t="shared" ref="D5:D68" si="2">IF(B4="March",D4+1,D4)</f>
        <v>1987</v>
      </c>
      <c r="F5" s="155">
        <f t="shared" ref="F5:G20" si="3">F4+1</f>
        <v>1989</v>
      </c>
      <c r="G5" s="185">
        <f t="shared" si="3"/>
        <v>1990</v>
      </c>
      <c r="H5" s="150">
        <f t="shared" si="0"/>
        <v>117.37500000000001</v>
      </c>
      <c r="J5" s="145" t="s">
        <v>155</v>
      </c>
      <c r="K5" s="146"/>
      <c r="L5" s="146"/>
      <c r="M5" s="146"/>
      <c r="N5" s="146"/>
      <c r="O5" s="146"/>
      <c r="P5" s="146"/>
      <c r="Q5" s="146"/>
      <c r="R5" s="146"/>
      <c r="S5" s="163"/>
      <c r="U5" s="210" t="s">
        <v>545</v>
      </c>
      <c r="V5" s="72" t="s">
        <v>546</v>
      </c>
      <c r="W5" s="72"/>
      <c r="X5" s="72"/>
      <c r="Y5" s="72"/>
      <c r="Z5" s="72"/>
      <c r="AA5" s="72"/>
      <c r="AB5" s="211"/>
    </row>
    <row r="6" spans="1:28" ht="15" thickBot="1" x14ac:dyDescent="0.4">
      <c r="A6" s="187">
        <v>101.8</v>
      </c>
      <c r="B6" s="185" t="s">
        <v>159</v>
      </c>
      <c r="C6" s="189">
        <f t="shared" si="1"/>
        <v>1987</v>
      </c>
      <c r="D6" s="191">
        <f t="shared" si="2"/>
        <v>1988</v>
      </c>
      <c r="F6" s="155">
        <f t="shared" si="3"/>
        <v>1990</v>
      </c>
      <c r="G6" s="185">
        <f t="shared" si="3"/>
        <v>1991</v>
      </c>
      <c r="H6" s="150">
        <f t="shared" si="0"/>
        <v>128.7416666666667</v>
      </c>
      <c r="J6" s="166">
        <f>$J$4/$X$9</f>
        <v>7822.2778473091375</v>
      </c>
      <c r="K6" s="14"/>
      <c r="L6" s="14"/>
      <c r="M6" s="14"/>
      <c r="N6" s="14"/>
      <c r="O6" s="14"/>
      <c r="P6" s="14"/>
      <c r="Q6" s="14"/>
      <c r="R6" s="14"/>
      <c r="S6" s="165"/>
      <c r="U6" s="210" t="s">
        <v>547</v>
      </c>
      <c r="V6" s="72" t="s">
        <v>546</v>
      </c>
      <c r="W6" s="72"/>
      <c r="X6" s="14"/>
      <c r="Y6" s="14"/>
      <c r="Z6" s="14"/>
      <c r="AA6" s="14"/>
      <c r="AB6" s="211"/>
    </row>
    <row r="7" spans="1:28" ht="15" thickBot="1" x14ac:dyDescent="0.4">
      <c r="A7" s="187">
        <v>101.9</v>
      </c>
      <c r="B7" s="185" t="s">
        <v>162</v>
      </c>
      <c r="C7" s="189">
        <f t="shared" si="1"/>
        <v>1987</v>
      </c>
      <c r="D7" s="191">
        <f t="shared" si="2"/>
        <v>1988</v>
      </c>
      <c r="F7" s="155">
        <f t="shared" si="3"/>
        <v>1991</v>
      </c>
      <c r="G7" s="185">
        <f t="shared" si="3"/>
        <v>1992</v>
      </c>
      <c r="H7" s="150">
        <f t="shared" si="0"/>
        <v>134.85</v>
      </c>
      <c r="J7" s="145" t="s">
        <v>160</v>
      </c>
      <c r="K7" s="146"/>
      <c r="L7" s="146"/>
      <c r="M7" s="146"/>
      <c r="N7" s="146"/>
      <c r="O7" s="146"/>
      <c r="P7" s="146"/>
      <c r="Q7" s="146"/>
      <c r="R7" s="146"/>
      <c r="S7" s="163"/>
      <c r="U7" s="210" t="s">
        <v>548</v>
      </c>
      <c r="V7" s="72" t="s">
        <v>549</v>
      </c>
      <c r="W7" s="211"/>
      <c r="X7" s="10" t="s">
        <v>878</v>
      </c>
      <c r="Y7" s="11"/>
      <c r="Z7" s="11"/>
      <c r="AA7" s="173"/>
      <c r="AB7" s="212"/>
    </row>
    <row r="8" spans="1:28" x14ac:dyDescent="0.35">
      <c r="A8" s="187">
        <v>101.9</v>
      </c>
      <c r="B8" s="185" t="s">
        <v>165</v>
      </c>
      <c r="C8" s="189">
        <f t="shared" si="1"/>
        <v>1987</v>
      </c>
      <c r="D8" s="191">
        <f t="shared" si="2"/>
        <v>1988</v>
      </c>
      <c r="F8" s="155">
        <f t="shared" si="3"/>
        <v>1992</v>
      </c>
      <c r="G8" s="185">
        <f t="shared" si="3"/>
        <v>1993</v>
      </c>
      <c r="H8" s="150">
        <f t="shared" si="0"/>
        <v>139.10833333333332</v>
      </c>
      <c r="J8" s="12" t="s">
        <v>163</v>
      </c>
      <c r="K8" s="14"/>
      <c r="L8" s="14"/>
      <c r="M8" s="14"/>
      <c r="N8" s="14"/>
      <c r="O8" s="14"/>
      <c r="P8" s="14"/>
      <c r="Q8" s="14"/>
      <c r="R8" s="14"/>
      <c r="S8" s="165"/>
      <c r="U8" s="210" t="s">
        <v>550</v>
      </c>
      <c r="V8" s="72" t="s">
        <v>551</v>
      </c>
      <c r="W8" s="211"/>
      <c r="X8" s="12" t="s">
        <v>879</v>
      </c>
      <c r="Y8" s="14"/>
      <c r="Z8" s="14"/>
      <c r="AA8" s="165"/>
      <c r="AB8" s="212"/>
    </row>
    <row r="9" spans="1:28" ht="15" thickBot="1" x14ac:dyDescent="0.4">
      <c r="A9" s="187">
        <v>101.8</v>
      </c>
      <c r="B9" s="185" t="s">
        <v>167</v>
      </c>
      <c r="C9" s="189">
        <f t="shared" si="1"/>
        <v>1987</v>
      </c>
      <c r="D9" s="191">
        <f t="shared" si="2"/>
        <v>1988</v>
      </c>
      <c r="F9" s="155">
        <f t="shared" si="3"/>
        <v>1993</v>
      </c>
      <c r="G9" s="185">
        <f t="shared" si="3"/>
        <v>1994</v>
      </c>
      <c r="H9" s="150">
        <f t="shared" si="0"/>
        <v>141.48333333333332</v>
      </c>
      <c r="J9" s="167">
        <f>H31/H33-1</f>
        <v>0.21129453615696736</v>
      </c>
      <c r="K9" s="168"/>
      <c r="L9" s="168"/>
      <c r="M9" s="168"/>
      <c r="N9" s="168"/>
      <c r="O9" s="168"/>
      <c r="P9" s="168"/>
      <c r="Q9" s="168"/>
      <c r="R9" s="168"/>
      <c r="S9" s="169"/>
      <c r="U9" s="175" t="s">
        <v>552</v>
      </c>
      <c r="V9" s="168"/>
      <c r="W9" s="169"/>
      <c r="X9" s="16">
        <f>AVERAGE(W615:W628)</f>
        <v>1.2783999999999998</v>
      </c>
      <c r="Y9" s="18"/>
      <c r="Z9" s="18"/>
      <c r="AA9" s="162"/>
      <c r="AB9" s="212"/>
    </row>
    <row r="10" spans="1:28" ht="15" thickBot="1" x14ac:dyDescent="0.4">
      <c r="A10" s="187">
        <v>102.1</v>
      </c>
      <c r="B10" s="185" t="s">
        <v>171</v>
      </c>
      <c r="C10" s="189">
        <f t="shared" si="1"/>
        <v>1987</v>
      </c>
      <c r="D10" s="191">
        <f t="shared" si="2"/>
        <v>1988</v>
      </c>
      <c r="F10" s="155">
        <f t="shared" si="3"/>
        <v>1994</v>
      </c>
      <c r="G10" s="185">
        <f t="shared" si="3"/>
        <v>1995</v>
      </c>
      <c r="H10" s="150">
        <f t="shared" si="0"/>
        <v>145.35</v>
      </c>
      <c r="J10" s="170">
        <f>J6</f>
        <v>7822.2778473091375</v>
      </c>
      <c r="K10" s="171">
        <f>1+J9</f>
        <v>1.2112945361569674</v>
      </c>
      <c r="L10" s="172">
        <f>J6*(1+J9)</f>
        <v>9475.0824167472438</v>
      </c>
      <c r="M10" s="18" t="s">
        <v>168</v>
      </c>
      <c r="N10" s="18"/>
      <c r="O10" s="172">
        <f>L10/1000</f>
        <v>9.4750824167472434</v>
      </c>
      <c r="P10" s="18" t="s">
        <v>169</v>
      </c>
      <c r="Q10" s="18"/>
      <c r="R10" s="18"/>
      <c r="S10" s="162"/>
      <c r="U10" s="182">
        <v>1975</v>
      </c>
      <c r="V10" s="205">
        <v>1.6966000000000001</v>
      </c>
      <c r="W10" s="14"/>
      <c r="X10" s="14"/>
      <c r="Y10" s="14"/>
      <c r="Z10" s="14"/>
      <c r="AA10" s="14"/>
      <c r="AB10" s="165"/>
    </row>
    <row r="11" spans="1:28" ht="15" thickBot="1" x14ac:dyDescent="0.4">
      <c r="A11" s="187">
        <v>102.4</v>
      </c>
      <c r="B11" s="185" t="s">
        <v>173</v>
      </c>
      <c r="C11" s="189">
        <f t="shared" si="1"/>
        <v>1987</v>
      </c>
      <c r="D11" s="191">
        <f t="shared" si="2"/>
        <v>1988</v>
      </c>
      <c r="F11" s="155">
        <f t="shared" si="3"/>
        <v>1995</v>
      </c>
      <c r="G11" s="185">
        <f t="shared" si="3"/>
        <v>1996</v>
      </c>
      <c r="H11" s="150">
        <f t="shared" si="0"/>
        <v>150.07500000000002</v>
      </c>
      <c r="U11" s="182">
        <v>1976</v>
      </c>
      <c r="V11" s="205">
        <v>1.5109999999999999</v>
      </c>
      <c r="W11" s="14"/>
      <c r="X11" s="14"/>
      <c r="Y11" s="14"/>
      <c r="Z11" s="14"/>
      <c r="AA11" s="14"/>
      <c r="AB11" s="165"/>
    </row>
    <row r="12" spans="1:28" ht="15" thickBot="1" x14ac:dyDescent="0.4">
      <c r="A12" s="187">
        <v>102.9</v>
      </c>
      <c r="B12" s="185" t="s">
        <v>176</v>
      </c>
      <c r="C12" s="189">
        <f t="shared" si="1"/>
        <v>1987</v>
      </c>
      <c r="D12" s="191">
        <f t="shared" si="2"/>
        <v>1988</v>
      </c>
      <c r="F12" s="155">
        <f t="shared" si="3"/>
        <v>1996</v>
      </c>
      <c r="G12" s="185">
        <f t="shared" si="3"/>
        <v>1997</v>
      </c>
      <c r="H12" s="150">
        <f t="shared" si="0"/>
        <v>153.72500000000002</v>
      </c>
      <c r="J12" s="202" t="s">
        <v>876</v>
      </c>
      <c r="K12" s="203"/>
      <c r="L12" s="203"/>
      <c r="M12" s="203"/>
      <c r="N12" s="203"/>
      <c r="O12" s="203"/>
      <c r="P12" s="203"/>
      <c r="Q12" s="203"/>
      <c r="R12" s="203"/>
      <c r="S12" s="204"/>
      <c r="U12" s="182">
        <v>1977</v>
      </c>
      <c r="V12" s="205">
        <v>1.4377</v>
      </c>
      <c r="W12" s="14"/>
      <c r="X12" s="14"/>
      <c r="Y12" s="14"/>
      <c r="Z12" s="14"/>
      <c r="AA12" s="14"/>
      <c r="AB12" s="165"/>
    </row>
    <row r="13" spans="1:28" ht="15" thickBot="1" x14ac:dyDescent="0.4">
      <c r="A13" s="187">
        <v>103.4</v>
      </c>
      <c r="B13" s="185" t="s">
        <v>178</v>
      </c>
      <c r="C13" s="189">
        <f t="shared" si="1"/>
        <v>1987</v>
      </c>
      <c r="D13" s="191">
        <f t="shared" si="2"/>
        <v>1988</v>
      </c>
      <c r="F13" s="155">
        <f t="shared" si="3"/>
        <v>1997</v>
      </c>
      <c r="G13" s="185">
        <f t="shared" si="3"/>
        <v>1998</v>
      </c>
      <c r="H13" s="150">
        <f t="shared" si="0"/>
        <v>158.80833333333331</v>
      </c>
      <c r="J13" s="145" t="s">
        <v>174</v>
      </c>
      <c r="K13" s="146"/>
      <c r="L13" s="146"/>
      <c r="M13" s="146"/>
      <c r="N13" s="146"/>
      <c r="O13" s="146"/>
      <c r="P13" s="146"/>
      <c r="Q13" s="146"/>
      <c r="R13" s="146"/>
      <c r="S13" s="163"/>
      <c r="U13" s="182">
        <v>1978</v>
      </c>
      <c r="V13" s="205">
        <v>1.4336</v>
      </c>
      <c r="W13" s="14"/>
      <c r="X13" s="14"/>
      <c r="Y13" s="14"/>
      <c r="Z13" s="14"/>
      <c r="AA13" s="14"/>
      <c r="AB13" s="165"/>
    </row>
    <row r="14" spans="1:28" ht="15" thickBot="1" x14ac:dyDescent="0.4">
      <c r="A14" s="187">
        <v>103.3</v>
      </c>
      <c r="B14" s="185" t="s">
        <v>181</v>
      </c>
      <c r="C14" s="189">
        <f t="shared" si="1"/>
        <v>1987</v>
      </c>
      <c r="D14" s="191">
        <f t="shared" si="2"/>
        <v>1988</v>
      </c>
      <c r="F14" s="155">
        <f t="shared" si="3"/>
        <v>1998</v>
      </c>
      <c r="G14" s="185">
        <f t="shared" si="3"/>
        <v>1999</v>
      </c>
      <c r="H14" s="150">
        <f t="shared" si="0"/>
        <v>163.75833333333335</v>
      </c>
      <c r="J14" s="166">
        <v>14</v>
      </c>
      <c r="K14" s="14" t="s">
        <v>169</v>
      </c>
      <c r="L14" s="14"/>
      <c r="M14" s="14"/>
      <c r="N14" s="14"/>
      <c r="O14" s="14"/>
      <c r="P14" s="14"/>
      <c r="Q14" s="14"/>
      <c r="R14" s="14"/>
      <c r="S14" s="165"/>
      <c r="U14" s="182">
        <v>1979</v>
      </c>
      <c r="V14" s="205">
        <v>1.4785999999999999</v>
      </c>
      <c r="W14" s="14"/>
      <c r="X14" s="14"/>
      <c r="Y14" s="14"/>
      <c r="Z14" s="14"/>
      <c r="AA14" s="14"/>
      <c r="AB14" s="165"/>
    </row>
    <row r="15" spans="1:28" ht="15" thickBot="1" x14ac:dyDescent="0.4">
      <c r="A15" s="187">
        <v>103.3</v>
      </c>
      <c r="B15" s="185" t="s">
        <v>152</v>
      </c>
      <c r="C15" s="189">
        <f t="shared" si="1"/>
        <v>1988</v>
      </c>
      <c r="D15" s="191">
        <f t="shared" si="2"/>
        <v>1988</v>
      </c>
      <c r="F15" s="155">
        <f t="shared" si="3"/>
        <v>1999</v>
      </c>
      <c r="G15" s="185">
        <f t="shared" si="3"/>
        <v>2000</v>
      </c>
      <c r="H15" s="150">
        <f t="shared" si="0"/>
        <v>166.35</v>
      </c>
      <c r="J15" s="145" t="s">
        <v>179</v>
      </c>
      <c r="K15" s="146"/>
      <c r="L15" s="146"/>
      <c r="M15" s="146"/>
      <c r="N15" s="146"/>
      <c r="O15" s="146"/>
      <c r="P15" s="146"/>
      <c r="Q15" s="146"/>
      <c r="R15" s="146"/>
      <c r="S15" s="163"/>
      <c r="U15" s="182">
        <v>1980</v>
      </c>
      <c r="V15" s="205">
        <v>1.6244000000000001</v>
      </c>
      <c r="W15" s="14"/>
      <c r="X15" s="14"/>
      <c r="Y15" s="14"/>
      <c r="Z15" s="14"/>
      <c r="AA15" s="14"/>
      <c r="AB15" s="165"/>
    </row>
    <row r="16" spans="1:28" x14ac:dyDescent="0.35">
      <c r="A16" s="187">
        <v>103.7</v>
      </c>
      <c r="B16" s="185" t="s">
        <v>154</v>
      </c>
      <c r="C16" s="189">
        <f t="shared" si="1"/>
        <v>1988</v>
      </c>
      <c r="D16" s="191">
        <f t="shared" si="2"/>
        <v>1988</v>
      </c>
      <c r="F16" s="155">
        <f t="shared" si="3"/>
        <v>2000</v>
      </c>
      <c r="G16" s="185">
        <f t="shared" si="3"/>
        <v>2001</v>
      </c>
      <c r="H16" s="150">
        <f t="shared" si="0"/>
        <v>171.31666666666663</v>
      </c>
      <c r="J16" s="12" t="s">
        <v>182</v>
      </c>
      <c r="K16" s="14"/>
      <c r="L16" s="14"/>
      <c r="M16" s="174">
        <f>$A$303</f>
        <v>238</v>
      </c>
      <c r="N16" s="14"/>
      <c r="O16" s="14"/>
      <c r="P16" s="14"/>
      <c r="Q16" s="14"/>
      <c r="R16" s="14"/>
      <c r="S16" s="165"/>
      <c r="U16" s="182">
        <v>1981</v>
      </c>
      <c r="V16" s="205">
        <v>1.7847</v>
      </c>
      <c r="W16" s="14"/>
      <c r="X16" s="14"/>
      <c r="Y16" s="14"/>
      <c r="Z16" s="14"/>
      <c r="AA16" s="14"/>
      <c r="AB16" s="165"/>
    </row>
    <row r="17" spans="1:28" x14ac:dyDescent="0.35">
      <c r="A17" s="187">
        <v>104.1</v>
      </c>
      <c r="B17" s="185" t="s">
        <v>157</v>
      </c>
      <c r="C17" s="189">
        <f t="shared" si="1"/>
        <v>1988</v>
      </c>
      <c r="D17" s="191">
        <f t="shared" si="2"/>
        <v>1988</v>
      </c>
      <c r="F17" s="155">
        <f t="shared" si="3"/>
        <v>2001</v>
      </c>
      <c r="G17" s="185">
        <f t="shared" si="3"/>
        <v>2002</v>
      </c>
      <c r="H17" s="150">
        <f t="shared" si="0"/>
        <v>173.875</v>
      </c>
      <c r="J17" s="175" t="s">
        <v>184</v>
      </c>
      <c r="K17" s="168"/>
      <c r="L17" s="168"/>
      <c r="M17" s="176">
        <f>AVERAGE($A$342:$A$353)</f>
        <v>259.43333333333334</v>
      </c>
      <c r="N17" s="168"/>
      <c r="O17" s="168"/>
      <c r="P17" s="168"/>
      <c r="Q17" s="168"/>
      <c r="R17" s="168"/>
      <c r="S17" s="169"/>
      <c r="U17" s="182">
        <v>1982</v>
      </c>
      <c r="V17" s="205">
        <v>1.7674000000000001</v>
      </c>
      <c r="W17" s="14"/>
      <c r="X17" s="14"/>
      <c r="Y17" s="14"/>
      <c r="Z17" s="14"/>
      <c r="AA17" s="14"/>
      <c r="AB17" s="165"/>
    </row>
    <row r="18" spans="1:28" ht="15" thickBot="1" x14ac:dyDescent="0.4">
      <c r="A18" s="187">
        <v>105.8</v>
      </c>
      <c r="B18" s="185" t="s">
        <v>159</v>
      </c>
      <c r="C18" s="189">
        <f t="shared" si="1"/>
        <v>1988</v>
      </c>
      <c r="D18" s="191">
        <f t="shared" si="2"/>
        <v>1989</v>
      </c>
      <c r="F18" s="155">
        <f t="shared" si="3"/>
        <v>2002</v>
      </c>
      <c r="G18" s="185">
        <f t="shared" si="3"/>
        <v>2003</v>
      </c>
      <c r="H18" s="150">
        <f t="shared" si="0"/>
        <v>177.51666666666665</v>
      </c>
      <c r="J18" s="12" t="s">
        <v>186</v>
      </c>
      <c r="K18" s="14"/>
      <c r="L18" s="14"/>
      <c r="M18" s="177">
        <f>M17/M16-1</f>
        <v>9.005602240896371E-2</v>
      </c>
      <c r="N18" s="14"/>
      <c r="O18" s="14"/>
      <c r="P18" s="14"/>
      <c r="Q18" s="14"/>
      <c r="R18" s="14"/>
      <c r="S18" s="165"/>
      <c r="U18" s="182">
        <v>1983</v>
      </c>
      <c r="V18" s="205">
        <v>1.7058</v>
      </c>
      <c r="W18" s="14"/>
      <c r="X18" s="14"/>
      <c r="Y18" s="14"/>
      <c r="Z18" s="14"/>
      <c r="AA18" s="14"/>
      <c r="AB18" s="165"/>
    </row>
    <row r="19" spans="1:28" ht="15" thickBot="1" x14ac:dyDescent="0.4">
      <c r="A19" s="187">
        <v>106.2</v>
      </c>
      <c r="B19" s="185" t="s">
        <v>162</v>
      </c>
      <c r="C19" s="189">
        <f t="shared" si="1"/>
        <v>1988</v>
      </c>
      <c r="D19" s="191">
        <f t="shared" si="2"/>
        <v>1989</v>
      </c>
      <c r="F19" s="155">
        <f t="shared" si="3"/>
        <v>2003</v>
      </c>
      <c r="G19" s="185">
        <f t="shared" si="3"/>
        <v>2004</v>
      </c>
      <c r="H19" s="150">
        <f t="shared" si="0"/>
        <v>182.47499999999999</v>
      </c>
      <c r="J19" s="145" t="s">
        <v>188</v>
      </c>
      <c r="K19" s="146"/>
      <c r="L19" s="146"/>
      <c r="M19" s="146"/>
      <c r="N19" s="146"/>
      <c r="O19" s="146"/>
      <c r="P19" s="146"/>
      <c r="Q19" s="146"/>
      <c r="R19" s="146"/>
      <c r="S19" s="163"/>
      <c r="U19" s="182">
        <v>1984</v>
      </c>
      <c r="V19" s="205">
        <v>1.6970000000000001</v>
      </c>
      <c r="W19" s="14"/>
      <c r="X19" s="14"/>
      <c r="Y19" s="14"/>
      <c r="Z19" s="14"/>
      <c r="AA19" s="14"/>
      <c r="AB19" s="165"/>
    </row>
    <row r="20" spans="1:28" ht="15" thickBot="1" x14ac:dyDescent="0.4">
      <c r="A20" s="187">
        <v>106.6</v>
      </c>
      <c r="B20" s="185" t="s">
        <v>165</v>
      </c>
      <c r="C20" s="189">
        <f t="shared" si="1"/>
        <v>1988</v>
      </c>
      <c r="D20" s="191">
        <f t="shared" si="2"/>
        <v>1989</v>
      </c>
      <c r="F20" s="155">
        <f t="shared" si="3"/>
        <v>2004</v>
      </c>
      <c r="G20" s="185">
        <f t="shared" si="3"/>
        <v>2005</v>
      </c>
      <c r="H20" s="150">
        <f t="shared" si="0"/>
        <v>188.15</v>
      </c>
      <c r="J20" s="170">
        <f>J14*(1+M18)</f>
        <v>15.260784313725491</v>
      </c>
      <c r="K20" s="18" t="s">
        <v>169</v>
      </c>
      <c r="L20" s="18"/>
      <c r="M20" s="18"/>
      <c r="N20" s="18"/>
      <c r="O20" s="18"/>
      <c r="P20" s="18"/>
      <c r="Q20" s="18"/>
      <c r="R20" s="18"/>
      <c r="S20" s="162"/>
      <c r="U20" s="182">
        <v>1985</v>
      </c>
      <c r="V20" s="205">
        <v>1.7099</v>
      </c>
      <c r="W20" s="14"/>
      <c r="X20" s="14"/>
      <c r="Y20" s="14"/>
      <c r="Z20" s="14"/>
      <c r="AA20" s="14"/>
      <c r="AB20" s="165"/>
    </row>
    <row r="21" spans="1:28" ht="15" thickBot="1" x14ac:dyDescent="0.4">
      <c r="A21" s="187">
        <v>106.7</v>
      </c>
      <c r="B21" s="185" t="s">
        <v>167</v>
      </c>
      <c r="C21" s="189">
        <f t="shared" si="1"/>
        <v>1988</v>
      </c>
      <c r="D21" s="191">
        <f t="shared" si="2"/>
        <v>1989</v>
      </c>
      <c r="F21" s="155">
        <f t="shared" ref="F21:G32" si="4">F20+1</f>
        <v>2005</v>
      </c>
      <c r="G21" s="185">
        <f t="shared" si="4"/>
        <v>2006</v>
      </c>
      <c r="H21" s="150">
        <f t="shared" si="0"/>
        <v>193.10833333333332</v>
      </c>
      <c r="U21" s="182">
        <v>1986</v>
      </c>
      <c r="V21" s="205">
        <v>1.482</v>
      </c>
      <c r="W21" s="14"/>
      <c r="X21" s="14"/>
      <c r="Y21" s="14"/>
      <c r="Z21" s="14"/>
      <c r="AA21" s="14"/>
      <c r="AB21" s="165"/>
    </row>
    <row r="22" spans="1:28" ht="15" thickBot="1" x14ac:dyDescent="0.4">
      <c r="A22" s="187">
        <v>107.9</v>
      </c>
      <c r="B22" s="185" t="s">
        <v>171</v>
      </c>
      <c r="C22" s="189">
        <f t="shared" si="1"/>
        <v>1988</v>
      </c>
      <c r="D22" s="191">
        <f t="shared" si="2"/>
        <v>1989</v>
      </c>
      <c r="F22" s="155">
        <f t="shared" si="4"/>
        <v>2006</v>
      </c>
      <c r="G22" s="185">
        <f t="shared" si="4"/>
        <v>2007</v>
      </c>
      <c r="H22" s="150">
        <f t="shared" si="0"/>
        <v>200.31666666666669</v>
      </c>
      <c r="J22" s="202" t="s">
        <v>877</v>
      </c>
      <c r="K22" s="203"/>
      <c r="L22" s="203"/>
      <c r="M22" s="203"/>
      <c r="N22" s="203"/>
      <c r="O22" s="203"/>
      <c r="P22" s="203"/>
      <c r="Q22" s="203"/>
      <c r="R22" s="203"/>
      <c r="S22" s="204"/>
      <c r="U22" s="182">
        <v>1987</v>
      </c>
      <c r="V22" s="205">
        <v>1.4040999999999999</v>
      </c>
      <c r="W22" s="14"/>
      <c r="X22" s="14"/>
      <c r="Y22" s="14"/>
      <c r="Z22" s="14"/>
      <c r="AA22" s="14"/>
      <c r="AB22" s="165"/>
    </row>
    <row r="23" spans="1:28" ht="15" thickBot="1" x14ac:dyDescent="0.4">
      <c r="A23" s="187">
        <v>108.4</v>
      </c>
      <c r="B23" s="185" t="s">
        <v>173</v>
      </c>
      <c r="C23" s="189">
        <f t="shared" si="1"/>
        <v>1988</v>
      </c>
      <c r="D23" s="191">
        <f t="shared" si="2"/>
        <v>1989</v>
      </c>
      <c r="F23" s="155">
        <f t="shared" si="4"/>
        <v>2007</v>
      </c>
      <c r="G23" s="185">
        <f t="shared" si="4"/>
        <v>2008</v>
      </c>
      <c r="H23" s="150">
        <f t="shared" si="0"/>
        <v>208.5916666666667</v>
      </c>
      <c r="J23" s="145" t="s">
        <v>192</v>
      </c>
      <c r="K23" s="146"/>
      <c r="L23" s="146"/>
      <c r="M23" s="146"/>
      <c r="N23" s="146"/>
      <c r="O23" s="146"/>
      <c r="P23" s="146"/>
      <c r="Q23" s="146"/>
      <c r="R23" s="146"/>
      <c r="S23" s="163"/>
      <c r="U23" s="182">
        <v>1988</v>
      </c>
      <c r="V23" s="205">
        <v>1.4988999999999999</v>
      </c>
      <c r="W23" s="14"/>
      <c r="X23" s="14"/>
      <c r="Y23" s="14"/>
      <c r="Z23" s="14"/>
      <c r="AA23" s="14"/>
      <c r="AB23" s="165"/>
    </row>
    <row r="24" spans="1:28" ht="15" thickBot="1" x14ac:dyDescent="0.4">
      <c r="A24" s="187">
        <v>109.5</v>
      </c>
      <c r="B24" s="185" t="s">
        <v>176</v>
      </c>
      <c r="C24" s="189">
        <f t="shared" si="1"/>
        <v>1988</v>
      </c>
      <c r="D24" s="191">
        <f t="shared" si="2"/>
        <v>1989</v>
      </c>
      <c r="F24" s="155">
        <f t="shared" si="4"/>
        <v>2008</v>
      </c>
      <c r="G24" s="185">
        <f t="shared" si="4"/>
        <v>2009</v>
      </c>
      <c r="H24" s="150">
        <f t="shared" si="0"/>
        <v>214.78333333333339</v>
      </c>
      <c r="J24" s="166">
        <v>16</v>
      </c>
      <c r="K24" s="14" t="s">
        <v>168</v>
      </c>
      <c r="L24" s="14"/>
      <c r="M24" s="14"/>
      <c r="N24" s="14"/>
      <c r="O24" s="14"/>
      <c r="P24" s="14"/>
      <c r="Q24" s="14"/>
      <c r="R24" s="14"/>
      <c r="S24" s="165"/>
      <c r="U24" s="182">
        <v>1989</v>
      </c>
      <c r="V24" s="205">
        <v>1.4691000000000001</v>
      </c>
      <c r="W24" s="14"/>
      <c r="X24" s="14"/>
      <c r="Y24" s="14"/>
      <c r="Z24" s="14"/>
      <c r="AA24" s="14"/>
      <c r="AB24" s="165"/>
    </row>
    <row r="25" spans="1:28" ht="15" thickBot="1" x14ac:dyDescent="0.4">
      <c r="A25" s="187">
        <v>110</v>
      </c>
      <c r="B25" s="185" t="s">
        <v>178</v>
      </c>
      <c r="C25" s="189">
        <f t="shared" si="1"/>
        <v>1988</v>
      </c>
      <c r="D25" s="191">
        <f t="shared" si="2"/>
        <v>1989</v>
      </c>
      <c r="F25" s="155">
        <f t="shared" si="4"/>
        <v>2009</v>
      </c>
      <c r="G25" s="185">
        <f t="shared" si="4"/>
        <v>2010</v>
      </c>
      <c r="H25" s="150">
        <f t="shared" si="0"/>
        <v>215.76666666666662</v>
      </c>
      <c r="J25" s="145" t="s">
        <v>179</v>
      </c>
      <c r="K25" s="146"/>
      <c r="L25" s="146"/>
      <c r="M25" s="146"/>
      <c r="N25" s="146"/>
      <c r="O25" s="146"/>
      <c r="P25" s="146"/>
      <c r="Q25" s="146"/>
      <c r="R25" s="146"/>
      <c r="S25" s="163"/>
      <c r="U25" s="182">
        <v>1990</v>
      </c>
      <c r="V25" s="205">
        <v>1.3733</v>
      </c>
      <c r="W25" s="14"/>
      <c r="X25" s="14"/>
      <c r="Y25" s="14"/>
      <c r="Z25" s="14"/>
      <c r="AA25" s="14"/>
      <c r="AB25" s="165"/>
    </row>
    <row r="26" spans="1:28" x14ac:dyDescent="0.35">
      <c r="A26" s="187">
        <v>110.3</v>
      </c>
      <c r="B26" s="185" t="s">
        <v>181</v>
      </c>
      <c r="C26" s="189">
        <f t="shared" si="1"/>
        <v>1988</v>
      </c>
      <c r="D26" s="191">
        <f t="shared" si="2"/>
        <v>1989</v>
      </c>
      <c r="F26" s="155">
        <f t="shared" si="4"/>
        <v>2010</v>
      </c>
      <c r="G26" s="185">
        <f t="shared" si="4"/>
        <v>2011</v>
      </c>
      <c r="H26" s="150">
        <f t="shared" si="0"/>
        <v>226.47499999999999</v>
      </c>
      <c r="J26" s="12" t="s">
        <v>196</v>
      </c>
      <c r="K26" s="14"/>
      <c r="L26" s="14"/>
      <c r="M26" s="174">
        <f>$A$293</f>
        <v>232.5</v>
      </c>
      <c r="N26" s="14"/>
      <c r="O26" s="14"/>
      <c r="P26" s="14"/>
      <c r="Q26" s="14"/>
      <c r="R26" s="14"/>
      <c r="S26" s="165"/>
      <c r="U26" s="182">
        <v>1991</v>
      </c>
      <c r="V26" s="205">
        <v>1.4004000000000001</v>
      </c>
      <c r="W26" s="14"/>
      <c r="X26" s="14"/>
      <c r="Y26" s="14"/>
      <c r="Z26" s="14"/>
      <c r="AA26" s="14"/>
      <c r="AB26" s="165"/>
    </row>
    <row r="27" spans="1:28" x14ac:dyDescent="0.35">
      <c r="A27" s="187">
        <v>111</v>
      </c>
      <c r="B27" s="185" t="s">
        <v>152</v>
      </c>
      <c r="C27" s="189">
        <f t="shared" si="1"/>
        <v>1989</v>
      </c>
      <c r="D27" s="191">
        <f t="shared" si="2"/>
        <v>1989</v>
      </c>
      <c r="F27" s="155">
        <f t="shared" si="4"/>
        <v>2011</v>
      </c>
      <c r="G27" s="185">
        <f t="shared" si="4"/>
        <v>2012</v>
      </c>
      <c r="H27" s="150">
        <f t="shared" si="0"/>
        <v>237.3416666666667</v>
      </c>
      <c r="J27" s="175" t="s">
        <v>184</v>
      </c>
      <c r="K27" s="168"/>
      <c r="L27" s="168"/>
      <c r="M27" s="176">
        <f>$H$31</f>
        <v>259.43333333333334</v>
      </c>
      <c r="N27" s="168"/>
      <c r="O27" s="168"/>
      <c r="P27" s="168"/>
      <c r="Q27" s="168"/>
      <c r="R27" s="168"/>
      <c r="S27" s="169"/>
      <c r="U27" s="182">
        <v>1992</v>
      </c>
      <c r="V27" s="205">
        <v>1.3325</v>
      </c>
      <c r="W27" s="14"/>
      <c r="X27" s="14"/>
      <c r="Y27" s="14"/>
      <c r="Z27" s="14"/>
      <c r="AA27" s="14"/>
      <c r="AB27" s="165"/>
    </row>
    <row r="28" spans="1:28" ht="15" thickBot="1" x14ac:dyDescent="0.4">
      <c r="A28" s="187">
        <v>111.8</v>
      </c>
      <c r="B28" s="185" t="s">
        <v>154</v>
      </c>
      <c r="C28" s="189">
        <f t="shared" si="1"/>
        <v>1989</v>
      </c>
      <c r="D28" s="191">
        <f t="shared" si="2"/>
        <v>1989</v>
      </c>
      <c r="F28" s="155">
        <f t="shared" si="4"/>
        <v>2012</v>
      </c>
      <c r="G28" s="185">
        <f t="shared" si="4"/>
        <v>2013</v>
      </c>
      <c r="H28" s="150">
        <f t="shared" si="0"/>
        <v>244.67499999999998</v>
      </c>
      <c r="J28" s="12" t="s">
        <v>186</v>
      </c>
      <c r="K28" s="14"/>
      <c r="L28" s="14"/>
      <c r="M28" s="177">
        <f>M27/M26-1</f>
        <v>0.11584229390681</v>
      </c>
      <c r="N28" s="14"/>
      <c r="O28" s="14"/>
      <c r="P28" s="14"/>
      <c r="Q28" s="14"/>
      <c r="R28" s="14"/>
      <c r="S28" s="165"/>
      <c r="U28" s="182">
        <v>1993</v>
      </c>
      <c r="V28" s="205">
        <v>1.2616000000000001</v>
      </c>
      <c r="W28" s="14"/>
      <c r="X28" s="14"/>
      <c r="Y28" s="14"/>
      <c r="Z28" s="14"/>
      <c r="AA28" s="14"/>
      <c r="AB28" s="165"/>
    </row>
    <row r="29" spans="1:28" ht="15" thickBot="1" x14ac:dyDescent="0.4">
      <c r="A29" s="187">
        <v>112.3</v>
      </c>
      <c r="B29" s="185" t="s">
        <v>157</v>
      </c>
      <c r="C29" s="189">
        <f t="shared" si="1"/>
        <v>1989</v>
      </c>
      <c r="D29" s="191">
        <f t="shared" si="2"/>
        <v>1989</v>
      </c>
      <c r="F29" s="155">
        <f t="shared" si="4"/>
        <v>2013</v>
      </c>
      <c r="G29" s="185">
        <f t="shared" si="4"/>
        <v>2014</v>
      </c>
      <c r="H29" s="150">
        <f t="shared" si="0"/>
        <v>251.73333333333335</v>
      </c>
      <c r="J29" s="145" t="s">
        <v>188</v>
      </c>
      <c r="K29" s="146"/>
      <c r="L29" s="146"/>
      <c r="M29" s="146"/>
      <c r="N29" s="146"/>
      <c r="O29" s="146"/>
      <c r="P29" s="146"/>
      <c r="Q29" s="146"/>
      <c r="R29" s="146"/>
      <c r="S29" s="163"/>
      <c r="U29" s="182">
        <v>1994</v>
      </c>
      <c r="V29" s="205">
        <v>1.2724</v>
      </c>
      <c r="W29" s="14"/>
      <c r="X29" s="14"/>
      <c r="Y29" s="14"/>
      <c r="Z29" s="14"/>
      <c r="AA29" s="14"/>
      <c r="AB29" s="165"/>
    </row>
    <row r="30" spans="1:28" ht="15" thickBot="1" x14ac:dyDescent="0.4">
      <c r="A30" s="187">
        <v>114.3</v>
      </c>
      <c r="B30" s="185" t="s">
        <v>159</v>
      </c>
      <c r="C30" s="189">
        <f t="shared" si="1"/>
        <v>1989</v>
      </c>
      <c r="D30" s="191">
        <f t="shared" si="2"/>
        <v>1990</v>
      </c>
      <c r="F30" s="155">
        <f t="shared" si="4"/>
        <v>2014</v>
      </c>
      <c r="G30" s="185">
        <f t="shared" si="4"/>
        <v>2015</v>
      </c>
      <c r="H30" s="150">
        <f t="shared" si="0"/>
        <v>256.66666666666669</v>
      </c>
      <c r="J30" s="170">
        <f>J24*(1+M28)</f>
        <v>17.85347670250896</v>
      </c>
      <c r="K30" s="18" t="s">
        <v>169</v>
      </c>
      <c r="L30" s="18"/>
      <c r="M30" s="18"/>
      <c r="N30" s="18"/>
      <c r="O30" s="18"/>
      <c r="P30" s="18"/>
      <c r="Q30" s="18"/>
      <c r="R30" s="18"/>
      <c r="S30" s="162"/>
      <c r="U30" s="182">
        <v>1995</v>
      </c>
      <c r="V30" s="205">
        <v>1.1908000000000001</v>
      </c>
      <c r="W30" s="14"/>
      <c r="X30" s="14"/>
      <c r="Y30" s="14"/>
      <c r="Z30" s="14"/>
      <c r="AA30" s="14"/>
      <c r="AB30" s="165"/>
    </row>
    <row r="31" spans="1:28" x14ac:dyDescent="0.35">
      <c r="A31" s="187">
        <v>115</v>
      </c>
      <c r="B31" s="185" t="s">
        <v>162</v>
      </c>
      <c r="C31" s="189">
        <f t="shared" si="1"/>
        <v>1989</v>
      </c>
      <c r="D31" s="191">
        <f t="shared" si="2"/>
        <v>1990</v>
      </c>
      <c r="F31" s="155">
        <f t="shared" si="4"/>
        <v>2015</v>
      </c>
      <c r="G31" s="185">
        <f t="shared" si="4"/>
        <v>2016</v>
      </c>
      <c r="H31" s="150">
        <f t="shared" si="0"/>
        <v>259.43333333333334</v>
      </c>
      <c r="U31" s="182">
        <v>1996</v>
      </c>
      <c r="V31" s="205">
        <v>1.2097</v>
      </c>
      <c r="W31" s="14"/>
      <c r="X31" s="14"/>
      <c r="Y31" s="14"/>
      <c r="Z31" s="14"/>
      <c r="AA31" s="14"/>
      <c r="AB31" s="165"/>
    </row>
    <row r="32" spans="1:28" x14ac:dyDescent="0.35">
      <c r="A32" s="187">
        <v>115.4</v>
      </c>
      <c r="B32" s="185" t="s">
        <v>165</v>
      </c>
      <c r="C32" s="189">
        <f t="shared" si="1"/>
        <v>1989</v>
      </c>
      <c r="D32" s="191">
        <f t="shared" si="2"/>
        <v>1990</v>
      </c>
      <c r="F32" s="155">
        <f t="shared" si="4"/>
        <v>2016</v>
      </c>
      <c r="G32" s="185">
        <f t="shared" si="4"/>
        <v>2017</v>
      </c>
      <c r="H32" s="150">
        <f t="shared" si="0"/>
        <v>264.99166666666673</v>
      </c>
      <c r="U32" s="182">
        <v>1997</v>
      </c>
      <c r="V32" s="205">
        <v>1.4493</v>
      </c>
      <c r="W32" s="14"/>
      <c r="X32" s="14"/>
      <c r="Y32" s="14"/>
      <c r="Z32" s="14"/>
      <c r="AA32" s="14"/>
      <c r="AB32" s="165"/>
    </row>
    <row r="33" spans="1:28" ht="15" thickBot="1" x14ac:dyDescent="0.4">
      <c r="A33" s="187">
        <v>115.5</v>
      </c>
      <c r="B33" s="185" t="s">
        <v>167</v>
      </c>
      <c r="C33" s="189">
        <f t="shared" si="1"/>
        <v>1989</v>
      </c>
      <c r="D33" s="191">
        <f t="shared" si="2"/>
        <v>1990</v>
      </c>
      <c r="F33" s="194">
        <v>39387</v>
      </c>
      <c r="G33" s="196">
        <v>39783</v>
      </c>
      <c r="H33" s="151">
        <f>AVERAGE(A253:A266)</f>
        <v>214.17857142857142</v>
      </c>
      <c r="U33" s="182">
        <v>1998</v>
      </c>
      <c r="V33" s="205">
        <v>1.4886999999999999</v>
      </c>
      <c r="W33" s="14"/>
      <c r="X33" s="14"/>
      <c r="Y33" s="14"/>
      <c r="Z33" s="14"/>
      <c r="AA33" s="14"/>
      <c r="AB33" s="165"/>
    </row>
    <row r="34" spans="1:28" x14ac:dyDescent="0.35">
      <c r="A34" s="187">
        <v>115.8</v>
      </c>
      <c r="B34" s="185" t="s">
        <v>171</v>
      </c>
      <c r="C34" s="189">
        <f t="shared" si="1"/>
        <v>1989</v>
      </c>
      <c r="D34" s="191">
        <f t="shared" si="2"/>
        <v>1990</v>
      </c>
      <c r="U34" s="182">
        <v>1999</v>
      </c>
      <c r="V34" s="205">
        <v>1.5192000000000001</v>
      </c>
      <c r="W34" s="14"/>
      <c r="X34" s="14"/>
      <c r="Y34" s="14"/>
      <c r="Z34" s="14"/>
      <c r="AA34" s="14"/>
      <c r="AB34" s="165"/>
    </row>
    <row r="35" spans="1:28" x14ac:dyDescent="0.35">
      <c r="A35" s="187">
        <v>116.6</v>
      </c>
      <c r="B35" s="185" t="s">
        <v>173</v>
      </c>
      <c r="C35" s="189">
        <f t="shared" si="1"/>
        <v>1989</v>
      </c>
      <c r="D35" s="191">
        <f t="shared" si="2"/>
        <v>1990</v>
      </c>
      <c r="U35" s="182">
        <v>2000</v>
      </c>
      <c r="V35" s="205">
        <v>1.6422000000000001</v>
      </c>
      <c r="W35" s="14"/>
      <c r="X35" s="14"/>
      <c r="Y35" s="14"/>
      <c r="Z35" s="14"/>
      <c r="AA35" s="14"/>
      <c r="AB35" s="165"/>
    </row>
    <row r="36" spans="1:28" x14ac:dyDescent="0.35">
      <c r="A36" s="187">
        <v>117.5</v>
      </c>
      <c r="B36" s="185" t="s">
        <v>176</v>
      </c>
      <c r="C36" s="189">
        <f t="shared" si="1"/>
        <v>1989</v>
      </c>
      <c r="D36" s="191">
        <f t="shared" si="2"/>
        <v>1990</v>
      </c>
      <c r="U36" s="182">
        <v>2001</v>
      </c>
      <c r="V36" s="205">
        <v>1.6087</v>
      </c>
      <c r="W36" s="14"/>
      <c r="X36" s="14"/>
      <c r="Y36" s="14"/>
      <c r="Z36" s="14"/>
      <c r="AA36" s="14"/>
      <c r="AB36" s="165"/>
    </row>
    <row r="37" spans="1:28" x14ac:dyDescent="0.35">
      <c r="A37" s="187">
        <v>118.5</v>
      </c>
      <c r="B37" s="185" t="s">
        <v>178</v>
      </c>
      <c r="C37" s="189">
        <f t="shared" si="1"/>
        <v>1989</v>
      </c>
      <c r="D37" s="191">
        <f t="shared" si="2"/>
        <v>1990</v>
      </c>
      <c r="U37" s="182">
        <v>2002</v>
      </c>
      <c r="V37" s="205">
        <v>1.5909</v>
      </c>
      <c r="W37" s="14"/>
      <c r="X37" s="14"/>
      <c r="Y37" s="14"/>
      <c r="Z37" s="14"/>
      <c r="AA37" s="14"/>
      <c r="AB37" s="165"/>
    </row>
    <row r="38" spans="1:28" x14ac:dyDescent="0.35">
      <c r="A38" s="187">
        <v>118.8</v>
      </c>
      <c r="B38" s="185" t="s">
        <v>181</v>
      </c>
      <c r="C38" s="189">
        <f t="shared" si="1"/>
        <v>1989</v>
      </c>
      <c r="D38" s="191">
        <f t="shared" si="2"/>
        <v>1990</v>
      </c>
      <c r="U38" s="182">
        <v>2003</v>
      </c>
      <c r="V38" s="205">
        <v>1.4456</v>
      </c>
      <c r="W38" s="14"/>
      <c r="X38" s="14"/>
      <c r="Y38" s="14"/>
      <c r="Z38" s="14"/>
      <c r="AA38" s="14"/>
      <c r="AB38" s="165"/>
    </row>
    <row r="39" spans="1:28" x14ac:dyDescent="0.35">
      <c r="A39" s="187">
        <v>119.5</v>
      </c>
      <c r="B39" s="185" t="s">
        <v>152</v>
      </c>
      <c r="C39" s="189">
        <f t="shared" si="1"/>
        <v>1990</v>
      </c>
      <c r="D39" s="191">
        <f t="shared" si="2"/>
        <v>1990</v>
      </c>
      <c r="U39" s="182">
        <v>2004</v>
      </c>
      <c r="V39" s="205">
        <v>1.4739</v>
      </c>
      <c r="W39" s="14"/>
      <c r="X39" s="14"/>
      <c r="Y39" s="14"/>
      <c r="Z39" s="14"/>
      <c r="AA39" s="14"/>
      <c r="AB39" s="165"/>
    </row>
    <row r="40" spans="1:28" x14ac:dyDescent="0.35">
      <c r="A40" s="187">
        <v>120.2</v>
      </c>
      <c r="B40" s="185" t="s">
        <v>154</v>
      </c>
      <c r="C40" s="189">
        <f t="shared" si="1"/>
        <v>1990</v>
      </c>
      <c r="D40" s="191">
        <f t="shared" si="2"/>
        <v>1990</v>
      </c>
      <c r="U40" s="182">
        <v>2005</v>
      </c>
      <c r="V40" s="205">
        <v>1.4629000000000001</v>
      </c>
      <c r="W40" s="14"/>
      <c r="X40" s="14"/>
      <c r="Y40" s="14"/>
      <c r="Z40" s="14"/>
      <c r="AA40" s="14"/>
      <c r="AB40" s="165"/>
    </row>
    <row r="41" spans="1:28" x14ac:dyDescent="0.35">
      <c r="A41" s="187">
        <v>121.4</v>
      </c>
      <c r="B41" s="185" t="s">
        <v>157</v>
      </c>
      <c r="C41" s="189">
        <f t="shared" si="1"/>
        <v>1990</v>
      </c>
      <c r="D41" s="191">
        <f t="shared" si="2"/>
        <v>1990</v>
      </c>
      <c r="U41" s="182">
        <v>2006</v>
      </c>
      <c r="V41" s="205">
        <v>1.4670000000000001</v>
      </c>
      <c r="W41" s="14"/>
      <c r="X41" s="14"/>
      <c r="Y41" s="14"/>
      <c r="Z41" s="14"/>
      <c r="AA41" s="14"/>
      <c r="AB41" s="165"/>
    </row>
    <row r="42" spans="1:28" x14ac:dyDescent="0.35">
      <c r="A42" s="187">
        <v>125.1</v>
      </c>
      <c r="B42" s="185" t="s">
        <v>159</v>
      </c>
      <c r="C42" s="189">
        <f t="shared" si="1"/>
        <v>1990</v>
      </c>
      <c r="D42" s="191">
        <f t="shared" si="2"/>
        <v>1991</v>
      </c>
      <c r="U42" s="182">
        <v>2007</v>
      </c>
      <c r="V42" s="205">
        <v>1.4619</v>
      </c>
      <c r="W42" s="14"/>
      <c r="X42" s="14"/>
      <c r="Y42" s="14"/>
      <c r="Z42" s="14"/>
      <c r="AA42" s="14"/>
      <c r="AB42" s="165"/>
    </row>
    <row r="43" spans="1:28" x14ac:dyDescent="0.35">
      <c r="A43" s="187">
        <v>126.2</v>
      </c>
      <c r="B43" s="185" t="s">
        <v>162</v>
      </c>
      <c r="C43" s="189">
        <f t="shared" si="1"/>
        <v>1990</v>
      </c>
      <c r="D43" s="191">
        <f t="shared" si="2"/>
        <v>1991</v>
      </c>
      <c r="U43" s="182">
        <v>2008</v>
      </c>
      <c r="V43" s="205">
        <v>1.2587999999999999</v>
      </c>
      <c r="W43" s="14"/>
      <c r="X43" s="14"/>
      <c r="Y43" s="14"/>
      <c r="Z43" s="14"/>
      <c r="AA43" s="14"/>
      <c r="AB43" s="165"/>
    </row>
    <row r="44" spans="1:28" x14ac:dyDescent="0.35">
      <c r="A44" s="187">
        <v>126.7</v>
      </c>
      <c r="B44" s="185" t="s">
        <v>165</v>
      </c>
      <c r="C44" s="189">
        <f t="shared" si="1"/>
        <v>1990</v>
      </c>
      <c r="D44" s="191">
        <f t="shared" si="2"/>
        <v>1991</v>
      </c>
      <c r="U44" s="182">
        <v>2009</v>
      </c>
      <c r="V44" s="205">
        <v>1.1233</v>
      </c>
      <c r="W44" s="14"/>
      <c r="X44" s="14"/>
      <c r="Y44" s="14"/>
      <c r="Z44" s="14"/>
      <c r="AA44" s="14"/>
      <c r="AB44" s="165"/>
    </row>
    <row r="45" spans="1:28" x14ac:dyDescent="0.35">
      <c r="A45" s="187">
        <v>126.8</v>
      </c>
      <c r="B45" s="185" t="s">
        <v>167</v>
      </c>
      <c r="C45" s="189">
        <f t="shared" si="1"/>
        <v>1990</v>
      </c>
      <c r="D45" s="191">
        <f t="shared" si="2"/>
        <v>1991</v>
      </c>
      <c r="U45" s="182">
        <v>2010</v>
      </c>
      <c r="V45" s="205">
        <v>1.1664000000000001</v>
      </c>
      <c r="W45" s="14"/>
      <c r="X45" s="14"/>
      <c r="Y45" s="14"/>
      <c r="Z45" s="14"/>
      <c r="AA45" s="14"/>
      <c r="AB45" s="165"/>
    </row>
    <row r="46" spans="1:28" x14ac:dyDescent="0.35">
      <c r="A46" s="187">
        <v>128.1</v>
      </c>
      <c r="B46" s="185" t="s">
        <v>171</v>
      </c>
      <c r="C46" s="189">
        <f t="shared" si="1"/>
        <v>1990</v>
      </c>
      <c r="D46" s="191">
        <f t="shared" si="2"/>
        <v>1991</v>
      </c>
      <c r="U46" s="182">
        <v>2011</v>
      </c>
      <c r="V46" s="205">
        <v>1.1527000000000001</v>
      </c>
      <c r="W46" s="14"/>
      <c r="X46" s="14"/>
      <c r="Y46" s="14"/>
      <c r="Z46" s="14"/>
      <c r="AA46" s="14"/>
      <c r="AB46" s="165"/>
    </row>
    <row r="47" spans="1:28" x14ac:dyDescent="0.35">
      <c r="A47" s="187">
        <v>129.30000000000001</v>
      </c>
      <c r="B47" s="185" t="s">
        <v>173</v>
      </c>
      <c r="C47" s="189">
        <f t="shared" si="1"/>
        <v>1990</v>
      </c>
      <c r="D47" s="191">
        <f t="shared" si="2"/>
        <v>1991</v>
      </c>
      <c r="U47" s="182">
        <v>2012</v>
      </c>
      <c r="V47" s="205">
        <v>1.2337</v>
      </c>
      <c r="W47" s="14"/>
      <c r="X47" s="14"/>
      <c r="Y47" s="14"/>
      <c r="Z47" s="14"/>
      <c r="AA47" s="14"/>
      <c r="AB47" s="165"/>
    </row>
    <row r="48" spans="1:28" x14ac:dyDescent="0.35">
      <c r="A48" s="187">
        <v>130.30000000000001</v>
      </c>
      <c r="B48" s="185" t="s">
        <v>176</v>
      </c>
      <c r="C48" s="189">
        <f t="shared" si="1"/>
        <v>1990</v>
      </c>
      <c r="D48" s="191">
        <f t="shared" si="2"/>
        <v>1991</v>
      </c>
      <c r="U48" s="182">
        <v>2013</v>
      </c>
      <c r="V48" s="205">
        <v>1.1776</v>
      </c>
      <c r="W48" s="14"/>
      <c r="X48" s="14"/>
      <c r="Y48" s="14"/>
      <c r="Z48" s="14"/>
      <c r="AA48" s="14"/>
      <c r="AB48" s="165"/>
    </row>
    <row r="49" spans="1:28" x14ac:dyDescent="0.35">
      <c r="A49" s="187">
        <v>130</v>
      </c>
      <c r="B49" s="185" t="s">
        <v>178</v>
      </c>
      <c r="C49" s="189">
        <f t="shared" si="1"/>
        <v>1990</v>
      </c>
      <c r="D49" s="191">
        <f t="shared" si="2"/>
        <v>1991</v>
      </c>
      <c r="U49" s="182">
        <v>2014</v>
      </c>
      <c r="V49" s="205">
        <v>1.2411000000000001</v>
      </c>
      <c r="W49" s="14"/>
      <c r="X49" s="14"/>
      <c r="Y49" s="14"/>
      <c r="Z49" s="14"/>
      <c r="AA49" s="14"/>
      <c r="AB49" s="165"/>
    </row>
    <row r="50" spans="1:28" x14ac:dyDescent="0.35">
      <c r="A50" s="187">
        <v>129.9</v>
      </c>
      <c r="B50" s="185" t="s">
        <v>181</v>
      </c>
      <c r="C50" s="189">
        <f t="shared" si="1"/>
        <v>1990</v>
      </c>
      <c r="D50" s="191">
        <f t="shared" si="2"/>
        <v>1991</v>
      </c>
      <c r="U50" s="182">
        <v>2015</v>
      </c>
      <c r="V50" s="205">
        <v>1.3782000000000001</v>
      </c>
      <c r="W50" s="14"/>
      <c r="X50" s="14"/>
      <c r="Y50" s="14"/>
      <c r="Z50" s="14"/>
      <c r="AA50" s="14"/>
      <c r="AB50" s="165"/>
    </row>
    <row r="51" spans="1:28" x14ac:dyDescent="0.35">
      <c r="A51" s="187">
        <v>130.19999999999999</v>
      </c>
      <c r="B51" s="185" t="s">
        <v>152</v>
      </c>
      <c r="C51" s="189">
        <f t="shared" si="1"/>
        <v>1991</v>
      </c>
      <c r="D51" s="191">
        <f t="shared" si="2"/>
        <v>1991</v>
      </c>
      <c r="U51" s="182">
        <v>2016</v>
      </c>
      <c r="V51" s="205">
        <v>1.2233000000000001</v>
      </c>
      <c r="W51" s="14"/>
      <c r="X51" s="14"/>
      <c r="Y51" s="14"/>
      <c r="Z51" s="14"/>
      <c r="AA51" s="14"/>
      <c r="AB51" s="165"/>
    </row>
    <row r="52" spans="1:28" x14ac:dyDescent="0.35">
      <c r="A52" s="187">
        <v>130.9</v>
      </c>
      <c r="B52" s="185" t="s">
        <v>154</v>
      </c>
      <c r="C52" s="189">
        <f t="shared" si="1"/>
        <v>1991</v>
      </c>
      <c r="D52" s="191">
        <f t="shared" si="2"/>
        <v>1991</v>
      </c>
      <c r="U52" s="12" t="s">
        <v>553</v>
      </c>
      <c r="V52" s="205">
        <v>1.768</v>
      </c>
      <c r="W52" s="14"/>
      <c r="X52" s="14"/>
      <c r="Y52" s="14"/>
      <c r="Z52" s="14"/>
      <c r="AA52" s="14"/>
      <c r="AB52" s="165"/>
    </row>
    <row r="53" spans="1:28" x14ac:dyDescent="0.35">
      <c r="A53" s="187">
        <v>131.4</v>
      </c>
      <c r="B53" s="185" t="s">
        <v>157</v>
      </c>
      <c r="C53" s="189">
        <f t="shared" si="1"/>
        <v>1991</v>
      </c>
      <c r="D53" s="191">
        <f t="shared" si="2"/>
        <v>1991</v>
      </c>
      <c r="U53" s="12" t="s">
        <v>554</v>
      </c>
      <c r="V53" s="205">
        <v>1.7062999999999999</v>
      </c>
      <c r="W53" s="14"/>
      <c r="X53" s="14"/>
      <c r="Y53" s="14"/>
      <c r="Z53" s="14"/>
      <c r="AA53" s="14"/>
      <c r="AB53" s="165"/>
    </row>
    <row r="54" spans="1:28" x14ac:dyDescent="0.35">
      <c r="A54" s="187">
        <v>133.1</v>
      </c>
      <c r="B54" s="185" t="s">
        <v>159</v>
      </c>
      <c r="C54" s="189">
        <f t="shared" si="1"/>
        <v>1991</v>
      </c>
      <c r="D54" s="191">
        <f t="shared" si="2"/>
        <v>1992</v>
      </c>
      <c r="U54" s="12" t="s">
        <v>555</v>
      </c>
      <c r="V54" s="205">
        <v>1.6757</v>
      </c>
      <c r="W54" s="14"/>
      <c r="X54" s="14"/>
      <c r="Y54" s="14"/>
      <c r="Z54" s="14"/>
      <c r="AA54" s="14"/>
      <c r="AB54" s="165"/>
    </row>
    <row r="55" spans="1:28" x14ac:dyDescent="0.35">
      <c r="A55" s="187">
        <v>133.5</v>
      </c>
      <c r="B55" s="185" t="s">
        <v>162</v>
      </c>
      <c r="C55" s="189">
        <f t="shared" si="1"/>
        <v>1991</v>
      </c>
      <c r="D55" s="191">
        <f t="shared" si="2"/>
        <v>1992</v>
      </c>
      <c r="U55" s="12" t="s">
        <v>556</v>
      </c>
      <c r="V55" s="205">
        <v>1.64</v>
      </c>
      <c r="W55" s="14"/>
      <c r="X55" s="14"/>
      <c r="Y55" s="14"/>
      <c r="Z55" s="14"/>
      <c r="AA55" s="14"/>
      <c r="AB55" s="165"/>
    </row>
    <row r="56" spans="1:28" x14ac:dyDescent="0.35">
      <c r="A56" s="187">
        <v>134.1</v>
      </c>
      <c r="B56" s="185" t="s">
        <v>165</v>
      </c>
      <c r="C56" s="189">
        <f t="shared" si="1"/>
        <v>1991</v>
      </c>
      <c r="D56" s="191">
        <f t="shared" si="2"/>
        <v>1992</v>
      </c>
      <c r="U56" s="12" t="s">
        <v>557</v>
      </c>
      <c r="V56" s="205">
        <v>1.6433</v>
      </c>
      <c r="W56" s="14"/>
      <c r="X56" s="14"/>
      <c r="Y56" s="14"/>
      <c r="Z56" s="14"/>
      <c r="AA56" s="14"/>
      <c r="AB56" s="165"/>
    </row>
    <row r="57" spans="1:28" x14ac:dyDescent="0.35">
      <c r="A57" s="187">
        <v>133.80000000000001</v>
      </c>
      <c r="B57" s="185" t="s">
        <v>167</v>
      </c>
      <c r="C57" s="189">
        <f t="shared" si="1"/>
        <v>1991</v>
      </c>
      <c r="D57" s="191">
        <f t="shared" si="2"/>
        <v>1992</v>
      </c>
      <c r="U57" s="12" t="s">
        <v>558</v>
      </c>
      <c r="V57" s="205">
        <v>1.5317000000000001</v>
      </c>
      <c r="W57" s="14"/>
      <c r="X57" s="14"/>
      <c r="Y57" s="14"/>
      <c r="Z57" s="14"/>
      <c r="AA57" s="14"/>
      <c r="AB57" s="165"/>
    </row>
    <row r="58" spans="1:28" x14ac:dyDescent="0.35">
      <c r="A58" s="187">
        <v>134.1</v>
      </c>
      <c r="B58" s="185" t="s">
        <v>171</v>
      </c>
      <c r="C58" s="189">
        <f t="shared" si="1"/>
        <v>1991</v>
      </c>
      <c r="D58" s="191">
        <f t="shared" si="2"/>
        <v>1992</v>
      </c>
      <c r="U58" s="12" t="s">
        <v>559</v>
      </c>
      <c r="V58" s="205">
        <v>1.4984999999999999</v>
      </c>
      <c r="W58" s="14"/>
      <c r="X58" s="14"/>
      <c r="Y58" s="14"/>
      <c r="Z58" s="14"/>
      <c r="AA58" s="14"/>
      <c r="AB58" s="165"/>
    </row>
    <row r="59" spans="1:28" x14ac:dyDescent="0.35">
      <c r="A59" s="187">
        <v>134.6</v>
      </c>
      <c r="B59" s="185" t="s">
        <v>173</v>
      </c>
      <c r="C59" s="189">
        <f t="shared" si="1"/>
        <v>1991</v>
      </c>
      <c r="D59" s="191">
        <f t="shared" si="2"/>
        <v>1992</v>
      </c>
      <c r="U59" s="12" t="s">
        <v>560</v>
      </c>
      <c r="V59" s="205">
        <v>1.3713</v>
      </c>
      <c r="W59" s="14"/>
      <c r="X59" s="14"/>
      <c r="Y59" s="14"/>
      <c r="Z59" s="14"/>
      <c r="AA59" s="14"/>
      <c r="AB59" s="165"/>
    </row>
    <row r="60" spans="1:28" x14ac:dyDescent="0.35">
      <c r="A60" s="187">
        <v>135.1</v>
      </c>
      <c r="B60" s="185" t="s">
        <v>176</v>
      </c>
      <c r="C60" s="189">
        <f t="shared" si="1"/>
        <v>1991</v>
      </c>
      <c r="D60" s="191">
        <f t="shared" si="2"/>
        <v>1992</v>
      </c>
      <c r="U60" s="12" t="s">
        <v>561</v>
      </c>
      <c r="V60" s="205">
        <v>1.4262999999999999</v>
      </c>
      <c r="W60" s="14"/>
      <c r="X60" s="14"/>
      <c r="Y60" s="14"/>
      <c r="Z60" s="14"/>
      <c r="AA60" s="14"/>
      <c r="AB60" s="165"/>
    </row>
    <row r="61" spans="1:28" x14ac:dyDescent="0.35">
      <c r="A61" s="187">
        <v>135.6</v>
      </c>
      <c r="B61" s="185" t="s">
        <v>178</v>
      </c>
      <c r="C61" s="189">
        <f t="shared" si="1"/>
        <v>1991</v>
      </c>
      <c r="D61" s="191">
        <f t="shared" si="2"/>
        <v>1992</v>
      </c>
      <c r="U61" s="12" t="s">
        <v>562</v>
      </c>
      <c r="V61" s="205">
        <v>1.4220999999999999</v>
      </c>
      <c r="W61" s="14"/>
      <c r="X61" s="14"/>
      <c r="Y61" s="14"/>
      <c r="Z61" s="14"/>
      <c r="AA61" s="14"/>
      <c r="AB61" s="165"/>
    </row>
    <row r="62" spans="1:28" x14ac:dyDescent="0.35">
      <c r="A62" s="187">
        <v>135.69999999999999</v>
      </c>
      <c r="B62" s="185" t="s">
        <v>181</v>
      </c>
      <c r="C62" s="189">
        <f t="shared" si="1"/>
        <v>1991</v>
      </c>
      <c r="D62" s="191">
        <f t="shared" si="2"/>
        <v>1992</v>
      </c>
      <c r="U62" s="12" t="s">
        <v>563</v>
      </c>
      <c r="V62" s="205">
        <v>4.4341999999999997</v>
      </c>
      <c r="W62" s="14"/>
      <c r="X62" s="14"/>
      <c r="Y62" s="14"/>
      <c r="Z62" s="14"/>
      <c r="AA62" s="14"/>
      <c r="AB62" s="165"/>
    </row>
    <row r="63" spans="1:28" x14ac:dyDescent="0.35">
      <c r="A63" s="187">
        <v>135.6</v>
      </c>
      <c r="B63" s="185" t="s">
        <v>152</v>
      </c>
      <c r="C63" s="189">
        <f t="shared" si="1"/>
        <v>1992</v>
      </c>
      <c r="D63" s="191">
        <f t="shared" si="2"/>
        <v>1992</v>
      </c>
      <c r="U63" s="12" t="s">
        <v>564</v>
      </c>
      <c r="V63" s="205">
        <v>1.4676</v>
      </c>
      <c r="W63" s="14"/>
      <c r="X63" s="14"/>
      <c r="Y63" s="14"/>
      <c r="Z63" s="14"/>
      <c r="AA63" s="14"/>
      <c r="AB63" s="165"/>
    </row>
    <row r="64" spans="1:28" x14ac:dyDescent="0.35">
      <c r="A64" s="187">
        <v>136.30000000000001</v>
      </c>
      <c r="B64" s="185" t="s">
        <v>154</v>
      </c>
      <c r="C64" s="189">
        <f t="shared" si="1"/>
        <v>1992</v>
      </c>
      <c r="D64" s="191">
        <f t="shared" si="2"/>
        <v>1992</v>
      </c>
      <c r="U64" s="12" t="s">
        <v>565</v>
      </c>
      <c r="V64" s="205">
        <v>1.4875</v>
      </c>
      <c r="W64" s="14"/>
      <c r="X64" s="14"/>
      <c r="Y64" s="14"/>
      <c r="Z64" s="14"/>
      <c r="AA64" s="14"/>
      <c r="AB64" s="165"/>
    </row>
    <row r="65" spans="1:28" x14ac:dyDescent="0.35">
      <c r="A65" s="187">
        <v>136.69999999999999</v>
      </c>
      <c r="B65" s="185" t="s">
        <v>157</v>
      </c>
      <c r="C65" s="189">
        <f t="shared" si="1"/>
        <v>1992</v>
      </c>
      <c r="D65" s="191">
        <f t="shared" si="2"/>
        <v>1992</v>
      </c>
      <c r="U65" s="12" t="s">
        <v>566</v>
      </c>
      <c r="V65" s="205">
        <v>1.4116</v>
      </c>
      <c r="W65" s="14"/>
      <c r="X65" s="14"/>
      <c r="Y65" s="14"/>
      <c r="Z65" s="14"/>
      <c r="AA65" s="14"/>
      <c r="AB65" s="165"/>
    </row>
    <row r="66" spans="1:28" x14ac:dyDescent="0.35">
      <c r="A66" s="187">
        <v>138.80000000000001</v>
      </c>
      <c r="B66" s="185" t="s">
        <v>159</v>
      </c>
      <c r="C66" s="189">
        <f t="shared" si="1"/>
        <v>1992</v>
      </c>
      <c r="D66" s="191">
        <f t="shared" si="2"/>
        <v>1993</v>
      </c>
      <c r="U66" s="12" t="s">
        <v>567</v>
      </c>
      <c r="V66" s="205">
        <v>1.4325000000000001</v>
      </c>
      <c r="W66" s="14"/>
      <c r="X66" s="14"/>
      <c r="Y66" s="14"/>
      <c r="Z66" s="14"/>
      <c r="AA66" s="14"/>
      <c r="AB66" s="165"/>
    </row>
    <row r="67" spans="1:28" x14ac:dyDescent="0.35">
      <c r="A67" s="187">
        <v>139.30000000000001</v>
      </c>
      <c r="B67" s="185" t="s">
        <v>162</v>
      </c>
      <c r="C67" s="189">
        <f t="shared" si="1"/>
        <v>1992</v>
      </c>
      <c r="D67" s="191">
        <f t="shared" si="2"/>
        <v>1993</v>
      </c>
      <c r="U67" s="12" t="s">
        <v>568</v>
      </c>
      <c r="V67" s="205">
        <v>1.4037999999999999</v>
      </c>
      <c r="W67" s="14"/>
      <c r="X67" s="14"/>
      <c r="Y67" s="14"/>
      <c r="Z67" s="14"/>
      <c r="AA67" s="14"/>
      <c r="AB67" s="165"/>
    </row>
    <row r="68" spans="1:28" x14ac:dyDescent="0.35">
      <c r="A68" s="187">
        <v>139.30000000000001</v>
      </c>
      <c r="B68" s="185" t="s">
        <v>165</v>
      </c>
      <c r="C68" s="189">
        <f t="shared" si="1"/>
        <v>1992</v>
      </c>
      <c r="D68" s="191">
        <f t="shared" si="2"/>
        <v>1993</v>
      </c>
      <c r="U68" s="12" t="s">
        <v>569</v>
      </c>
      <c r="V68" s="205">
        <v>1.4177</v>
      </c>
      <c r="W68" s="14"/>
      <c r="X68" s="14"/>
      <c r="Y68" s="14"/>
      <c r="Z68" s="14"/>
      <c r="AA68" s="14"/>
      <c r="AB68" s="165"/>
    </row>
    <row r="69" spans="1:28" x14ac:dyDescent="0.35">
      <c r="A69" s="187">
        <v>138.80000000000001</v>
      </c>
      <c r="B69" s="185" t="s">
        <v>167</v>
      </c>
      <c r="C69" s="189">
        <f t="shared" ref="C69:C132" si="5">IF(B68="December",C68+1,C68)</f>
        <v>1992</v>
      </c>
      <c r="D69" s="191">
        <f t="shared" ref="D69:D132" si="6">IF(B68="March",D68+1,D68)</f>
        <v>1993</v>
      </c>
      <c r="U69" s="12" t="s">
        <v>570</v>
      </c>
      <c r="V69" s="205">
        <v>1.49</v>
      </c>
      <c r="W69" s="14"/>
      <c r="X69" s="14"/>
      <c r="Y69" s="14"/>
      <c r="Z69" s="14"/>
      <c r="AA69" s="14"/>
      <c r="AB69" s="165"/>
    </row>
    <row r="70" spans="1:28" x14ac:dyDescent="0.35">
      <c r="A70" s="187">
        <v>138.9</v>
      </c>
      <c r="B70" s="185" t="s">
        <v>171</v>
      </c>
      <c r="C70" s="189">
        <f t="shared" si="5"/>
        <v>1992</v>
      </c>
      <c r="D70" s="191">
        <f t="shared" si="6"/>
        <v>1993</v>
      </c>
      <c r="U70" s="12" t="s">
        <v>571</v>
      </c>
      <c r="V70" s="205">
        <v>1.5429999999999999</v>
      </c>
      <c r="W70" s="14"/>
      <c r="X70" s="14"/>
      <c r="Y70" s="14"/>
      <c r="Z70" s="14"/>
      <c r="AA70" s="14"/>
      <c r="AB70" s="165"/>
    </row>
    <row r="71" spans="1:28" x14ac:dyDescent="0.35">
      <c r="A71" s="187">
        <v>139.4</v>
      </c>
      <c r="B71" s="185" t="s">
        <v>173</v>
      </c>
      <c r="C71" s="189">
        <f t="shared" si="5"/>
        <v>1992</v>
      </c>
      <c r="D71" s="191">
        <f t="shared" si="6"/>
        <v>1993</v>
      </c>
      <c r="U71" s="12" t="s">
        <v>572</v>
      </c>
      <c r="V71" s="205">
        <v>1.4643999999999999</v>
      </c>
      <c r="W71" s="14"/>
      <c r="X71" s="14"/>
      <c r="Y71" s="14"/>
      <c r="Z71" s="14"/>
      <c r="AA71" s="14"/>
      <c r="AB71" s="165"/>
    </row>
    <row r="72" spans="1:28" x14ac:dyDescent="0.35">
      <c r="A72" s="187">
        <v>139.9</v>
      </c>
      <c r="B72" s="185" t="s">
        <v>176</v>
      </c>
      <c r="C72" s="189">
        <f t="shared" si="5"/>
        <v>1992</v>
      </c>
      <c r="D72" s="191">
        <f t="shared" si="6"/>
        <v>1993</v>
      </c>
      <c r="U72" s="12" t="s">
        <v>573</v>
      </c>
      <c r="V72" s="205">
        <v>1.5335000000000001</v>
      </c>
      <c r="W72" s="14"/>
      <c r="X72" s="14"/>
      <c r="Y72" s="14"/>
      <c r="Z72" s="14"/>
      <c r="AA72" s="14"/>
      <c r="AB72" s="165"/>
    </row>
    <row r="73" spans="1:28" x14ac:dyDescent="0.35">
      <c r="A73" s="187">
        <v>139.69999999999999</v>
      </c>
      <c r="B73" s="185" t="s">
        <v>178</v>
      </c>
      <c r="C73" s="189">
        <f t="shared" si="5"/>
        <v>1992</v>
      </c>
      <c r="D73" s="191">
        <f t="shared" si="6"/>
        <v>1993</v>
      </c>
      <c r="U73" s="12" t="s">
        <v>574</v>
      </c>
      <c r="V73" s="205">
        <v>1.587</v>
      </c>
      <c r="W73" s="14"/>
      <c r="X73" s="14"/>
      <c r="Y73" s="14"/>
      <c r="Z73" s="14"/>
      <c r="AA73" s="14"/>
      <c r="AB73" s="165"/>
    </row>
    <row r="74" spans="1:28" x14ac:dyDescent="0.35">
      <c r="A74" s="187">
        <v>139.19999999999999</v>
      </c>
      <c r="B74" s="185" t="s">
        <v>181</v>
      </c>
      <c r="C74" s="189">
        <f t="shared" si="5"/>
        <v>1992</v>
      </c>
      <c r="D74" s="191">
        <f t="shared" si="6"/>
        <v>1993</v>
      </c>
      <c r="U74" s="12" t="s">
        <v>575</v>
      </c>
      <c r="V74" s="205">
        <v>1.6274999999999999</v>
      </c>
      <c r="W74" s="14"/>
      <c r="X74" s="14"/>
      <c r="Y74" s="14"/>
      <c r="Z74" s="14"/>
      <c r="AA74" s="14"/>
      <c r="AB74" s="165"/>
    </row>
    <row r="75" spans="1:28" x14ac:dyDescent="0.35">
      <c r="A75" s="187">
        <v>137.9</v>
      </c>
      <c r="B75" s="185" t="s">
        <v>152</v>
      </c>
      <c r="C75" s="189">
        <f t="shared" si="5"/>
        <v>1993</v>
      </c>
      <c r="D75" s="191">
        <f t="shared" si="6"/>
        <v>1993</v>
      </c>
      <c r="U75" s="12" t="s">
        <v>576</v>
      </c>
      <c r="V75" s="205">
        <v>1.7478</v>
      </c>
      <c r="W75" s="14"/>
      <c r="X75" s="14"/>
      <c r="Y75" s="14"/>
      <c r="Z75" s="14"/>
      <c r="AA75" s="14"/>
      <c r="AB75" s="165"/>
    </row>
    <row r="76" spans="1:28" x14ac:dyDescent="0.35">
      <c r="A76" s="187">
        <v>138.80000000000001</v>
      </c>
      <c r="B76" s="185" t="s">
        <v>154</v>
      </c>
      <c r="C76" s="189">
        <f t="shared" si="5"/>
        <v>1993</v>
      </c>
      <c r="D76" s="191">
        <f t="shared" si="6"/>
        <v>1993</v>
      </c>
      <c r="U76" s="12" t="s">
        <v>577</v>
      </c>
      <c r="V76" s="205">
        <v>1.8572</v>
      </c>
      <c r="W76" s="14"/>
      <c r="X76" s="14"/>
      <c r="Y76" s="14"/>
      <c r="Z76" s="14"/>
      <c r="AA76" s="14"/>
      <c r="AB76" s="165"/>
    </row>
    <row r="77" spans="1:28" x14ac:dyDescent="0.35">
      <c r="A77" s="187">
        <v>139.30000000000001</v>
      </c>
      <c r="B77" s="185" t="s">
        <v>157</v>
      </c>
      <c r="C77" s="189">
        <f t="shared" si="5"/>
        <v>1993</v>
      </c>
      <c r="D77" s="191">
        <f t="shared" si="6"/>
        <v>1993</v>
      </c>
      <c r="U77" s="12" t="s">
        <v>578</v>
      </c>
      <c r="V77" s="205">
        <v>1.8438000000000001</v>
      </c>
      <c r="W77" s="14"/>
      <c r="X77" s="14"/>
      <c r="Y77" s="14"/>
      <c r="Z77" s="14"/>
      <c r="AA77" s="14"/>
      <c r="AB77" s="165"/>
    </row>
    <row r="78" spans="1:28" x14ac:dyDescent="0.35">
      <c r="A78" s="187">
        <v>140.6</v>
      </c>
      <c r="B78" s="185" t="s">
        <v>159</v>
      </c>
      <c r="C78" s="189">
        <f t="shared" si="5"/>
        <v>1993</v>
      </c>
      <c r="D78" s="191">
        <f t="shared" si="6"/>
        <v>1994</v>
      </c>
      <c r="U78" s="12" t="s">
        <v>579</v>
      </c>
      <c r="V78" s="205">
        <v>1.7452000000000001</v>
      </c>
      <c r="W78" s="14"/>
      <c r="X78" s="14"/>
      <c r="Y78" s="14"/>
      <c r="Z78" s="14"/>
      <c r="AA78" s="14"/>
      <c r="AB78" s="165"/>
    </row>
    <row r="79" spans="1:28" x14ac:dyDescent="0.35">
      <c r="A79" s="187">
        <v>141.1</v>
      </c>
      <c r="B79" s="185" t="s">
        <v>162</v>
      </c>
      <c r="C79" s="189">
        <f t="shared" si="5"/>
        <v>1993</v>
      </c>
      <c r="D79" s="191">
        <f t="shared" si="6"/>
        <v>1994</v>
      </c>
      <c r="U79" s="12" t="s">
        <v>580</v>
      </c>
      <c r="V79" s="205">
        <v>1.6963999999999999</v>
      </c>
      <c r="W79" s="14"/>
      <c r="X79" s="14"/>
      <c r="Y79" s="14"/>
      <c r="Z79" s="14"/>
      <c r="AA79" s="14"/>
      <c r="AB79" s="165"/>
    </row>
    <row r="80" spans="1:28" x14ac:dyDescent="0.35">
      <c r="A80" s="187">
        <v>141</v>
      </c>
      <c r="B80" s="185" t="s">
        <v>165</v>
      </c>
      <c r="C80" s="189">
        <f t="shared" si="5"/>
        <v>1993</v>
      </c>
      <c r="D80" s="191">
        <f t="shared" si="6"/>
        <v>1994</v>
      </c>
      <c r="U80" s="12" t="s">
        <v>581</v>
      </c>
      <c r="V80" s="205">
        <v>1.7553000000000001</v>
      </c>
      <c r="W80" s="14"/>
      <c r="X80" s="14"/>
      <c r="Y80" s="14"/>
      <c r="Z80" s="14"/>
      <c r="AA80" s="14"/>
      <c r="AB80" s="165"/>
    </row>
    <row r="81" spans="1:28" x14ac:dyDescent="0.35">
      <c r="A81" s="187">
        <v>140.69999999999999</v>
      </c>
      <c r="B81" s="185" t="s">
        <v>167</v>
      </c>
      <c r="C81" s="189">
        <f t="shared" si="5"/>
        <v>1993</v>
      </c>
      <c r="D81" s="191">
        <f t="shared" si="6"/>
        <v>1994</v>
      </c>
      <c r="U81" s="12" t="s">
        <v>582</v>
      </c>
      <c r="V81" s="205">
        <v>1.7525999999999999</v>
      </c>
      <c r="W81" s="14"/>
      <c r="X81" s="14"/>
      <c r="Y81" s="14"/>
      <c r="Z81" s="14"/>
      <c r="AA81" s="14"/>
      <c r="AB81" s="165"/>
    </row>
    <row r="82" spans="1:28" x14ac:dyDescent="0.35">
      <c r="A82" s="187">
        <v>141.30000000000001</v>
      </c>
      <c r="B82" s="185" t="s">
        <v>171</v>
      </c>
      <c r="C82" s="189">
        <f t="shared" si="5"/>
        <v>1993</v>
      </c>
      <c r="D82" s="191">
        <f t="shared" si="6"/>
        <v>1994</v>
      </c>
      <c r="U82" s="12" t="s">
        <v>583</v>
      </c>
      <c r="V82" s="205">
        <v>1.8009999999999999</v>
      </c>
      <c r="W82" s="14"/>
      <c r="X82" s="14"/>
      <c r="Y82" s="14"/>
      <c r="Z82" s="14"/>
      <c r="AA82" s="14"/>
      <c r="AB82" s="165"/>
    </row>
    <row r="83" spans="1:28" x14ac:dyDescent="0.35">
      <c r="A83" s="187">
        <v>141.9</v>
      </c>
      <c r="B83" s="185" t="s">
        <v>173</v>
      </c>
      <c r="C83" s="189">
        <f t="shared" si="5"/>
        <v>1993</v>
      </c>
      <c r="D83" s="191">
        <f t="shared" si="6"/>
        <v>1994</v>
      </c>
      <c r="U83" s="12" t="s">
        <v>584</v>
      </c>
      <c r="V83" s="205">
        <v>1.7594000000000001</v>
      </c>
      <c r="W83" s="14"/>
      <c r="X83" s="14"/>
      <c r="Y83" s="14"/>
      <c r="Z83" s="14"/>
      <c r="AA83" s="14"/>
      <c r="AB83" s="165"/>
    </row>
    <row r="84" spans="1:28" x14ac:dyDescent="0.35">
      <c r="A84" s="187">
        <v>141.80000000000001</v>
      </c>
      <c r="B84" s="185" t="s">
        <v>176</v>
      </c>
      <c r="C84" s="189">
        <f t="shared" si="5"/>
        <v>1993</v>
      </c>
      <c r="D84" s="191">
        <f t="shared" si="6"/>
        <v>1994</v>
      </c>
      <c r="U84" s="12" t="s">
        <v>585</v>
      </c>
      <c r="V84" s="205">
        <v>1.5947</v>
      </c>
      <c r="W84" s="14"/>
      <c r="X84" s="14"/>
      <c r="Y84" s="14"/>
      <c r="Z84" s="14"/>
      <c r="AA84" s="14"/>
      <c r="AB84" s="165"/>
    </row>
    <row r="85" spans="1:28" x14ac:dyDescent="0.35">
      <c r="A85" s="187">
        <v>141.6</v>
      </c>
      <c r="B85" s="185" t="s">
        <v>178</v>
      </c>
      <c r="C85" s="189">
        <f t="shared" si="5"/>
        <v>1993</v>
      </c>
      <c r="D85" s="191">
        <f t="shared" si="6"/>
        <v>1994</v>
      </c>
      <c r="U85" s="12" t="s">
        <v>586</v>
      </c>
      <c r="V85" s="205">
        <v>1.7054</v>
      </c>
      <c r="W85" s="14"/>
      <c r="X85" s="14"/>
      <c r="Y85" s="14"/>
      <c r="Z85" s="14"/>
      <c r="AA85" s="14"/>
      <c r="AB85" s="165"/>
    </row>
    <row r="86" spans="1:28" x14ac:dyDescent="0.35">
      <c r="A86" s="187">
        <v>141.9</v>
      </c>
      <c r="B86" s="185" t="s">
        <v>181</v>
      </c>
      <c r="C86" s="189">
        <f t="shared" si="5"/>
        <v>1993</v>
      </c>
      <c r="D86" s="191">
        <f t="shared" si="6"/>
        <v>1994</v>
      </c>
      <c r="U86" s="12" t="s">
        <v>587</v>
      </c>
      <c r="V86" s="205">
        <v>1.7654000000000001</v>
      </c>
      <c r="W86" s="14"/>
      <c r="X86" s="14"/>
      <c r="Y86" s="14"/>
      <c r="Z86" s="14"/>
      <c r="AA86" s="14"/>
      <c r="AB86" s="165"/>
    </row>
    <row r="87" spans="1:28" x14ac:dyDescent="0.35">
      <c r="A87" s="187">
        <v>141.30000000000001</v>
      </c>
      <c r="B87" s="185" t="s">
        <v>152</v>
      </c>
      <c r="C87" s="189">
        <f t="shared" si="5"/>
        <v>1994</v>
      </c>
      <c r="D87" s="191">
        <f t="shared" si="6"/>
        <v>1994</v>
      </c>
      <c r="U87" s="12" t="s">
        <v>588</v>
      </c>
      <c r="V87" s="205">
        <v>1.7558</v>
      </c>
      <c r="W87" s="14"/>
      <c r="X87" s="14"/>
      <c r="Y87" s="14"/>
      <c r="Z87" s="14"/>
      <c r="AA87" s="14"/>
      <c r="AB87" s="165"/>
    </row>
    <row r="88" spans="1:28" x14ac:dyDescent="0.35">
      <c r="A88" s="187">
        <v>142.1</v>
      </c>
      <c r="B88" s="185" t="s">
        <v>154</v>
      </c>
      <c r="C88" s="189">
        <f t="shared" si="5"/>
        <v>1994</v>
      </c>
      <c r="D88" s="191">
        <f t="shared" si="6"/>
        <v>1994</v>
      </c>
      <c r="U88" s="12" t="s">
        <v>589</v>
      </c>
      <c r="V88" s="205">
        <v>1.7363</v>
      </c>
      <c r="W88" s="14"/>
      <c r="X88" s="14"/>
      <c r="Y88" s="14"/>
      <c r="Z88" s="14"/>
      <c r="AA88" s="14"/>
      <c r="AB88" s="165"/>
    </row>
    <row r="89" spans="1:28" x14ac:dyDescent="0.35">
      <c r="A89" s="187">
        <v>142.5</v>
      </c>
      <c r="B89" s="185" t="s">
        <v>157</v>
      </c>
      <c r="C89" s="189">
        <f t="shared" si="5"/>
        <v>1994</v>
      </c>
      <c r="D89" s="191">
        <f t="shared" si="6"/>
        <v>1994</v>
      </c>
      <c r="U89" s="12" t="s">
        <v>590</v>
      </c>
      <c r="V89" s="205">
        <v>1.6953</v>
      </c>
      <c r="W89" s="14"/>
      <c r="X89" s="14"/>
      <c r="Y89" s="14"/>
      <c r="Z89" s="14"/>
      <c r="AA89" s="14"/>
      <c r="AB89" s="165"/>
    </row>
    <row r="90" spans="1:28" x14ac:dyDescent="0.35">
      <c r="A90" s="187">
        <v>144.19999999999999</v>
      </c>
      <c r="B90" s="185" t="s">
        <v>159</v>
      </c>
      <c r="C90" s="189">
        <f t="shared" si="5"/>
        <v>1994</v>
      </c>
      <c r="D90" s="191">
        <f t="shared" si="6"/>
        <v>1995</v>
      </c>
      <c r="U90" s="12" t="s">
        <v>591</v>
      </c>
      <c r="V90" s="205">
        <v>1.6941999999999999</v>
      </c>
      <c r="W90" s="14"/>
      <c r="X90" s="14"/>
      <c r="Y90" s="14"/>
      <c r="Z90" s="14"/>
      <c r="AA90" s="14"/>
      <c r="AB90" s="165"/>
    </row>
    <row r="91" spans="1:28" x14ac:dyDescent="0.35">
      <c r="A91" s="187">
        <v>144.69999999999999</v>
      </c>
      <c r="B91" s="185" t="s">
        <v>162</v>
      </c>
      <c r="C91" s="189">
        <f t="shared" si="5"/>
        <v>1994</v>
      </c>
      <c r="D91" s="191">
        <f t="shared" si="6"/>
        <v>1995</v>
      </c>
      <c r="U91" s="12" t="s">
        <v>592</v>
      </c>
      <c r="V91" s="205">
        <v>1.6619999999999999</v>
      </c>
      <c r="W91" s="14"/>
      <c r="X91" s="14"/>
      <c r="Y91" s="14"/>
      <c r="Z91" s="14"/>
      <c r="AA91" s="14"/>
      <c r="AB91" s="165"/>
    </row>
    <row r="92" spans="1:28" x14ac:dyDescent="0.35">
      <c r="A92" s="187">
        <v>144.69999999999999</v>
      </c>
      <c r="B92" s="185" t="s">
        <v>165</v>
      </c>
      <c r="C92" s="189">
        <f t="shared" si="5"/>
        <v>1994</v>
      </c>
      <c r="D92" s="191">
        <f t="shared" si="6"/>
        <v>1995</v>
      </c>
      <c r="U92" s="12" t="s">
        <v>593</v>
      </c>
      <c r="V92" s="205">
        <v>1.6214</v>
      </c>
      <c r="W92" s="14"/>
      <c r="X92" s="14"/>
      <c r="Y92" s="14"/>
      <c r="Z92" s="14"/>
      <c r="AA92" s="14"/>
      <c r="AB92" s="165"/>
    </row>
    <row r="93" spans="1:28" x14ac:dyDescent="0.35">
      <c r="A93" s="187">
        <v>144</v>
      </c>
      <c r="B93" s="185" t="s">
        <v>167</v>
      </c>
      <c r="C93" s="189">
        <f t="shared" si="5"/>
        <v>1994</v>
      </c>
      <c r="D93" s="191">
        <f t="shared" si="6"/>
        <v>1995</v>
      </c>
      <c r="U93" s="12" t="s">
        <v>594</v>
      </c>
      <c r="V93" s="205">
        <v>1.7425999999999999</v>
      </c>
      <c r="W93" s="14"/>
      <c r="X93" s="14"/>
      <c r="Y93" s="14"/>
      <c r="Z93" s="14"/>
      <c r="AA93" s="14"/>
      <c r="AB93" s="165"/>
    </row>
    <row r="94" spans="1:28" x14ac:dyDescent="0.35">
      <c r="A94" s="187">
        <v>144.69999999999999</v>
      </c>
      <c r="B94" s="185" t="s">
        <v>171</v>
      </c>
      <c r="C94" s="189">
        <f t="shared" si="5"/>
        <v>1994</v>
      </c>
      <c r="D94" s="191">
        <f t="shared" si="6"/>
        <v>1995</v>
      </c>
      <c r="U94" s="12" t="s">
        <v>595</v>
      </c>
      <c r="V94" s="205">
        <v>1.7779</v>
      </c>
      <c r="W94" s="14"/>
      <c r="X94" s="14"/>
      <c r="Y94" s="14"/>
      <c r="Z94" s="14"/>
      <c r="AA94" s="14"/>
      <c r="AB94" s="165"/>
    </row>
    <row r="95" spans="1:28" x14ac:dyDescent="0.35">
      <c r="A95" s="187">
        <v>145</v>
      </c>
      <c r="B95" s="185" t="s">
        <v>173</v>
      </c>
      <c r="C95" s="189">
        <f t="shared" si="5"/>
        <v>1994</v>
      </c>
      <c r="D95" s="191">
        <f t="shared" si="6"/>
        <v>1995</v>
      </c>
      <c r="U95" s="12" t="s">
        <v>596</v>
      </c>
      <c r="V95" s="205">
        <v>1.6968000000000001</v>
      </c>
      <c r="W95" s="14"/>
      <c r="X95" s="14"/>
      <c r="Y95" s="14"/>
      <c r="Z95" s="14"/>
      <c r="AA95" s="14"/>
      <c r="AB95" s="165"/>
    </row>
    <row r="96" spans="1:28" x14ac:dyDescent="0.35">
      <c r="A96" s="187">
        <v>145.19999999999999</v>
      </c>
      <c r="B96" s="185" t="s">
        <v>176</v>
      </c>
      <c r="C96" s="189">
        <f t="shared" si="5"/>
        <v>1994</v>
      </c>
      <c r="D96" s="191">
        <f t="shared" si="6"/>
        <v>1995</v>
      </c>
      <c r="U96" s="12" t="s">
        <v>597</v>
      </c>
      <c r="V96" s="205">
        <v>1.5545</v>
      </c>
      <c r="W96" s="14"/>
      <c r="X96" s="14"/>
      <c r="Y96" s="14"/>
      <c r="Z96" s="14"/>
      <c r="AA96" s="14"/>
      <c r="AB96" s="165"/>
    </row>
    <row r="97" spans="1:28" x14ac:dyDescent="0.35">
      <c r="A97" s="187">
        <v>145.30000000000001</v>
      </c>
      <c r="B97" s="185" t="s">
        <v>178</v>
      </c>
      <c r="C97" s="189">
        <f t="shared" si="5"/>
        <v>1994</v>
      </c>
      <c r="D97" s="191">
        <f t="shared" si="6"/>
        <v>1995</v>
      </c>
      <c r="U97" s="12" t="s">
        <v>598</v>
      </c>
      <c r="V97" s="205">
        <v>1.571</v>
      </c>
      <c r="W97" s="14"/>
      <c r="X97" s="14"/>
      <c r="Y97" s="14"/>
      <c r="Z97" s="14"/>
      <c r="AA97" s="14"/>
      <c r="AB97" s="165"/>
    </row>
    <row r="98" spans="1:28" x14ac:dyDescent="0.35">
      <c r="A98" s="187">
        <v>146</v>
      </c>
      <c r="B98" s="185" t="s">
        <v>181</v>
      </c>
      <c r="C98" s="189">
        <f t="shared" si="5"/>
        <v>1994</v>
      </c>
      <c r="D98" s="191">
        <f t="shared" si="6"/>
        <v>1995</v>
      </c>
      <c r="U98" s="12" t="s">
        <v>599</v>
      </c>
      <c r="V98" s="205">
        <v>1.4555</v>
      </c>
      <c r="W98" s="14"/>
      <c r="X98" s="14"/>
      <c r="Y98" s="14"/>
      <c r="Z98" s="14"/>
      <c r="AA98" s="14"/>
      <c r="AB98" s="165"/>
    </row>
    <row r="99" spans="1:28" x14ac:dyDescent="0.35">
      <c r="A99" s="187">
        <v>146</v>
      </c>
      <c r="B99" s="185" t="s">
        <v>152</v>
      </c>
      <c r="C99" s="189">
        <f t="shared" si="5"/>
        <v>1995</v>
      </c>
      <c r="D99" s="191">
        <f t="shared" si="6"/>
        <v>1995</v>
      </c>
      <c r="U99" s="12" t="s">
        <v>600</v>
      </c>
      <c r="V99" s="205">
        <v>1.3522000000000001</v>
      </c>
      <c r="W99" s="14"/>
      <c r="X99" s="14"/>
      <c r="Y99" s="14"/>
      <c r="Z99" s="14"/>
      <c r="AA99" s="14"/>
      <c r="AB99" s="165"/>
    </row>
    <row r="100" spans="1:28" x14ac:dyDescent="0.35">
      <c r="A100" s="187">
        <v>146.9</v>
      </c>
      <c r="B100" s="185" t="s">
        <v>154</v>
      </c>
      <c r="C100" s="189">
        <f t="shared" si="5"/>
        <v>1995</v>
      </c>
      <c r="D100" s="191">
        <f t="shared" si="6"/>
        <v>1995</v>
      </c>
      <c r="U100" s="12" t="s">
        <v>601</v>
      </c>
      <c r="V100" s="205">
        <v>1.3517999999999999</v>
      </c>
      <c r="W100" s="14"/>
      <c r="X100" s="14"/>
      <c r="Y100" s="14"/>
      <c r="Z100" s="14"/>
      <c r="AA100" s="14"/>
      <c r="AB100" s="165"/>
    </row>
    <row r="101" spans="1:28" x14ac:dyDescent="0.35">
      <c r="A101" s="187">
        <v>147.5</v>
      </c>
      <c r="B101" s="185" t="s">
        <v>157</v>
      </c>
      <c r="C101" s="189">
        <f t="shared" si="5"/>
        <v>1995</v>
      </c>
      <c r="D101" s="191">
        <f t="shared" si="6"/>
        <v>1995</v>
      </c>
      <c r="U101" s="12" t="s">
        <v>602</v>
      </c>
      <c r="V101" s="205">
        <v>1.415</v>
      </c>
      <c r="W101" s="14"/>
      <c r="X101" s="14"/>
      <c r="Y101" s="14"/>
      <c r="Z101" s="14"/>
      <c r="AA101" s="14"/>
      <c r="AB101" s="165"/>
    </row>
    <row r="102" spans="1:28" x14ac:dyDescent="0.35">
      <c r="A102" s="187">
        <v>149</v>
      </c>
      <c r="B102" s="185" t="s">
        <v>159</v>
      </c>
      <c r="C102" s="189">
        <f t="shared" si="5"/>
        <v>1995</v>
      </c>
      <c r="D102" s="191">
        <f t="shared" si="6"/>
        <v>1996</v>
      </c>
      <c r="U102" s="12" t="s">
        <v>603</v>
      </c>
      <c r="V102" s="205">
        <v>1.4180999999999999</v>
      </c>
      <c r="W102" s="14"/>
      <c r="X102" s="14"/>
      <c r="Y102" s="14"/>
      <c r="Z102" s="14"/>
      <c r="AA102" s="14"/>
      <c r="AB102" s="165"/>
    </row>
    <row r="103" spans="1:28" x14ac:dyDescent="0.35">
      <c r="A103" s="187">
        <v>149.6</v>
      </c>
      <c r="B103" s="185" t="s">
        <v>162</v>
      </c>
      <c r="C103" s="189">
        <f t="shared" si="5"/>
        <v>1995</v>
      </c>
      <c r="D103" s="191">
        <f t="shared" si="6"/>
        <v>1996</v>
      </c>
      <c r="U103" s="12" t="s">
        <v>604</v>
      </c>
      <c r="V103" s="205">
        <v>1.431</v>
      </c>
      <c r="W103" s="14"/>
      <c r="X103" s="14"/>
      <c r="Y103" s="14"/>
      <c r="Z103" s="14"/>
      <c r="AA103" s="14"/>
      <c r="AB103" s="165"/>
    </row>
    <row r="104" spans="1:28" x14ac:dyDescent="0.35">
      <c r="A104" s="187">
        <v>149.80000000000001</v>
      </c>
      <c r="B104" s="185" t="s">
        <v>165</v>
      </c>
      <c r="C104" s="189">
        <f t="shared" si="5"/>
        <v>1995</v>
      </c>
      <c r="D104" s="191">
        <f t="shared" si="6"/>
        <v>1996</v>
      </c>
      <c r="U104" s="12" t="s">
        <v>605</v>
      </c>
      <c r="V104" s="205">
        <v>1.4455</v>
      </c>
      <c r="W104" s="14"/>
      <c r="X104" s="14"/>
      <c r="Y104" s="14"/>
      <c r="Z104" s="14"/>
      <c r="AA104" s="14"/>
      <c r="AB104" s="165"/>
    </row>
    <row r="105" spans="1:28" x14ac:dyDescent="0.35">
      <c r="A105" s="187">
        <v>149.1</v>
      </c>
      <c r="B105" s="185" t="s">
        <v>167</v>
      </c>
      <c r="C105" s="189">
        <f t="shared" si="5"/>
        <v>1995</v>
      </c>
      <c r="D105" s="191">
        <f t="shared" si="6"/>
        <v>1996</v>
      </c>
      <c r="U105" s="12" t="s">
        <v>606</v>
      </c>
      <c r="V105" s="205">
        <v>1.5067999999999999</v>
      </c>
      <c r="W105" s="14"/>
      <c r="X105" s="14"/>
      <c r="Y105" s="14"/>
      <c r="Z105" s="14"/>
      <c r="AA105" s="14"/>
      <c r="AB105" s="165"/>
    </row>
    <row r="106" spans="1:28" x14ac:dyDescent="0.35">
      <c r="A106" s="187">
        <v>149.9</v>
      </c>
      <c r="B106" s="185" t="s">
        <v>171</v>
      </c>
      <c r="C106" s="189">
        <f t="shared" si="5"/>
        <v>1995</v>
      </c>
      <c r="D106" s="191">
        <f t="shared" si="6"/>
        <v>1996</v>
      </c>
      <c r="U106" s="12" t="s">
        <v>607</v>
      </c>
      <c r="V106" s="205">
        <v>1.5184</v>
      </c>
      <c r="W106" s="14"/>
      <c r="X106" s="14"/>
      <c r="Y106" s="14"/>
      <c r="Z106" s="14"/>
      <c r="AA106" s="14"/>
      <c r="AB106" s="165"/>
    </row>
    <row r="107" spans="1:28" x14ac:dyDescent="0.35">
      <c r="A107" s="187">
        <v>150.6</v>
      </c>
      <c r="B107" s="185" t="s">
        <v>173</v>
      </c>
      <c r="C107" s="189">
        <f t="shared" si="5"/>
        <v>1995</v>
      </c>
      <c r="D107" s="191">
        <f t="shared" si="6"/>
        <v>1996</v>
      </c>
      <c r="U107" s="12" t="s">
        <v>608</v>
      </c>
      <c r="V107" s="205">
        <v>1.5254000000000001</v>
      </c>
      <c r="W107" s="14"/>
      <c r="X107" s="14"/>
      <c r="Y107" s="14"/>
      <c r="Z107" s="14"/>
      <c r="AA107" s="14"/>
      <c r="AB107" s="165"/>
    </row>
    <row r="108" spans="1:28" x14ac:dyDescent="0.35">
      <c r="A108" s="187">
        <v>149.80000000000001</v>
      </c>
      <c r="B108" s="185" t="s">
        <v>176</v>
      </c>
      <c r="C108" s="189">
        <f t="shared" si="5"/>
        <v>1995</v>
      </c>
      <c r="D108" s="191">
        <f t="shared" si="6"/>
        <v>1996</v>
      </c>
      <c r="U108" s="12" t="s">
        <v>609</v>
      </c>
      <c r="V108" s="205">
        <v>1.5434000000000001</v>
      </c>
      <c r="W108" s="14"/>
      <c r="X108" s="14"/>
      <c r="Y108" s="14"/>
      <c r="Z108" s="14"/>
      <c r="AA108" s="14"/>
      <c r="AB108" s="165"/>
    </row>
    <row r="109" spans="1:28" x14ac:dyDescent="0.35">
      <c r="A109" s="187">
        <v>149.80000000000001</v>
      </c>
      <c r="B109" s="185" t="s">
        <v>178</v>
      </c>
      <c r="C109" s="189">
        <f t="shared" si="5"/>
        <v>1995</v>
      </c>
      <c r="D109" s="191">
        <f t="shared" si="6"/>
        <v>1996</v>
      </c>
      <c r="U109" s="12" t="s">
        <v>610</v>
      </c>
      <c r="V109" s="205">
        <v>1.4959</v>
      </c>
      <c r="W109" s="14"/>
      <c r="X109" s="14"/>
      <c r="Y109" s="14"/>
      <c r="Z109" s="14"/>
      <c r="AA109" s="14"/>
      <c r="AB109" s="165"/>
    </row>
    <row r="110" spans="1:28" x14ac:dyDescent="0.35">
      <c r="A110" s="187">
        <v>150.69999999999999</v>
      </c>
      <c r="B110" s="185" t="s">
        <v>181</v>
      </c>
      <c r="C110" s="189">
        <f t="shared" si="5"/>
        <v>1995</v>
      </c>
      <c r="D110" s="191">
        <f t="shared" si="6"/>
        <v>1996</v>
      </c>
      <c r="U110" s="12" t="s">
        <v>611</v>
      </c>
      <c r="V110" s="205">
        <v>1.4604999999999999</v>
      </c>
      <c r="W110" s="14"/>
      <c r="X110" s="14"/>
      <c r="Y110" s="14"/>
      <c r="Z110" s="14"/>
      <c r="AA110" s="14"/>
      <c r="AB110" s="165"/>
    </row>
    <row r="111" spans="1:28" x14ac:dyDescent="0.35">
      <c r="A111" s="187">
        <v>150.19999999999999</v>
      </c>
      <c r="B111" s="185" t="s">
        <v>152</v>
      </c>
      <c r="C111" s="189">
        <f t="shared" si="5"/>
        <v>1996</v>
      </c>
      <c r="D111" s="191">
        <f t="shared" si="6"/>
        <v>1996</v>
      </c>
      <c r="U111" s="12" t="s">
        <v>612</v>
      </c>
      <c r="V111" s="205">
        <v>1.3779999999999999</v>
      </c>
      <c r="W111" s="14"/>
      <c r="X111" s="14"/>
      <c r="Y111" s="14"/>
      <c r="Z111" s="14"/>
      <c r="AA111" s="14"/>
      <c r="AB111" s="165"/>
    </row>
    <row r="112" spans="1:28" x14ac:dyDescent="0.35">
      <c r="A112" s="187">
        <v>150.9</v>
      </c>
      <c r="B112" s="185" t="s">
        <v>154</v>
      </c>
      <c r="C112" s="189">
        <f t="shared" si="5"/>
        <v>1996</v>
      </c>
      <c r="D112" s="191">
        <f t="shared" si="6"/>
        <v>1996</v>
      </c>
      <c r="U112" s="12" t="s">
        <v>613</v>
      </c>
      <c r="V112" s="205">
        <v>1.3425</v>
      </c>
      <c r="W112" s="14"/>
      <c r="X112" s="14"/>
      <c r="Y112" s="14"/>
      <c r="Z112" s="14"/>
      <c r="AA112" s="14"/>
      <c r="AB112" s="165"/>
    </row>
    <row r="113" spans="1:28" x14ac:dyDescent="0.35">
      <c r="A113" s="187">
        <v>151.5</v>
      </c>
      <c r="B113" s="185" t="s">
        <v>157</v>
      </c>
      <c r="C113" s="189">
        <f t="shared" si="5"/>
        <v>1996</v>
      </c>
      <c r="D113" s="191">
        <f t="shared" si="6"/>
        <v>1996</v>
      </c>
      <c r="U113" s="12" t="s">
        <v>614</v>
      </c>
      <c r="V113" s="205">
        <v>1.3389</v>
      </c>
      <c r="W113" s="14"/>
      <c r="X113" s="14"/>
      <c r="Y113" s="14"/>
      <c r="Z113" s="14"/>
      <c r="AA113" s="14"/>
      <c r="AB113" s="165"/>
    </row>
    <row r="114" spans="1:28" x14ac:dyDescent="0.35">
      <c r="A114" s="187">
        <v>152.6</v>
      </c>
      <c r="B114" s="185" t="s">
        <v>159</v>
      </c>
      <c r="C114" s="189">
        <f t="shared" si="5"/>
        <v>1996</v>
      </c>
      <c r="D114" s="191">
        <f t="shared" si="6"/>
        <v>1997</v>
      </c>
      <c r="U114" s="12" t="s">
        <v>615</v>
      </c>
      <c r="V114" s="205">
        <v>1.4112</v>
      </c>
      <c r="W114" s="14"/>
      <c r="X114" s="14"/>
      <c r="Y114" s="14"/>
      <c r="Z114" s="14"/>
      <c r="AA114" s="14"/>
      <c r="AB114" s="165"/>
    </row>
    <row r="115" spans="1:28" x14ac:dyDescent="0.35">
      <c r="A115" s="187">
        <v>152.9</v>
      </c>
      <c r="B115" s="185" t="s">
        <v>162</v>
      </c>
      <c r="C115" s="189">
        <f t="shared" si="5"/>
        <v>1996</v>
      </c>
      <c r="D115" s="191">
        <f t="shared" si="6"/>
        <v>1997</v>
      </c>
      <c r="U115" s="12" t="s">
        <v>616</v>
      </c>
      <c r="V115" s="205">
        <v>1.399</v>
      </c>
      <c r="W115" s="14"/>
      <c r="X115" s="14"/>
      <c r="Y115" s="14"/>
      <c r="Z115" s="14"/>
      <c r="AA115" s="14"/>
      <c r="AB115" s="165"/>
    </row>
    <row r="116" spans="1:28" x14ac:dyDescent="0.35">
      <c r="A116" s="187">
        <v>153</v>
      </c>
      <c r="B116" s="185" t="s">
        <v>165</v>
      </c>
      <c r="C116" s="189">
        <f t="shared" si="5"/>
        <v>1996</v>
      </c>
      <c r="D116" s="191">
        <f t="shared" si="6"/>
        <v>1997</v>
      </c>
      <c r="U116" s="12" t="s">
        <v>617</v>
      </c>
      <c r="V116" s="205">
        <v>1.3984000000000001</v>
      </c>
      <c r="W116" s="14"/>
      <c r="X116" s="14"/>
      <c r="Y116" s="14"/>
      <c r="Z116" s="14"/>
      <c r="AA116" s="14"/>
      <c r="AB116" s="165"/>
    </row>
    <row r="117" spans="1:28" x14ac:dyDescent="0.35">
      <c r="A117" s="187">
        <v>152.4</v>
      </c>
      <c r="B117" s="185" t="s">
        <v>167</v>
      </c>
      <c r="C117" s="189">
        <f t="shared" si="5"/>
        <v>1996</v>
      </c>
      <c r="D117" s="191">
        <f t="shared" si="6"/>
        <v>1997</v>
      </c>
      <c r="U117" s="12" t="s">
        <v>618</v>
      </c>
      <c r="V117" s="205">
        <v>1.413</v>
      </c>
      <c r="W117" s="14"/>
      <c r="X117" s="14"/>
      <c r="Y117" s="14"/>
      <c r="Z117" s="14"/>
      <c r="AA117" s="14"/>
      <c r="AB117" s="165"/>
    </row>
    <row r="118" spans="1:28" x14ac:dyDescent="0.35">
      <c r="A118" s="187">
        <v>153.1</v>
      </c>
      <c r="B118" s="185" t="s">
        <v>171</v>
      </c>
      <c r="C118" s="189">
        <f t="shared" si="5"/>
        <v>1996</v>
      </c>
      <c r="D118" s="191">
        <f t="shared" si="6"/>
        <v>1997</v>
      </c>
      <c r="U118" s="12" t="s">
        <v>619</v>
      </c>
      <c r="V118" s="205">
        <v>1.4049</v>
      </c>
      <c r="W118" s="14"/>
      <c r="X118" s="14"/>
      <c r="Y118" s="14"/>
      <c r="Z118" s="14"/>
      <c r="AA118" s="14"/>
      <c r="AB118" s="165"/>
    </row>
    <row r="119" spans="1:28" x14ac:dyDescent="0.35">
      <c r="A119" s="187">
        <v>153.80000000000001</v>
      </c>
      <c r="B119" s="185" t="s">
        <v>173</v>
      </c>
      <c r="C119" s="189">
        <f t="shared" si="5"/>
        <v>1996</v>
      </c>
      <c r="D119" s="191">
        <f t="shared" si="6"/>
        <v>1997</v>
      </c>
      <c r="U119" s="12" t="s">
        <v>620</v>
      </c>
      <c r="V119" s="205">
        <v>1.3856999999999999</v>
      </c>
      <c r="W119" s="14"/>
      <c r="X119" s="14"/>
      <c r="Y119" s="14"/>
      <c r="Z119" s="14"/>
      <c r="AA119" s="14"/>
      <c r="AB119" s="165"/>
    </row>
    <row r="120" spans="1:28" x14ac:dyDescent="0.35">
      <c r="A120" s="187">
        <v>153.80000000000001</v>
      </c>
      <c r="B120" s="185" t="s">
        <v>176</v>
      </c>
      <c r="C120" s="189">
        <f t="shared" si="5"/>
        <v>1996</v>
      </c>
      <c r="D120" s="191">
        <f t="shared" si="6"/>
        <v>1997</v>
      </c>
      <c r="U120" s="12" t="s">
        <v>621</v>
      </c>
      <c r="V120" s="205">
        <v>1.3758999999999999</v>
      </c>
      <c r="W120" s="14"/>
      <c r="X120" s="14"/>
      <c r="Y120" s="14"/>
      <c r="Z120" s="14"/>
      <c r="AA120" s="14"/>
      <c r="AB120" s="165"/>
    </row>
    <row r="121" spans="1:28" x14ac:dyDescent="0.35">
      <c r="A121" s="187">
        <v>153.9</v>
      </c>
      <c r="B121" s="185" t="s">
        <v>178</v>
      </c>
      <c r="C121" s="189">
        <f t="shared" si="5"/>
        <v>1996</v>
      </c>
      <c r="D121" s="191">
        <f t="shared" si="6"/>
        <v>1997</v>
      </c>
      <c r="U121" s="12" t="s">
        <v>622</v>
      </c>
      <c r="V121" s="205">
        <v>1.3968</v>
      </c>
      <c r="W121" s="14"/>
      <c r="X121" s="14"/>
      <c r="Y121" s="14"/>
      <c r="Z121" s="14"/>
      <c r="AA121" s="14"/>
      <c r="AB121" s="165"/>
    </row>
    <row r="122" spans="1:28" x14ac:dyDescent="0.35">
      <c r="A122" s="187">
        <v>154.4</v>
      </c>
      <c r="B122" s="185" t="s">
        <v>181</v>
      </c>
      <c r="C122" s="189">
        <f t="shared" si="5"/>
        <v>1996</v>
      </c>
      <c r="D122" s="191">
        <f t="shared" si="6"/>
        <v>1997</v>
      </c>
      <c r="U122" s="12" t="s">
        <v>623</v>
      </c>
      <c r="V122" s="205">
        <v>1.3460000000000001</v>
      </c>
      <c r="W122" s="14"/>
      <c r="X122" s="14"/>
      <c r="Y122" s="14"/>
      <c r="Z122" s="14"/>
      <c r="AA122" s="14"/>
      <c r="AB122" s="165"/>
    </row>
    <row r="123" spans="1:28" x14ac:dyDescent="0.35">
      <c r="A123" s="187">
        <v>154.4</v>
      </c>
      <c r="B123" s="185" t="s">
        <v>152</v>
      </c>
      <c r="C123" s="189">
        <f t="shared" si="5"/>
        <v>1997</v>
      </c>
      <c r="D123" s="191">
        <f t="shared" si="6"/>
        <v>1997</v>
      </c>
      <c r="U123" s="12" t="s">
        <v>624</v>
      </c>
      <c r="V123" s="205">
        <v>1.214</v>
      </c>
      <c r="W123" s="14"/>
      <c r="X123" s="14"/>
      <c r="Y123" s="14"/>
      <c r="Z123" s="14"/>
      <c r="AA123" s="14"/>
      <c r="AB123" s="165"/>
    </row>
    <row r="124" spans="1:28" x14ac:dyDescent="0.35">
      <c r="A124" s="187">
        <v>155</v>
      </c>
      <c r="B124" s="185" t="s">
        <v>154</v>
      </c>
      <c r="C124" s="189">
        <f t="shared" si="5"/>
        <v>1997</v>
      </c>
      <c r="D124" s="191">
        <f t="shared" si="6"/>
        <v>1997</v>
      </c>
      <c r="U124" s="12" t="s">
        <v>625</v>
      </c>
      <c r="V124" s="205">
        <v>1.2144999999999999</v>
      </c>
      <c r="W124" s="14"/>
      <c r="X124" s="14"/>
      <c r="Y124" s="14"/>
      <c r="Z124" s="14"/>
      <c r="AA124" s="14"/>
      <c r="AB124" s="165"/>
    </row>
    <row r="125" spans="1:28" x14ac:dyDescent="0.35">
      <c r="A125" s="187">
        <v>155.4</v>
      </c>
      <c r="B125" s="185" t="s">
        <v>157</v>
      </c>
      <c r="C125" s="189">
        <f t="shared" si="5"/>
        <v>1997</v>
      </c>
      <c r="D125" s="191">
        <f t="shared" si="6"/>
        <v>1997</v>
      </c>
      <c r="U125" s="12" t="s">
        <v>626</v>
      </c>
      <c r="V125" s="205">
        <v>1.2490000000000001</v>
      </c>
      <c r="W125" s="14"/>
      <c r="X125" s="14"/>
      <c r="Y125" s="14"/>
      <c r="Z125" s="14"/>
      <c r="AA125" s="14"/>
      <c r="AB125" s="165"/>
    </row>
    <row r="126" spans="1:28" x14ac:dyDescent="0.35">
      <c r="A126" s="187">
        <v>156.30000000000001</v>
      </c>
      <c r="B126" s="185" t="s">
        <v>159</v>
      </c>
      <c r="C126" s="189">
        <f t="shared" si="5"/>
        <v>1997</v>
      </c>
      <c r="D126" s="191">
        <f t="shared" si="6"/>
        <v>1998</v>
      </c>
      <c r="U126" s="12" t="s">
        <v>627</v>
      </c>
      <c r="V126" s="205">
        <v>1.2891999999999999</v>
      </c>
      <c r="W126" s="14"/>
      <c r="X126" s="14"/>
      <c r="Y126" s="14"/>
      <c r="Z126" s="14"/>
      <c r="AA126" s="14"/>
      <c r="AB126" s="165"/>
    </row>
    <row r="127" spans="1:28" x14ac:dyDescent="0.35">
      <c r="A127" s="187">
        <v>156.9</v>
      </c>
      <c r="B127" s="185" t="s">
        <v>162</v>
      </c>
      <c r="C127" s="189">
        <f t="shared" si="5"/>
        <v>1997</v>
      </c>
      <c r="D127" s="191">
        <f t="shared" si="6"/>
        <v>1998</v>
      </c>
      <c r="U127" s="12" t="s">
        <v>628</v>
      </c>
      <c r="V127" s="205">
        <v>1.2921</v>
      </c>
      <c r="W127" s="14"/>
      <c r="X127" s="14"/>
      <c r="Y127" s="14"/>
      <c r="Z127" s="14"/>
      <c r="AA127" s="14"/>
      <c r="AB127" s="165"/>
    </row>
    <row r="128" spans="1:28" x14ac:dyDescent="0.35">
      <c r="A128" s="187">
        <v>157.5</v>
      </c>
      <c r="B128" s="185" t="s">
        <v>165</v>
      </c>
      <c r="C128" s="189">
        <f t="shared" si="5"/>
        <v>1997</v>
      </c>
      <c r="D128" s="191">
        <f t="shared" si="6"/>
        <v>1998</v>
      </c>
      <c r="U128" s="12" t="s">
        <v>629</v>
      </c>
      <c r="V128" s="205">
        <v>1.3089</v>
      </c>
      <c r="W128" s="14"/>
      <c r="X128" s="14"/>
      <c r="Y128" s="14"/>
      <c r="Z128" s="14"/>
      <c r="AA128" s="14"/>
      <c r="AB128" s="165"/>
    </row>
    <row r="129" spans="1:28" x14ac:dyDescent="0.35">
      <c r="A129" s="187">
        <v>157.5</v>
      </c>
      <c r="B129" s="185" t="s">
        <v>167</v>
      </c>
      <c r="C129" s="189">
        <f t="shared" si="5"/>
        <v>1997</v>
      </c>
      <c r="D129" s="191">
        <f t="shared" si="6"/>
        <v>1998</v>
      </c>
      <c r="U129" s="12" t="s">
        <v>630</v>
      </c>
      <c r="V129" s="205">
        <v>1.2753000000000001</v>
      </c>
      <c r="W129" s="14"/>
      <c r="X129" s="14"/>
      <c r="Y129" s="14"/>
      <c r="Z129" s="14"/>
      <c r="AA129" s="14"/>
      <c r="AB129" s="165"/>
    </row>
    <row r="130" spans="1:28" x14ac:dyDescent="0.35">
      <c r="A130" s="187">
        <v>158.5</v>
      </c>
      <c r="B130" s="185" t="s">
        <v>171</v>
      </c>
      <c r="C130" s="189">
        <f t="shared" si="5"/>
        <v>1997</v>
      </c>
      <c r="D130" s="191">
        <f t="shared" si="6"/>
        <v>1998</v>
      </c>
      <c r="U130" s="12" t="s">
        <v>631</v>
      </c>
      <c r="V130" s="205">
        <v>1.2447999999999999</v>
      </c>
      <c r="W130" s="14"/>
      <c r="X130" s="14"/>
      <c r="Y130" s="14"/>
      <c r="Z130" s="14"/>
      <c r="AA130" s="14"/>
      <c r="AB130" s="165"/>
    </row>
    <row r="131" spans="1:28" x14ac:dyDescent="0.35">
      <c r="A131" s="187">
        <v>159.30000000000001</v>
      </c>
      <c r="B131" s="185" t="s">
        <v>173</v>
      </c>
      <c r="C131" s="189">
        <f t="shared" si="5"/>
        <v>1997</v>
      </c>
      <c r="D131" s="191">
        <f t="shared" si="6"/>
        <v>1998</v>
      </c>
      <c r="U131" s="12" t="s">
        <v>632</v>
      </c>
      <c r="V131" s="205">
        <v>1.2615000000000001</v>
      </c>
      <c r="W131" s="14"/>
      <c r="X131" s="14"/>
      <c r="Y131" s="14"/>
      <c r="Z131" s="14"/>
      <c r="AA131" s="14"/>
      <c r="AB131" s="165"/>
    </row>
    <row r="132" spans="1:28" x14ac:dyDescent="0.35">
      <c r="A132" s="187">
        <v>159.5</v>
      </c>
      <c r="B132" s="185" t="s">
        <v>176</v>
      </c>
      <c r="C132" s="189">
        <f t="shared" si="5"/>
        <v>1997</v>
      </c>
      <c r="D132" s="191">
        <f t="shared" si="6"/>
        <v>1998</v>
      </c>
      <c r="U132" s="12" t="s">
        <v>633</v>
      </c>
      <c r="V132" s="205">
        <v>1.2289000000000001</v>
      </c>
      <c r="W132" s="14"/>
      <c r="X132" s="14"/>
      <c r="Y132" s="14"/>
      <c r="Z132" s="14"/>
      <c r="AA132" s="14"/>
      <c r="AB132" s="165"/>
    </row>
    <row r="133" spans="1:28" x14ac:dyDescent="0.35">
      <c r="A133" s="187">
        <v>159.6</v>
      </c>
      <c r="B133" s="185" t="s">
        <v>178</v>
      </c>
      <c r="C133" s="189">
        <f t="shared" ref="C133:C196" si="7">IF(B132="December",C132+1,C132)</f>
        <v>1997</v>
      </c>
      <c r="D133" s="191">
        <f t="shared" ref="D133:D196" si="8">IF(B132="March",D132+1,D132)</f>
        <v>1998</v>
      </c>
      <c r="U133" s="12" t="s">
        <v>634</v>
      </c>
      <c r="V133" s="205">
        <v>1.1869000000000001</v>
      </c>
      <c r="W133" s="14"/>
      <c r="X133" s="14"/>
      <c r="Y133" s="14"/>
      <c r="Z133" s="14"/>
      <c r="AA133" s="14"/>
      <c r="AB133" s="165"/>
    </row>
    <row r="134" spans="1:28" x14ac:dyDescent="0.35">
      <c r="A134" s="187">
        <v>160</v>
      </c>
      <c r="B134" s="185" t="s">
        <v>181</v>
      </c>
      <c r="C134" s="189">
        <f t="shared" si="7"/>
        <v>1997</v>
      </c>
      <c r="D134" s="191">
        <f t="shared" si="8"/>
        <v>1998</v>
      </c>
      <c r="U134" s="12" t="s">
        <v>635</v>
      </c>
      <c r="V134" s="205">
        <v>1.1811</v>
      </c>
      <c r="W134" s="14"/>
      <c r="X134" s="14"/>
      <c r="Y134" s="14"/>
      <c r="Z134" s="14"/>
      <c r="AA134" s="14"/>
      <c r="AB134" s="165"/>
    </row>
    <row r="135" spans="1:28" x14ac:dyDescent="0.35">
      <c r="A135" s="187">
        <v>159.5</v>
      </c>
      <c r="B135" s="185" t="s">
        <v>152</v>
      </c>
      <c r="C135" s="189">
        <f t="shared" si="7"/>
        <v>1998</v>
      </c>
      <c r="D135" s="191">
        <f t="shared" si="8"/>
        <v>1998</v>
      </c>
      <c r="U135" s="12" t="s">
        <v>636</v>
      </c>
      <c r="V135" s="205">
        <v>1.1656</v>
      </c>
      <c r="W135" s="14"/>
      <c r="X135" s="14"/>
      <c r="Y135" s="14"/>
      <c r="Z135" s="14"/>
      <c r="AA135" s="14"/>
      <c r="AB135" s="165"/>
    </row>
    <row r="136" spans="1:28" x14ac:dyDescent="0.35">
      <c r="A136" s="187">
        <v>160.30000000000001</v>
      </c>
      <c r="B136" s="185" t="s">
        <v>154</v>
      </c>
      <c r="C136" s="189">
        <f t="shared" si="7"/>
        <v>1998</v>
      </c>
      <c r="D136" s="191">
        <f t="shared" si="8"/>
        <v>1998</v>
      </c>
      <c r="U136" s="12" t="s">
        <v>637</v>
      </c>
      <c r="V136" s="205">
        <v>1.1676</v>
      </c>
      <c r="W136" s="14"/>
      <c r="X136" s="14"/>
      <c r="Y136" s="14"/>
      <c r="Z136" s="14"/>
      <c r="AA136" s="14"/>
      <c r="AB136" s="165"/>
    </row>
    <row r="137" spans="1:28" x14ac:dyDescent="0.35">
      <c r="A137" s="187">
        <v>160.80000000000001</v>
      </c>
      <c r="B137" s="185" t="s">
        <v>157</v>
      </c>
      <c r="C137" s="189">
        <f t="shared" si="7"/>
        <v>1998</v>
      </c>
      <c r="D137" s="191">
        <f t="shared" si="8"/>
        <v>1998</v>
      </c>
      <c r="U137" s="12" t="s">
        <v>638</v>
      </c>
      <c r="V137" s="205">
        <v>1.1927000000000001</v>
      </c>
      <c r="W137" s="14"/>
      <c r="X137" s="14"/>
      <c r="Y137" s="14"/>
      <c r="Z137" s="14"/>
      <c r="AA137" s="14"/>
      <c r="AB137" s="165"/>
    </row>
    <row r="138" spans="1:28" x14ac:dyDescent="0.35">
      <c r="A138" s="187">
        <v>162.6</v>
      </c>
      <c r="B138" s="185" t="s">
        <v>159</v>
      </c>
      <c r="C138" s="189">
        <f t="shared" si="7"/>
        <v>1998</v>
      </c>
      <c r="D138" s="191">
        <f t="shared" si="8"/>
        <v>1999</v>
      </c>
      <c r="U138" s="12" t="s">
        <v>639</v>
      </c>
      <c r="V138" s="205">
        <v>1.1974</v>
      </c>
      <c r="W138" s="14"/>
      <c r="X138" s="14"/>
      <c r="Y138" s="14"/>
      <c r="Z138" s="14"/>
      <c r="AA138" s="14"/>
      <c r="AB138" s="165"/>
    </row>
    <row r="139" spans="1:28" x14ac:dyDescent="0.35">
      <c r="A139" s="187">
        <v>163.5</v>
      </c>
      <c r="B139" s="185" t="s">
        <v>162</v>
      </c>
      <c r="C139" s="189">
        <f t="shared" si="7"/>
        <v>1998</v>
      </c>
      <c r="D139" s="191">
        <f t="shared" si="8"/>
        <v>1999</v>
      </c>
      <c r="U139" s="12" t="s">
        <v>640</v>
      </c>
      <c r="V139" s="205">
        <v>1.2805</v>
      </c>
      <c r="W139" s="14"/>
      <c r="X139" s="14"/>
      <c r="Y139" s="14"/>
      <c r="Z139" s="14"/>
      <c r="AA139" s="14"/>
      <c r="AB139" s="165"/>
    </row>
    <row r="140" spans="1:28" x14ac:dyDescent="0.35">
      <c r="A140" s="187">
        <v>163.4</v>
      </c>
      <c r="B140" s="185" t="s">
        <v>165</v>
      </c>
      <c r="C140" s="189">
        <f t="shared" si="7"/>
        <v>1998</v>
      </c>
      <c r="D140" s="191">
        <f t="shared" si="8"/>
        <v>1999</v>
      </c>
      <c r="U140" s="12" t="s">
        <v>641</v>
      </c>
      <c r="V140" s="205">
        <v>1.3793</v>
      </c>
      <c r="W140" s="14"/>
      <c r="X140" s="14"/>
      <c r="Y140" s="14"/>
      <c r="Z140" s="14"/>
      <c r="AA140" s="14"/>
      <c r="AB140" s="165"/>
    </row>
    <row r="141" spans="1:28" x14ac:dyDescent="0.35">
      <c r="A141" s="187">
        <v>163</v>
      </c>
      <c r="B141" s="185" t="s">
        <v>167</v>
      </c>
      <c r="C141" s="189">
        <f t="shared" si="7"/>
        <v>1998</v>
      </c>
      <c r="D141" s="191">
        <f t="shared" si="8"/>
        <v>1999</v>
      </c>
      <c r="U141" s="12" t="s">
        <v>642</v>
      </c>
      <c r="V141" s="205">
        <v>1.4319999999999999</v>
      </c>
      <c r="W141" s="14"/>
      <c r="X141" s="14"/>
      <c r="Y141" s="14"/>
      <c r="Z141" s="14"/>
      <c r="AA141" s="14"/>
      <c r="AB141" s="165"/>
    </row>
    <row r="142" spans="1:28" x14ac:dyDescent="0.35">
      <c r="A142" s="187">
        <v>163.69999999999999</v>
      </c>
      <c r="B142" s="185" t="s">
        <v>171</v>
      </c>
      <c r="C142" s="189">
        <f t="shared" si="7"/>
        <v>1998</v>
      </c>
      <c r="D142" s="191">
        <f t="shared" si="8"/>
        <v>1999</v>
      </c>
      <c r="U142" s="12" t="s">
        <v>643</v>
      </c>
      <c r="V142" s="205">
        <v>1.4962</v>
      </c>
      <c r="W142" s="14"/>
      <c r="X142" s="14"/>
      <c r="Y142" s="14"/>
      <c r="Z142" s="14"/>
      <c r="AA142" s="14"/>
      <c r="AB142" s="165"/>
    </row>
    <row r="143" spans="1:28" x14ac:dyDescent="0.35">
      <c r="A143" s="187">
        <v>164.4</v>
      </c>
      <c r="B143" s="185" t="s">
        <v>173</v>
      </c>
      <c r="C143" s="189">
        <f t="shared" si="7"/>
        <v>1998</v>
      </c>
      <c r="D143" s="191">
        <f t="shared" si="8"/>
        <v>1999</v>
      </c>
      <c r="U143" s="12" t="s">
        <v>644</v>
      </c>
      <c r="V143" s="205">
        <v>1.4855</v>
      </c>
      <c r="W143" s="14"/>
      <c r="X143" s="14"/>
      <c r="Y143" s="14"/>
      <c r="Z143" s="14"/>
      <c r="AA143" s="14"/>
      <c r="AB143" s="165"/>
    </row>
    <row r="144" spans="1:28" x14ac:dyDescent="0.35">
      <c r="A144" s="187">
        <v>164.5</v>
      </c>
      <c r="B144" s="185" t="s">
        <v>176</v>
      </c>
      <c r="C144" s="189">
        <f t="shared" si="7"/>
        <v>1998</v>
      </c>
      <c r="D144" s="191">
        <f t="shared" si="8"/>
        <v>1999</v>
      </c>
      <c r="U144" s="12" t="s">
        <v>645</v>
      </c>
      <c r="V144" s="205">
        <v>1.5294000000000001</v>
      </c>
      <c r="W144" s="14"/>
      <c r="X144" s="14"/>
      <c r="Y144" s="14"/>
      <c r="Z144" s="14"/>
      <c r="AA144" s="14"/>
      <c r="AB144" s="165"/>
    </row>
    <row r="145" spans="1:28" x14ac:dyDescent="0.35">
      <c r="A145" s="187">
        <v>164.4</v>
      </c>
      <c r="B145" s="185" t="s">
        <v>178</v>
      </c>
      <c r="C145" s="189">
        <f t="shared" si="7"/>
        <v>1998</v>
      </c>
      <c r="D145" s="191">
        <f t="shared" si="8"/>
        <v>1999</v>
      </c>
      <c r="U145" s="12" t="s">
        <v>646</v>
      </c>
      <c r="V145" s="205">
        <v>1.5148999999999999</v>
      </c>
      <c r="W145" s="14"/>
      <c r="X145" s="14"/>
      <c r="Y145" s="14"/>
      <c r="Z145" s="14"/>
      <c r="AA145" s="14"/>
      <c r="AB145" s="165"/>
    </row>
    <row r="146" spans="1:28" x14ac:dyDescent="0.35">
      <c r="A146" s="187">
        <v>164.4</v>
      </c>
      <c r="B146" s="185" t="s">
        <v>181</v>
      </c>
      <c r="C146" s="189">
        <f t="shared" si="7"/>
        <v>1998</v>
      </c>
      <c r="D146" s="191">
        <f t="shared" si="8"/>
        <v>1999</v>
      </c>
      <c r="U146" s="12" t="s">
        <v>647</v>
      </c>
      <c r="V146" s="205">
        <v>1.4875</v>
      </c>
      <c r="W146" s="14"/>
      <c r="X146" s="14"/>
      <c r="Y146" s="14"/>
      <c r="Z146" s="14"/>
      <c r="AA146" s="14"/>
      <c r="AB146" s="165"/>
    </row>
    <row r="147" spans="1:28" x14ac:dyDescent="0.35">
      <c r="A147" s="187">
        <v>163.4</v>
      </c>
      <c r="B147" s="185" t="s">
        <v>152</v>
      </c>
      <c r="C147" s="189">
        <f t="shared" si="7"/>
        <v>1999</v>
      </c>
      <c r="D147" s="191">
        <f t="shared" si="8"/>
        <v>1999</v>
      </c>
      <c r="U147" s="12" t="s">
        <v>648</v>
      </c>
      <c r="V147" s="205">
        <v>1.4247000000000001</v>
      </c>
      <c r="W147" s="14"/>
      <c r="X147" s="14"/>
      <c r="Y147" s="14"/>
      <c r="Z147" s="14"/>
      <c r="AA147" s="14"/>
      <c r="AB147" s="165"/>
    </row>
    <row r="148" spans="1:28" x14ac:dyDescent="0.35">
      <c r="A148" s="187">
        <v>163.69999999999999</v>
      </c>
      <c r="B148" s="185" t="s">
        <v>154</v>
      </c>
      <c r="C148" s="189">
        <f t="shared" si="7"/>
        <v>1999</v>
      </c>
      <c r="D148" s="191">
        <f t="shared" si="8"/>
        <v>1999</v>
      </c>
      <c r="U148" s="12" t="s">
        <v>649</v>
      </c>
      <c r="V148" s="205">
        <v>1.4574</v>
      </c>
      <c r="W148" s="14"/>
      <c r="X148" s="14"/>
      <c r="Y148" s="14"/>
      <c r="Z148" s="14"/>
      <c r="AA148" s="14"/>
      <c r="AB148" s="165"/>
    </row>
    <row r="149" spans="1:28" x14ac:dyDescent="0.35">
      <c r="A149" s="187">
        <v>164.1</v>
      </c>
      <c r="B149" s="185" t="s">
        <v>157</v>
      </c>
      <c r="C149" s="189">
        <f t="shared" si="7"/>
        <v>1999</v>
      </c>
      <c r="D149" s="191">
        <f t="shared" si="8"/>
        <v>1999</v>
      </c>
      <c r="U149" s="12" t="s">
        <v>650</v>
      </c>
      <c r="V149" s="205">
        <v>1.5208999999999999</v>
      </c>
      <c r="W149" s="14"/>
      <c r="X149" s="14"/>
      <c r="Y149" s="14"/>
      <c r="Z149" s="14"/>
      <c r="AA149" s="14"/>
      <c r="AB149" s="165"/>
    </row>
    <row r="150" spans="1:28" x14ac:dyDescent="0.35">
      <c r="A150" s="187">
        <v>165.2</v>
      </c>
      <c r="B150" s="185" t="s">
        <v>159</v>
      </c>
      <c r="C150" s="189">
        <f t="shared" si="7"/>
        <v>1999</v>
      </c>
      <c r="D150" s="191">
        <f t="shared" si="8"/>
        <v>2000</v>
      </c>
      <c r="U150" s="12" t="s">
        <v>651</v>
      </c>
      <c r="V150" s="205">
        <v>1.5270999999999999</v>
      </c>
      <c r="W150" s="14"/>
      <c r="X150" s="14"/>
      <c r="Y150" s="14"/>
      <c r="Z150" s="14"/>
      <c r="AA150" s="14"/>
      <c r="AB150" s="165"/>
    </row>
    <row r="151" spans="1:28" x14ac:dyDescent="0.35">
      <c r="A151" s="187">
        <v>165.6</v>
      </c>
      <c r="B151" s="185" t="s">
        <v>162</v>
      </c>
      <c r="C151" s="189">
        <f t="shared" si="7"/>
        <v>1999</v>
      </c>
      <c r="D151" s="191">
        <f t="shared" si="8"/>
        <v>2000</v>
      </c>
      <c r="U151" s="12" t="s">
        <v>652</v>
      </c>
      <c r="V151" s="205">
        <v>1.5711999999999999</v>
      </c>
      <c r="W151" s="14"/>
      <c r="X151" s="14"/>
      <c r="Y151" s="14"/>
      <c r="Z151" s="14"/>
      <c r="AA151" s="14"/>
      <c r="AB151" s="165"/>
    </row>
    <row r="152" spans="1:28" x14ac:dyDescent="0.35">
      <c r="A152" s="187">
        <v>165.6</v>
      </c>
      <c r="B152" s="185" t="s">
        <v>165</v>
      </c>
      <c r="C152" s="189">
        <f t="shared" si="7"/>
        <v>1999</v>
      </c>
      <c r="D152" s="191">
        <f t="shared" si="8"/>
        <v>2000</v>
      </c>
      <c r="U152" s="12" t="s">
        <v>653</v>
      </c>
      <c r="V152" s="205">
        <v>1.6286</v>
      </c>
      <c r="W152" s="14"/>
      <c r="X152" s="14"/>
      <c r="Y152" s="14"/>
      <c r="Z152" s="14"/>
      <c r="AA152" s="14"/>
      <c r="AB152" s="165"/>
    </row>
    <row r="153" spans="1:28" x14ac:dyDescent="0.35">
      <c r="A153" s="187">
        <v>165.1</v>
      </c>
      <c r="B153" s="185" t="s">
        <v>167</v>
      </c>
      <c r="C153" s="189">
        <f t="shared" si="7"/>
        <v>1999</v>
      </c>
      <c r="D153" s="191">
        <f t="shared" si="8"/>
        <v>2000</v>
      </c>
      <c r="U153" s="12" t="s">
        <v>654</v>
      </c>
      <c r="V153" s="205">
        <v>1.6397999999999999</v>
      </c>
      <c r="W153" s="14"/>
      <c r="X153" s="14"/>
      <c r="Y153" s="14"/>
      <c r="Z153" s="14"/>
      <c r="AA153" s="14"/>
      <c r="AB153" s="165"/>
    </row>
    <row r="154" spans="1:28" x14ac:dyDescent="0.35">
      <c r="A154" s="187">
        <v>165.5</v>
      </c>
      <c r="B154" s="185" t="s">
        <v>171</v>
      </c>
      <c r="C154" s="189">
        <f t="shared" si="7"/>
        <v>1999</v>
      </c>
      <c r="D154" s="191">
        <f t="shared" si="8"/>
        <v>2000</v>
      </c>
      <c r="U154" s="12" t="s">
        <v>655</v>
      </c>
      <c r="V154" s="205">
        <v>1.6335999999999999</v>
      </c>
      <c r="W154" s="14"/>
      <c r="X154" s="14"/>
      <c r="Y154" s="14"/>
      <c r="Z154" s="14"/>
      <c r="AA154" s="14"/>
      <c r="AB154" s="165"/>
    </row>
    <row r="155" spans="1:28" x14ac:dyDescent="0.35">
      <c r="A155" s="187">
        <v>166.2</v>
      </c>
      <c r="B155" s="185" t="s">
        <v>173</v>
      </c>
      <c r="C155" s="189">
        <f t="shared" si="7"/>
        <v>1999</v>
      </c>
      <c r="D155" s="191">
        <f t="shared" si="8"/>
        <v>2000</v>
      </c>
      <c r="U155" s="12" t="s">
        <v>656</v>
      </c>
      <c r="V155" s="205">
        <v>1.667</v>
      </c>
      <c r="W155" s="14"/>
      <c r="X155" s="14"/>
      <c r="Y155" s="14"/>
      <c r="Z155" s="14"/>
      <c r="AA155" s="14"/>
      <c r="AB155" s="165"/>
    </row>
    <row r="156" spans="1:28" x14ac:dyDescent="0.35">
      <c r="A156" s="187">
        <v>166.5</v>
      </c>
      <c r="B156" s="185" t="s">
        <v>176</v>
      </c>
      <c r="C156" s="189">
        <f t="shared" si="7"/>
        <v>1999</v>
      </c>
      <c r="D156" s="191">
        <f t="shared" si="8"/>
        <v>2000</v>
      </c>
      <c r="U156" s="12" t="s">
        <v>657</v>
      </c>
      <c r="V156" s="205">
        <v>1.5813999999999999</v>
      </c>
      <c r="W156" s="14"/>
      <c r="X156" s="14"/>
      <c r="Y156" s="14"/>
      <c r="Z156" s="14"/>
      <c r="AA156" s="14"/>
      <c r="AB156" s="165"/>
    </row>
    <row r="157" spans="1:28" x14ac:dyDescent="0.35">
      <c r="A157" s="187">
        <v>166.7</v>
      </c>
      <c r="B157" s="185" t="s">
        <v>178</v>
      </c>
      <c r="C157" s="189">
        <f t="shared" si="7"/>
        <v>1999</v>
      </c>
      <c r="D157" s="191">
        <f t="shared" si="8"/>
        <v>2000</v>
      </c>
      <c r="U157" s="12" t="s">
        <v>658</v>
      </c>
      <c r="V157" s="205">
        <v>1.6279999999999999</v>
      </c>
      <c r="W157" s="14"/>
      <c r="X157" s="14"/>
      <c r="Y157" s="14"/>
      <c r="Z157" s="14"/>
      <c r="AA157" s="14"/>
      <c r="AB157" s="165"/>
    </row>
    <row r="158" spans="1:28" x14ac:dyDescent="0.35">
      <c r="A158" s="187">
        <v>167.3</v>
      </c>
      <c r="B158" s="185" t="s">
        <v>181</v>
      </c>
      <c r="C158" s="189">
        <f t="shared" si="7"/>
        <v>1999</v>
      </c>
      <c r="D158" s="191">
        <f t="shared" si="8"/>
        <v>2000</v>
      </c>
      <c r="U158" s="12" t="s">
        <v>659</v>
      </c>
      <c r="V158" s="205">
        <v>1.6152</v>
      </c>
      <c r="W158" s="14"/>
      <c r="X158" s="14"/>
      <c r="Y158" s="14"/>
      <c r="Z158" s="14"/>
      <c r="AA158" s="14"/>
      <c r="AB158" s="165"/>
    </row>
    <row r="159" spans="1:28" x14ac:dyDescent="0.35">
      <c r="A159" s="187">
        <v>166.6</v>
      </c>
      <c r="B159" s="185" t="s">
        <v>152</v>
      </c>
      <c r="C159" s="189">
        <f t="shared" si="7"/>
        <v>2000</v>
      </c>
      <c r="D159" s="191">
        <f t="shared" si="8"/>
        <v>2000</v>
      </c>
      <c r="U159" s="12" t="s">
        <v>660</v>
      </c>
      <c r="V159" s="205">
        <v>1.6111</v>
      </c>
      <c r="W159" s="14"/>
      <c r="X159" s="14"/>
      <c r="Y159" s="14"/>
      <c r="Z159" s="14"/>
      <c r="AA159" s="14"/>
      <c r="AB159" s="165"/>
    </row>
    <row r="160" spans="1:28" x14ac:dyDescent="0.35">
      <c r="A160" s="187">
        <v>167.5</v>
      </c>
      <c r="B160" s="185" t="s">
        <v>154</v>
      </c>
      <c r="C160" s="189">
        <f t="shared" si="7"/>
        <v>2000</v>
      </c>
      <c r="D160" s="191">
        <f t="shared" si="8"/>
        <v>2000</v>
      </c>
      <c r="U160" s="12" t="s">
        <v>661</v>
      </c>
      <c r="V160" s="205">
        <v>1.6263000000000001</v>
      </c>
      <c r="W160" s="14"/>
      <c r="X160" s="14"/>
      <c r="Y160" s="14"/>
      <c r="Z160" s="14"/>
      <c r="AA160" s="14"/>
      <c r="AB160" s="165"/>
    </row>
    <row r="161" spans="1:28" x14ac:dyDescent="0.35">
      <c r="A161" s="187">
        <v>168.4</v>
      </c>
      <c r="B161" s="185" t="s">
        <v>157</v>
      </c>
      <c r="C161" s="189">
        <f t="shared" si="7"/>
        <v>2000</v>
      </c>
      <c r="D161" s="191">
        <f t="shared" si="8"/>
        <v>2000</v>
      </c>
      <c r="U161" s="12" t="s">
        <v>662</v>
      </c>
      <c r="V161" s="205">
        <v>1.5923</v>
      </c>
      <c r="W161" s="14"/>
      <c r="X161" s="14"/>
      <c r="Y161" s="14"/>
      <c r="Z161" s="14"/>
      <c r="AA161" s="14"/>
      <c r="AB161" s="165"/>
    </row>
    <row r="162" spans="1:28" x14ac:dyDescent="0.35">
      <c r="A162" s="187">
        <v>170.1</v>
      </c>
      <c r="B162" s="185" t="s">
        <v>159</v>
      </c>
      <c r="C162" s="189">
        <f t="shared" si="7"/>
        <v>2000</v>
      </c>
      <c r="D162" s="191">
        <f t="shared" si="8"/>
        <v>2001</v>
      </c>
      <c r="U162" s="12" t="s">
        <v>663</v>
      </c>
      <c r="V162" s="205">
        <v>1.5747</v>
      </c>
      <c r="W162" s="14"/>
      <c r="X162" s="14"/>
      <c r="Y162" s="14"/>
      <c r="Z162" s="14"/>
      <c r="AA162" s="14"/>
      <c r="AB162" s="165"/>
    </row>
    <row r="163" spans="1:28" x14ac:dyDescent="0.35">
      <c r="A163" s="187">
        <v>170.7</v>
      </c>
      <c r="B163" s="185" t="s">
        <v>162</v>
      </c>
      <c r="C163" s="189">
        <f t="shared" si="7"/>
        <v>2000</v>
      </c>
      <c r="D163" s="191">
        <f t="shared" si="8"/>
        <v>2001</v>
      </c>
      <c r="U163" s="12" t="s">
        <v>664</v>
      </c>
      <c r="V163" s="205">
        <v>1.5716000000000001</v>
      </c>
      <c r="W163" s="14"/>
      <c r="X163" s="14"/>
      <c r="Y163" s="14"/>
      <c r="Z163" s="14"/>
      <c r="AA163" s="14"/>
      <c r="AB163" s="165"/>
    </row>
    <row r="164" spans="1:28" x14ac:dyDescent="0.35">
      <c r="A164" s="187">
        <v>171.1</v>
      </c>
      <c r="B164" s="185" t="s">
        <v>165</v>
      </c>
      <c r="C164" s="189">
        <f t="shared" si="7"/>
        <v>2000</v>
      </c>
      <c r="D164" s="191">
        <f t="shared" si="8"/>
        <v>2001</v>
      </c>
      <c r="U164" s="12" t="s">
        <v>665</v>
      </c>
      <c r="V164" s="205">
        <v>1.4937</v>
      </c>
      <c r="W164" s="14"/>
      <c r="X164" s="14"/>
      <c r="Y164" s="14"/>
      <c r="Z164" s="14"/>
      <c r="AA164" s="14"/>
      <c r="AB164" s="165"/>
    </row>
    <row r="165" spans="1:28" x14ac:dyDescent="0.35">
      <c r="A165" s="187">
        <v>170.5</v>
      </c>
      <c r="B165" s="185" t="s">
        <v>167</v>
      </c>
      <c r="C165" s="189">
        <f t="shared" si="7"/>
        <v>2000</v>
      </c>
      <c r="D165" s="191">
        <f t="shared" si="8"/>
        <v>2001</v>
      </c>
      <c r="U165" s="12" t="s">
        <v>666</v>
      </c>
      <c r="V165" s="205">
        <v>1.4256</v>
      </c>
      <c r="W165" s="14"/>
      <c r="X165" s="14"/>
      <c r="Y165" s="14"/>
      <c r="Z165" s="14"/>
      <c r="AA165" s="14"/>
      <c r="AB165" s="165"/>
    </row>
    <row r="166" spans="1:28" x14ac:dyDescent="0.35">
      <c r="A166" s="187">
        <v>170.5</v>
      </c>
      <c r="B166" s="185" t="s">
        <v>171</v>
      </c>
      <c r="C166" s="189">
        <f t="shared" si="7"/>
        <v>2000</v>
      </c>
      <c r="D166" s="191">
        <f t="shared" si="8"/>
        <v>2001</v>
      </c>
      <c r="U166" s="12" t="s">
        <v>667</v>
      </c>
      <c r="V166" s="205">
        <v>1.43</v>
      </c>
      <c r="W166" s="14"/>
      <c r="X166" s="14"/>
      <c r="Y166" s="14"/>
      <c r="Z166" s="14"/>
      <c r="AA166" s="14"/>
      <c r="AB166" s="165"/>
    </row>
    <row r="167" spans="1:28" x14ac:dyDescent="0.35">
      <c r="A167" s="187">
        <v>171.7</v>
      </c>
      <c r="B167" s="185" t="s">
        <v>173</v>
      </c>
      <c r="C167" s="189">
        <f t="shared" si="7"/>
        <v>2000</v>
      </c>
      <c r="D167" s="191">
        <f t="shared" si="8"/>
        <v>2001</v>
      </c>
      <c r="U167" s="12" t="s">
        <v>668</v>
      </c>
      <c r="V167" s="205">
        <v>1.4334</v>
      </c>
      <c r="W167" s="14"/>
      <c r="X167" s="14"/>
      <c r="Y167" s="14"/>
      <c r="Z167" s="14"/>
      <c r="AA167" s="14"/>
      <c r="AB167" s="165"/>
    </row>
    <row r="168" spans="1:28" x14ac:dyDescent="0.35">
      <c r="A168" s="187">
        <v>171.6</v>
      </c>
      <c r="B168" s="185" t="s">
        <v>176</v>
      </c>
      <c r="C168" s="189">
        <f t="shared" si="7"/>
        <v>2000</v>
      </c>
      <c r="D168" s="191">
        <f t="shared" si="8"/>
        <v>2001</v>
      </c>
      <c r="U168" s="12" t="s">
        <v>669</v>
      </c>
      <c r="V168" s="205">
        <v>1.4708000000000001</v>
      </c>
      <c r="W168" s="14"/>
      <c r="X168" s="14"/>
      <c r="Y168" s="14"/>
      <c r="Z168" s="14"/>
      <c r="AA168" s="14"/>
      <c r="AB168" s="165"/>
    </row>
    <row r="169" spans="1:28" x14ac:dyDescent="0.35">
      <c r="A169" s="187">
        <v>172.1</v>
      </c>
      <c r="B169" s="185" t="s">
        <v>178</v>
      </c>
      <c r="C169" s="189">
        <f t="shared" si="7"/>
        <v>2000</v>
      </c>
      <c r="D169" s="191">
        <f t="shared" si="8"/>
        <v>2001</v>
      </c>
      <c r="U169" s="12" t="s">
        <v>670</v>
      </c>
      <c r="V169" s="205">
        <v>1.4992000000000001</v>
      </c>
      <c r="W169" s="14"/>
      <c r="X169" s="14"/>
      <c r="Y169" s="14"/>
      <c r="Z169" s="14"/>
      <c r="AA169" s="14"/>
      <c r="AB169" s="165"/>
    </row>
    <row r="170" spans="1:28" x14ac:dyDescent="0.35">
      <c r="A170" s="187">
        <v>172.2</v>
      </c>
      <c r="B170" s="185" t="s">
        <v>181</v>
      </c>
      <c r="C170" s="189">
        <f t="shared" si="7"/>
        <v>2000</v>
      </c>
      <c r="D170" s="191">
        <f t="shared" si="8"/>
        <v>2001</v>
      </c>
      <c r="U170" s="12" t="s">
        <v>671</v>
      </c>
      <c r="V170" s="205">
        <v>1.4877</v>
      </c>
      <c r="W170" s="14"/>
      <c r="X170" s="14"/>
      <c r="Y170" s="14"/>
      <c r="Z170" s="14"/>
      <c r="AA170" s="14"/>
      <c r="AB170" s="165"/>
    </row>
    <row r="171" spans="1:28" x14ac:dyDescent="0.35">
      <c r="A171" s="187">
        <v>171.1</v>
      </c>
      <c r="B171" s="185" t="s">
        <v>152</v>
      </c>
      <c r="C171" s="189">
        <f t="shared" si="7"/>
        <v>2001</v>
      </c>
      <c r="D171" s="191">
        <f t="shared" si="8"/>
        <v>2001</v>
      </c>
      <c r="U171" s="12" t="s">
        <v>672</v>
      </c>
      <c r="V171" s="205">
        <v>1.4388000000000001</v>
      </c>
      <c r="W171" s="14"/>
      <c r="X171" s="14"/>
      <c r="Y171" s="14"/>
      <c r="Z171" s="14"/>
      <c r="AA171" s="14"/>
      <c r="AB171" s="165"/>
    </row>
    <row r="172" spans="1:28" x14ac:dyDescent="0.35">
      <c r="A172" s="187">
        <v>172</v>
      </c>
      <c r="B172" s="185" t="s">
        <v>154</v>
      </c>
      <c r="C172" s="189">
        <f t="shared" si="7"/>
        <v>2001</v>
      </c>
      <c r="D172" s="191">
        <f t="shared" si="8"/>
        <v>2001</v>
      </c>
      <c r="U172" s="12" t="s">
        <v>673</v>
      </c>
      <c r="V172" s="205">
        <v>1.4423999999999999</v>
      </c>
      <c r="W172" s="14"/>
      <c r="X172" s="14"/>
      <c r="Y172" s="14"/>
      <c r="Z172" s="14"/>
      <c r="AA172" s="14"/>
      <c r="AB172" s="165"/>
    </row>
    <row r="173" spans="1:28" x14ac:dyDescent="0.35">
      <c r="A173" s="187">
        <v>172.2</v>
      </c>
      <c r="B173" s="185" t="s">
        <v>157</v>
      </c>
      <c r="C173" s="189">
        <f t="shared" si="7"/>
        <v>2001</v>
      </c>
      <c r="D173" s="191">
        <f t="shared" si="8"/>
        <v>2001</v>
      </c>
      <c r="U173" s="12" t="s">
        <v>674</v>
      </c>
      <c r="V173" s="205">
        <v>1.4743999999999999</v>
      </c>
      <c r="W173" s="14"/>
      <c r="X173" s="14"/>
      <c r="Y173" s="14"/>
      <c r="Z173" s="14"/>
      <c r="AA173" s="14"/>
      <c r="AB173" s="165"/>
    </row>
    <row r="174" spans="1:28" x14ac:dyDescent="0.35">
      <c r="A174" s="187">
        <v>173.1</v>
      </c>
      <c r="B174" s="185" t="s">
        <v>159</v>
      </c>
      <c r="C174" s="189">
        <f t="shared" si="7"/>
        <v>2001</v>
      </c>
      <c r="D174" s="191">
        <f t="shared" si="8"/>
        <v>2002</v>
      </c>
      <c r="U174" s="12" t="s">
        <v>675</v>
      </c>
      <c r="V174" s="205">
        <v>1.4635</v>
      </c>
      <c r="W174" s="14"/>
      <c r="X174" s="14"/>
      <c r="Y174" s="14"/>
      <c r="Z174" s="14"/>
      <c r="AA174" s="14"/>
      <c r="AB174" s="165"/>
    </row>
    <row r="175" spans="1:28" x14ac:dyDescent="0.35">
      <c r="A175" s="187">
        <v>174.2</v>
      </c>
      <c r="B175" s="185" t="s">
        <v>162</v>
      </c>
      <c r="C175" s="189">
        <f t="shared" si="7"/>
        <v>2001</v>
      </c>
      <c r="D175" s="191">
        <f t="shared" si="8"/>
        <v>2002</v>
      </c>
      <c r="U175" s="12" t="s">
        <v>676</v>
      </c>
      <c r="V175" s="205">
        <v>1.4705999999999999</v>
      </c>
      <c r="W175" s="14"/>
      <c r="X175" s="14"/>
      <c r="Y175" s="14"/>
      <c r="Z175" s="14"/>
      <c r="AA175" s="14"/>
      <c r="AB175" s="165"/>
    </row>
    <row r="176" spans="1:28" x14ac:dyDescent="0.35">
      <c r="A176" s="187">
        <v>174.4</v>
      </c>
      <c r="B176" s="185" t="s">
        <v>165</v>
      </c>
      <c r="C176" s="189">
        <f t="shared" si="7"/>
        <v>2001</v>
      </c>
      <c r="D176" s="191">
        <f t="shared" si="8"/>
        <v>2002</v>
      </c>
      <c r="U176" s="12" t="s">
        <v>677</v>
      </c>
      <c r="V176" s="205">
        <v>1.4570000000000001</v>
      </c>
      <c r="W176" s="14"/>
      <c r="X176" s="14"/>
      <c r="Y176" s="14"/>
      <c r="Z176" s="14"/>
      <c r="AA176" s="14"/>
      <c r="AB176" s="165"/>
    </row>
    <row r="177" spans="1:28" x14ac:dyDescent="0.35">
      <c r="A177" s="187">
        <v>173.3</v>
      </c>
      <c r="B177" s="185" t="s">
        <v>167</v>
      </c>
      <c r="C177" s="189">
        <f t="shared" si="7"/>
        <v>2001</v>
      </c>
      <c r="D177" s="191">
        <f t="shared" si="8"/>
        <v>2002</v>
      </c>
      <c r="U177" s="12" t="s">
        <v>678</v>
      </c>
      <c r="V177" s="205">
        <v>1.454</v>
      </c>
      <c r="W177" s="14"/>
      <c r="X177" s="14"/>
      <c r="Y177" s="14"/>
      <c r="Z177" s="14"/>
      <c r="AA177" s="14"/>
      <c r="AB177" s="165"/>
    </row>
    <row r="178" spans="1:28" x14ac:dyDescent="0.35">
      <c r="A178" s="187">
        <v>174</v>
      </c>
      <c r="B178" s="185" t="s">
        <v>171</v>
      </c>
      <c r="C178" s="189">
        <f t="shared" si="7"/>
        <v>2001</v>
      </c>
      <c r="D178" s="191">
        <f t="shared" si="8"/>
        <v>2002</v>
      </c>
      <c r="U178" s="12" t="s">
        <v>679</v>
      </c>
      <c r="V178" s="205">
        <v>1.4713000000000001</v>
      </c>
      <c r="W178" s="14"/>
      <c r="X178" s="14"/>
      <c r="Y178" s="14"/>
      <c r="Z178" s="14"/>
      <c r="AA178" s="14"/>
      <c r="AB178" s="165"/>
    </row>
    <row r="179" spans="1:28" x14ac:dyDescent="0.35">
      <c r="A179" s="187">
        <v>174.6</v>
      </c>
      <c r="B179" s="185" t="s">
        <v>173</v>
      </c>
      <c r="C179" s="189">
        <f t="shared" si="7"/>
        <v>2001</v>
      </c>
      <c r="D179" s="191">
        <f t="shared" si="8"/>
        <v>2002</v>
      </c>
      <c r="U179" s="12" t="s">
        <v>680</v>
      </c>
      <c r="V179" s="205">
        <v>1.4854000000000001</v>
      </c>
      <c r="W179" s="14"/>
      <c r="X179" s="14"/>
      <c r="Y179" s="14"/>
      <c r="Z179" s="14"/>
      <c r="AA179" s="14"/>
      <c r="AB179" s="165"/>
    </row>
    <row r="180" spans="1:28" x14ac:dyDescent="0.35">
      <c r="A180" s="187">
        <v>174.3</v>
      </c>
      <c r="B180" s="185" t="s">
        <v>176</v>
      </c>
      <c r="C180" s="189">
        <f t="shared" si="7"/>
        <v>2001</v>
      </c>
      <c r="D180" s="191">
        <f t="shared" si="8"/>
        <v>2002</v>
      </c>
      <c r="U180" s="12" t="s">
        <v>681</v>
      </c>
      <c r="V180" s="205">
        <v>1.4916</v>
      </c>
      <c r="W180" s="14"/>
      <c r="X180" s="14"/>
      <c r="Y180" s="14"/>
      <c r="Z180" s="14"/>
      <c r="AA180" s="14"/>
      <c r="AB180" s="165"/>
    </row>
    <row r="181" spans="1:28" x14ac:dyDescent="0.35">
      <c r="A181" s="187">
        <v>173.6</v>
      </c>
      <c r="B181" s="185" t="s">
        <v>178</v>
      </c>
      <c r="C181" s="189">
        <f t="shared" si="7"/>
        <v>2001</v>
      </c>
      <c r="D181" s="191">
        <f t="shared" si="8"/>
        <v>2002</v>
      </c>
      <c r="U181" s="12" t="s">
        <v>682</v>
      </c>
      <c r="V181" s="205">
        <v>1.4732000000000001</v>
      </c>
      <c r="W181" s="14"/>
      <c r="X181" s="14"/>
      <c r="Y181" s="14"/>
      <c r="Z181" s="14"/>
      <c r="AA181" s="14"/>
      <c r="AB181" s="165"/>
    </row>
    <row r="182" spans="1:28" x14ac:dyDescent="0.35">
      <c r="A182" s="187">
        <v>173.4</v>
      </c>
      <c r="B182" s="185" t="s">
        <v>181</v>
      </c>
      <c r="C182" s="189">
        <f t="shared" si="7"/>
        <v>2001</v>
      </c>
      <c r="D182" s="191">
        <f t="shared" si="8"/>
        <v>2002</v>
      </c>
      <c r="U182" s="12" t="s">
        <v>683</v>
      </c>
      <c r="V182" s="205">
        <v>1.4704999999999999</v>
      </c>
      <c r="W182" s="14"/>
      <c r="X182" s="14"/>
      <c r="Y182" s="14"/>
      <c r="Z182" s="14"/>
      <c r="AA182" s="14"/>
      <c r="AB182" s="165"/>
    </row>
    <row r="183" spans="1:28" x14ac:dyDescent="0.35">
      <c r="A183" s="187">
        <v>173.3</v>
      </c>
      <c r="B183" s="185" t="s">
        <v>152</v>
      </c>
      <c r="C183" s="189">
        <f t="shared" si="7"/>
        <v>2002</v>
      </c>
      <c r="D183" s="191">
        <f t="shared" si="8"/>
        <v>2002</v>
      </c>
      <c r="U183" s="12" t="s">
        <v>684</v>
      </c>
      <c r="V183" s="205">
        <v>1.4129</v>
      </c>
      <c r="W183" s="14"/>
      <c r="X183" s="14"/>
      <c r="Y183" s="14"/>
      <c r="Z183" s="14"/>
      <c r="AA183" s="14"/>
      <c r="AB183" s="165"/>
    </row>
    <row r="184" spans="1:28" x14ac:dyDescent="0.35">
      <c r="A184" s="187">
        <v>173.8</v>
      </c>
      <c r="B184" s="185" t="s">
        <v>154</v>
      </c>
      <c r="C184" s="189">
        <f t="shared" si="7"/>
        <v>2002</v>
      </c>
      <c r="D184" s="191">
        <f t="shared" si="8"/>
        <v>2002</v>
      </c>
      <c r="U184" s="12" t="s">
        <v>685</v>
      </c>
      <c r="V184" s="205">
        <v>1.3211999999999999</v>
      </c>
      <c r="W184" s="14"/>
      <c r="X184" s="14"/>
      <c r="Y184" s="14"/>
      <c r="Z184" s="14"/>
      <c r="AA184" s="14"/>
      <c r="AB184" s="165"/>
    </row>
    <row r="185" spans="1:28" x14ac:dyDescent="0.35">
      <c r="A185" s="187">
        <v>174.5</v>
      </c>
      <c r="B185" s="185" t="s">
        <v>157</v>
      </c>
      <c r="C185" s="189">
        <f t="shared" si="7"/>
        <v>2002</v>
      </c>
      <c r="D185" s="191">
        <f t="shared" si="8"/>
        <v>2002</v>
      </c>
      <c r="U185" s="12" t="s">
        <v>686</v>
      </c>
      <c r="V185" s="205">
        <v>1.2615000000000001</v>
      </c>
      <c r="W185" s="14"/>
      <c r="X185" s="14"/>
      <c r="Y185" s="14"/>
      <c r="Z185" s="14"/>
      <c r="AA185" s="14"/>
      <c r="AB185" s="165"/>
    </row>
    <row r="186" spans="1:28" x14ac:dyDescent="0.35">
      <c r="A186" s="187">
        <v>175.7</v>
      </c>
      <c r="B186" s="185" t="s">
        <v>159</v>
      </c>
      <c r="C186" s="189">
        <f t="shared" si="7"/>
        <v>2002</v>
      </c>
      <c r="D186" s="191">
        <f t="shared" si="8"/>
        <v>2003</v>
      </c>
      <c r="U186" s="12" t="s">
        <v>687</v>
      </c>
      <c r="V186" s="205">
        <v>1.2585999999999999</v>
      </c>
      <c r="W186" s="14"/>
      <c r="X186" s="14"/>
      <c r="Y186" s="14"/>
      <c r="Z186" s="14"/>
      <c r="AA186" s="14"/>
      <c r="AB186" s="165"/>
    </row>
    <row r="187" spans="1:28" x14ac:dyDescent="0.35">
      <c r="A187" s="187">
        <v>176.2</v>
      </c>
      <c r="B187" s="185" t="s">
        <v>162</v>
      </c>
      <c r="C187" s="189">
        <f t="shared" si="7"/>
        <v>2002</v>
      </c>
      <c r="D187" s="191">
        <f t="shared" si="8"/>
        <v>2003</v>
      </c>
      <c r="U187" s="12" t="s">
        <v>688</v>
      </c>
      <c r="V187" s="205">
        <v>1.1957</v>
      </c>
      <c r="W187" s="14"/>
      <c r="X187" s="14"/>
      <c r="Y187" s="14"/>
      <c r="Z187" s="14"/>
      <c r="AA187" s="14"/>
      <c r="AB187" s="165"/>
    </row>
    <row r="188" spans="1:28" x14ac:dyDescent="0.35">
      <c r="A188" s="187">
        <v>176.2</v>
      </c>
      <c r="B188" s="185" t="s">
        <v>165</v>
      </c>
      <c r="C188" s="189">
        <f t="shared" si="7"/>
        <v>2002</v>
      </c>
      <c r="D188" s="191">
        <f t="shared" si="8"/>
        <v>2003</v>
      </c>
      <c r="U188" s="12" t="s">
        <v>689</v>
      </c>
      <c r="V188" s="205">
        <v>1.101</v>
      </c>
      <c r="W188" s="14"/>
      <c r="X188" s="14"/>
      <c r="Y188" s="14"/>
      <c r="Z188" s="14"/>
      <c r="AA188" s="14"/>
      <c r="AB188" s="165"/>
    </row>
    <row r="189" spans="1:28" x14ac:dyDescent="0.35">
      <c r="A189" s="187">
        <v>175.9</v>
      </c>
      <c r="B189" s="185" t="s">
        <v>167</v>
      </c>
      <c r="C189" s="189">
        <f t="shared" si="7"/>
        <v>2002</v>
      </c>
      <c r="D189" s="191">
        <f t="shared" si="8"/>
        <v>2003</v>
      </c>
      <c r="U189" s="12" t="s">
        <v>690</v>
      </c>
      <c r="V189" s="205">
        <v>1.1389</v>
      </c>
      <c r="W189" s="14"/>
      <c r="X189" s="14"/>
      <c r="Y189" s="14"/>
      <c r="Z189" s="14"/>
      <c r="AA189" s="14"/>
      <c r="AB189" s="165"/>
    </row>
    <row r="190" spans="1:28" x14ac:dyDescent="0.35">
      <c r="A190" s="187">
        <v>176.4</v>
      </c>
      <c r="B190" s="185" t="s">
        <v>171</v>
      </c>
      <c r="C190" s="189">
        <f t="shared" si="7"/>
        <v>2002</v>
      </c>
      <c r="D190" s="191">
        <f t="shared" si="8"/>
        <v>2003</v>
      </c>
      <c r="U190" s="12" t="s">
        <v>691</v>
      </c>
      <c r="V190" s="205">
        <v>1.1475</v>
      </c>
      <c r="W190" s="14"/>
      <c r="X190" s="14"/>
      <c r="Y190" s="14"/>
      <c r="Z190" s="14"/>
      <c r="AA190" s="14"/>
      <c r="AB190" s="165"/>
    </row>
    <row r="191" spans="1:28" x14ac:dyDescent="0.35">
      <c r="A191" s="187">
        <v>177.6</v>
      </c>
      <c r="B191" s="185" t="s">
        <v>173</v>
      </c>
      <c r="C191" s="189">
        <f t="shared" si="7"/>
        <v>2002</v>
      </c>
      <c r="D191" s="191">
        <f t="shared" si="8"/>
        <v>2003</v>
      </c>
      <c r="U191" s="12" t="s">
        <v>692</v>
      </c>
      <c r="V191" s="205">
        <v>1.1057999999999999</v>
      </c>
      <c r="W191" s="14"/>
      <c r="X191" s="14"/>
      <c r="Y191" s="14"/>
      <c r="Z191" s="14"/>
      <c r="AA191" s="14"/>
      <c r="AB191" s="165"/>
    </row>
    <row r="192" spans="1:28" x14ac:dyDescent="0.35">
      <c r="A192" s="187">
        <v>177.9</v>
      </c>
      <c r="B192" s="185" t="s">
        <v>176</v>
      </c>
      <c r="C192" s="189">
        <f t="shared" si="7"/>
        <v>2002</v>
      </c>
      <c r="D192" s="191">
        <f t="shared" si="8"/>
        <v>2003</v>
      </c>
      <c r="U192" s="12" t="s">
        <v>693</v>
      </c>
      <c r="V192" s="205">
        <v>1.1269</v>
      </c>
      <c r="W192" s="14"/>
      <c r="X192" s="14"/>
      <c r="Y192" s="14"/>
      <c r="Z192" s="14"/>
      <c r="AA192" s="14"/>
      <c r="AB192" s="165"/>
    </row>
    <row r="193" spans="1:28" x14ac:dyDescent="0.35">
      <c r="A193" s="187">
        <v>178.2</v>
      </c>
      <c r="B193" s="185" t="s">
        <v>178</v>
      </c>
      <c r="C193" s="189">
        <f t="shared" si="7"/>
        <v>2002</v>
      </c>
      <c r="D193" s="191">
        <f t="shared" si="8"/>
        <v>2003</v>
      </c>
      <c r="U193" s="12" t="s">
        <v>694</v>
      </c>
      <c r="V193" s="205">
        <v>1.1747000000000001</v>
      </c>
      <c r="W193" s="14"/>
      <c r="X193" s="14"/>
      <c r="Y193" s="14"/>
      <c r="Z193" s="14"/>
      <c r="AA193" s="14"/>
      <c r="AB193" s="165"/>
    </row>
    <row r="194" spans="1:28" x14ac:dyDescent="0.35">
      <c r="A194" s="187">
        <v>178.5</v>
      </c>
      <c r="B194" s="185" t="s">
        <v>181</v>
      </c>
      <c r="C194" s="189">
        <f t="shared" si="7"/>
        <v>2002</v>
      </c>
      <c r="D194" s="191">
        <f t="shared" si="8"/>
        <v>2003</v>
      </c>
      <c r="U194" s="12" t="s">
        <v>695</v>
      </c>
      <c r="V194" s="205">
        <v>1.1995</v>
      </c>
      <c r="W194" s="14"/>
      <c r="X194" s="14"/>
      <c r="Y194" s="14"/>
      <c r="Z194" s="14"/>
      <c r="AA194" s="14"/>
      <c r="AB194" s="165"/>
    </row>
    <row r="195" spans="1:28" x14ac:dyDescent="0.35">
      <c r="A195" s="187">
        <v>178.4</v>
      </c>
      <c r="B195" s="185" t="s">
        <v>152</v>
      </c>
      <c r="C195" s="189">
        <f t="shared" si="7"/>
        <v>2003</v>
      </c>
      <c r="D195" s="191">
        <f t="shared" si="8"/>
        <v>2003</v>
      </c>
      <c r="U195" s="12" t="s">
        <v>696</v>
      </c>
      <c r="V195" s="205">
        <v>1.1638999999999999</v>
      </c>
      <c r="W195" s="14"/>
      <c r="X195" s="14"/>
      <c r="Y195" s="14"/>
      <c r="Z195" s="14"/>
      <c r="AA195" s="14"/>
      <c r="AB195" s="165"/>
    </row>
    <row r="196" spans="1:28" x14ac:dyDescent="0.35">
      <c r="A196" s="187">
        <v>179.3</v>
      </c>
      <c r="B196" s="185" t="s">
        <v>154</v>
      </c>
      <c r="C196" s="189">
        <f t="shared" si="7"/>
        <v>2003</v>
      </c>
      <c r="D196" s="191">
        <f t="shared" si="8"/>
        <v>2003</v>
      </c>
      <c r="U196" s="12" t="s">
        <v>697</v>
      </c>
      <c r="V196" s="205">
        <v>1.171</v>
      </c>
      <c r="W196" s="14"/>
      <c r="X196" s="14"/>
      <c r="Y196" s="14"/>
      <c r="Z196" s="14"/>
      <c r="AA196" s="14"/>
      <c r="AB196" s="165"/>
    </row>
    <row r="197" spans="1:28" x14ac:dyDescent="0.35">
      <c r="A197" s="187">
        <v>179.9</v>
      </c>
      <c r="B197" s="185" t="s">
        <v>157</v>
      </c>
      <c r="C197" s="189">
        <f t="shared" ref="C197:C260" si="9">IF(B196="December",C196+1,C196)</f>
        <v>2003</v>
      </c>
      <c r="D197" s="191">
        <f t="shared" ref="D197:D260" si="10">IF(B196="March",D196+1,D196)</f>
        <v>2003</v>
      </c>
      <c r="U197" s="12" t="s">
        <v>698</v>
      </c>
      <c r="V197" s="205">
        <v>1.1329</v>
      </c>
      <c r="W197" s="14"/>
      <c r="X197" s="14"/>
      <c r="Y197" s="14"/>
      <c r="Z197" s="14"/>
      <c r="AA197" s="14"/>
      <c r="AB197" s="165"/>
    </row>
    <row r="198" spans="1:28" x14ac:dyDescent="0.35">
      <c r="A198" s="187">
        <v>181.2</v>
      </c>
      <c r="B198" s="185" t="s">
        <v>159</v>
      </c>
      <c r="C198" s="189">
        <f t="shared" si="9"/>
        <v>2003</v>
      </c>
      <c r="D198" s="191">
        <f t="shared" si="10"/>
        <v>2004</v>
      </c>
      <c r="U198" s="12" t="s">
        <v>699</v>
      </c>
      <c r="V198" s="205">
        <v>1.1402000000000001</v>
      </c>
      <c r="W198" s="14"/>
      <c r="X198" s="14"/>
      <c r="Y198" s="14"/>
      <c r="Z198" s="14"/>
      <c r="AA198" s="14"/>
      <c r="AB198" s="165"/>
    </row>
    <row r="199" spans="1:28" x14ac:dyDescent="0.35">
      <c r="A199" s="187">
        <v>181.5</v>
      </c>
      <c r="B199" s="185" t="s">
        <v>162</v>
      </c>
      <c r="C199" s="189">
        <f t="shared" si="9"/>
        <v>2003</v>
      </c>
      <c r="D199" s="191">
        <f t="shared" si="10"/>
        <v>2004</v>
      </c>
      <c r="U199" s="12" t="s">
        <v>700</v>
      </c>
      <c r="V199" s="205">
        <v>1.1659999999999999</v>
      </c>
      <c r="W199" s="14"/>
      <c r="X199" s="14"/>
      <c r="Y199" s="14"/>
      <c r="Z199" s="14"/>
      <c r="AA199" s="14"/>
      <c r="AB199" s="165"/>
    </row>
    <row r="200" spans="1:28" x14ac:dyDescent="0.35">
      <c r="A200" s="187">
        <v>181.3</v>
      </c>
      <c r="B200" s="185" t="s">
        <v>165</v>
      </c>
      <c r="C200" s="189">
        <f t="shared" si="9"/>
        <v>2003</v>
      </c>
      <c r="D200" s="191">
        <f t="shared" si="10"/>
        <v>2004</v>
      </c>
      <c r="U200" s="12" t="s">
        <v>701</v>
      </c>
      <c r="V200" s="205">
        <v>1.1984999999999999</v>
      </c>
      <c r="W200" s="14"/>
      <c r="X200" s="14"/>
      <c r="Y200" s="14"/>
      <c r="Z200" s="14"/>
      <c r="AA200" s="14"/>
      <c r="AB200" s="165"/>
    </row>
    <row r="201" spans="1:28" x14ac:dyDescent="0.35">
      <c r="A201" s="187">
        <v>181.3</v>
      </c>
      <c r="B201" s="185" t="s">
        <v>167</v>
      </c>
      <c r="C201" s="189">
        <f t="shared" si="9"/>
        <v>2003</v>
      </c>
      <c r="D201" s="191">
        <f t="shared" si="10"/>
        <v>2004</v>
      </c>
      <c r="U201" s="12" t="s">
        <v>702</v>
      </c>
      <c r="V201" s="205">
        <v>1.2343999999999999</v>
      </c>
      <c r="W201" s="14"/>
      <c r="X201" s="14"/>
      <c r="Y201" s="14"/>
      <c r="Z201" s="14"/>
      <c r="AA201" s="14"/>
      <c r="AB201" s="165"/>
    </row>
    <row r="202" spans="1:28" x14ac:dyDescent="0.35">
      <c r="A202" s="187">
        <v>181.6</v>
      </c>
      <c r="B202" s="185" t="s">
        <v>171</v>
      </c>
      <c r="C202" s="189">
        <f t="shared" si="9"/>
        <v>2003</v>
      </c>
      <c r="D202" s="191">
        <f t="shared" si="10"/>
        <v>2004</v>
      </c>
      <c r="U202" s="12" t="s">
        <v>703</v>
      </c>
      <c r="V202" s="205">
        <v>1.2633000000000001</v>
      </c>
      <c r="W202" s="14"/>
      <c r="X202" s="14"/>
      <c r="Y202" s="14"/>
      <c r="Z202" s="14"/>
      <c r="AA202" s="14"/>
      <c r="AB202" s="165"/>
    </row>
    <row r="203" spans="1:28" x14ac:dyDescent="0.35">
      <c r="A203" s="187">
        <v>182.5</v>
      </c>
      <c r="B203" s="185" t="s">
        <v>173</v>
      </c>
      <c r="C203" s="189">
        <f t="shared" si="9"/>
        <v>2003</v>
      </c>
      <c r="D203" s="191">
        <f t="shared" si="10"/>
        <v>2004</v>
      </c>
      <c r="U203" s="12" t="s">
        <v>704</v>
      </c>
      <c r="V203" s="205">
        <v>1.2383999999999999</v>
      </c>
      <c r="W203" s="14"/>
      <c r="X203" s="14"/>
      <c r="Y203" s="14"/>
      <c r="Z203" s="14"/>
      <c r="AA203" s="14"/>
      <c r="AB203" s="165"/>
    </row>
    <row r="204" spans="1:28" x14ac:dyDescent="0.35">
      <c r="A204" s="187">
        <v>182.6</v>
      </c>
      <c r="B204" s="185" t="s">
        <v>176</v>
      </c>
      <c r="C204" s="189">
        <f t="shared" si="9"/>
        <v>2003</v>
      </c>
      <c r="D204" s="191">
        <f t="shared" si="10"/>
        <v>2004</v>
      </c>
      <c r="U204" s="12" t="s">
        <v>705</v>
      </c>
      <c r="V204" s="205">
        <v>1.1751</v>
      </c>
      <c r="W204" s="14"/>
      <c r="X204" s="14"/>
      <c r="Y204" s="14"/>
      <c r="Z204" s="14"/>
      <c r="AA204" s="14"/>
      <c r="AB204" s="165"/>
    </row>
    <row r="205" spans="1:28" x14ac:dyDescent="0.35">
      <c r="A205" s="187">
        <v>182.7</v>
      </c>
      <c r="B205" s="185" t="s">
        <v>178</v>
      </c>
      <c r="C205" s="189">
        <f t="shared" si="9"/>
        <v>2003</v>
      </c>
      <c r="D205" s="191">
        <f t="shared" si="10"/>
        <v>2004</v>
      </c>
      <c r="U205" s="12" t="s">
        <v>706</v>
      </c>
      <c r="V205" s="205">
        <v>1.1756</v>
      </c>
      <c r="W205" s="14"/>
      <c r="X205" s="14"/>
      <c r="Y205" s="14"/>
      <c r="Z205" s="14"/>
      <c r="AA205" s="14"/>
      <c r="AB205" s="165"/>
    </row>
    <row r="206" spans="1:28" x14ac:dyDescent="0.35">
      <c r="A206" s="187">
        <v>183.5</v>
      </c>
      <c r="B206" s="185" t="s">
        <v>181</v>
      </c>
      <c r="C206" s="189">
        <f t="shared" si="9"/>
        <v>2003</v>
      </c>
      <c r="D206" s="191">
        <f t="shared" si="10"/>
        <v>2004</v>
      </c>
      <c r="U206" s="12" t="s">
        <v>707</v>
      </c>
      <c r="V206" s="205">
        <v>1.1708000000000001</v>
      </c>
      <c r="W206" s="14"/>
      <c r="X206" s="14"/>
      <c r="Y206" s="14"/>
      <c r="Z206" s="14"/>
      <c r="AA206" s="14"/>
      <c r="AB206" s="165"/>
    </row>
    <row r="207" spans="1:28" x14ac:dyDescent="0.35">
      <c r="A207" s="187">
        <v>183.1</v>
      </c>
      <c r="B207" s="185" t="s">
        <v>152</v>
      </c>
      <c r="C207" s="189">
        <f t="shared" si="9"/>
        <v>2004</v>
      </c>
      <c r="D207" s="191">
        <f t="shared" si="10"/>
        <v>2004</v>
      </c>
      <c r="U207" s="12" t="s">
        <v>708</v>
      </c>
      <c r="V207" s="205">
        <v>1.1890000000000001</v>
      </c>
      <c r="W207" s="14"/>
      <c r="X207" s="14"/>
      <c r="Y207" s="14"/>
      <c r="Z207" s="14"/>
      <c r="AA207" s="14"/>
      <c r="AB207" s="165"/>
    </row>
    <row r="208" spans="1:28" x14ac:dyDescent="0.35">
      <c r="A208" s="187">
        <v>183.8</v>
      </c>
      <c r="B208" s="185" t="s">
        <v>154</v>
      </c>
      <c r="C208" s="189">
        <f t="shared" si="9"/>
        <v>2004</v>
      </c>
      <c r="D208" s="191">
        <f t="shared" si="10"/>
        <v>2004</v>
      </c>
      <c r="U208" s="12" t="s">
        <v>709</v>
      </c>
      <c r="V208" s="205">
        <v>1.2079</v>
      </c>
      <c r="W208" s="14"/>
      <c r="X208" s="14"/>
      <c r="Y208" s="14"/>
      <c r="Z208" s="14"/>
      <c r="AA208" s="14"/>
      <c r="AB208" s="165"/>
    </row>
    <row r="209" spans="1:28" x14ac:dyDescent="0.35">
      <c r="A209" s="187">
        <v>184.6</v>
      </c>
      <c r="B209" s="185" t="s">
        <v>157</v>
      </c>
      <c r="C209" s="189">
        <f t="shared" si="9"/>
        <v>2004</v>
      </c>
      <c r="D209" s="191">
        <f t="shared" si="10"/>
        <v>2004</v>
      </c>
      <c r="U209" s="12" t="s">
        <v>710</v>
      </c>
      <c r="V209" s="205">
        <v>1.2278</v>
      </c>
      <c r="W209" s="14"/>
      <c r="X209" s="14"/>
      <c r="Y209" s="14"/>
      <c r="Z209" s="14"/>
      <c r="AA209" s="14"/>
      <c r="AB209" s="165"/>
    </row>
    <row r="210" spans="1:28" x14ac:dyDescent="0.35">
      <c r="A210" s="187">
        <v>185.7</v>
      </c>
      <c r="B210" s="185" t="s">
        <v>159</v>
      </c>
      <c r="C210" s="189">
        <f t="shared" si="9"/>
        <v>2004</v>
      </c>
      <c r="D210" s="191">
        <f t="shared" si="10"/>
        <v>2005</v>
      </c>
      <c r="U210" s="12" t="s">
        <v>711</v>
      </c>
      <c r="V210" s="205">
        <v>1.2599</v>
      </c>
      <c r="W210" s="14"/>
      <c r="X210" s="14"/>
      <c r="Y210" s="14"/>
      <c r="Z210" s="14"/>
      <c r="AA210" s="14"/>
      <c r="AB210" s="165"/>
    </row>
    <row r="211" spans="1:28" x14ac:dyDescent="0.35">
      <c r="A211" s="187">
        <v>186.5</v>
      </c>
      <c r="B211" s="185" t="s">
        <v>162</v>
      </c>
      <c r="C211" s="189">
        <f t="shared" si="9"/>
        <v>2004</v>
      </c>
      <c r="D211" s="191">
        <f t="shared" si="10"/>
        <v>2005</v>
      </c>
      <c r="U211" s="12" t="s">
        <v>712</v>
      </c>
      <c r="V211" s="205">
        <v>1.2670999999999999</v>
      </c>
      <c r="W211" s="14"/>
      <c r="X211" s="14"/>
      <c r="Y211" s="14"/>
      <c r="Z211" s="14"/>
      <c r="AA211" s="14"/>
      <c r="AB211" s="165"/>
    </row>
    <row r="212" spans="1:28" x14ac:dyDescent="0.35">
      <c r="A212" s="187">
        <v>186.8</v>
      </c>
      <c r="B212" s="185" t="s">
        <v>165</v>
      </c>
      <c r="C212" s="189">
        <f t="shared" si="9"/>
        <v>2004</v>
      </c>
      <c r="D212" s="191">
        <f t="shared" si="10"/>
        <v>2005</v>
      </c>
      <c r="U212" s="12" t="s">
        <v>713</v>
      </c>
      <c r="V212" s="205">
        <v>1.3463000000000001</v>
      </c>
      <c r="W212" s="14"/>
      <c r="X212" s="14"/>
      <c r="Y212" s="14"/>
      <c r="Z212" s="14"/>
      <c r="AA212" s="14"/>
      <c r="AB212" s="165"/>
    </row>
    <row r="213" spans="1:28" x14ac:dyDescent="0.35">
      <c r="A213" s="187">
        <v>186.8</v>
      </c>
      <c r="B213" s="185" t="s">
        <v>167</v>
      </c>
      <c r="C213" s="189">
        <f t="shared" si="9"/>
        <v>2004</v>
      </c>
      <c r="D213" s="191">
        <f t="shared" si="10"/>
        <v>2005</v>
      </c>
      <c r="U213" s="12" t="s">
        <v>714</v>
      </c>
      <c r="V213" s="205">
        <v>1.3863000000000001</v>
      </c>
      <c r="W213" s="14"/>
      <c r="X213" s="14"/>
      <c r="Y213" s="14"/>
      <c r="Z213" s="14"/>
      <c r="AA213" s="14"/>
      <c r="AB213" s="165"/>
    </row>
    <row r="214" spans="1:28" x14ac:dyDescent="0.35">
      <c r="A214" s="187">
        <v>187.4</v>
      </c>
      <c r="B214" s="185" t="s">
        <v>171</v>
      </c>
      <c r="C214" s="189">
        <f t="shared" si="9"/>
        <v>2004</v>
      </c>
      <c r="D214" s="191">
        <f t="shared" si="10"/>
        <v>2005</v>
      </c>
      <c r="U214" s="12" t="s">
        <v>715</v>
      </c>
      <c r="V214" s="205">
        <v>1.3936999999999999</v>
      </c>
      <c r="W214" s="14"/>
      <c r="X214" s="14"/>
      <c r="Y214" s="14"/>
      <c r="Z214" s="14"/>
      <c r="AA214" s="14"/>
      <c r="AB214" s="165"/>
    </row>
    <row r="215" spans="1:28" x14ac:dyDescent="0.35">
      <c r="A215" s="187">
        <v>188.1</v>
      </c>
      <c r="B215" s="185" t="s">
        <v>173</v>
      </c>
      <c r="C215" s="189">
        <f t="shared" si="9"/>
        <v>2004</v>
      </c>
      <c r="D215" s="191">
        <f t="shared" si="10"/>
        <v>2005</v>
      </c>
      <c r="U215" s="12" t="s">
        <v>716</v>
      </c>
      <c r="V215" s="205">
        <v>1.3862000000000001</v>
      </c>
      <c r="W215" s="14"/>
      <c r="X215" s="14"/>
      <c r="Y215" s="14"/>
      <c r="Z215" s="14"/>
      <c r="AA215" s="14"/>
      <c r="AB215" s="165"/>
    </row>
    <row r="216" spans="1:28" x14ac:dyDescent="0.35">
      <c r="A216" s="187">
        <v>188.6</v>
      </c>
      <c r="B216" s="185" t="s">
        <v>176</v>
      </c>
      <c r="C216" s="189">
        <f t="shared" si="9"/>
        <v>2004</v>
      </c>
      <c r="D216" s="191">
        <f t="shared" si="10"/>
        <v>2005</v>
      </c>
      <c r="U216" s="12" t="s">
        <v>717</v>
      </c>
      <c r="V216" s="205">
        <v>1.2981</v>
      </c>
      <c r="W216" s="14"/>
      <c r="X216" s="14"/>
      <c r="Y216" s="14"/>
      <c r="Z216" s="14"/>
      <c r="AA216" s="14"/>
      <c r="AB216" s="165"/>
    </row>
    <row r="217" spans="1:28" x14ac:dyDescent="0.35">
      <c r="A217" s="187">
        <v>189</v>
      </c>
      <c r="B217" s="185" t="s">
        <v>178</v>
      </c>
      <c r="C217" s="189">
        <f t="shared" si="9"/>
        <v>2004</v>
      </c>
      <c r="D217" s="191">
        <f t="shared" si="10"/>
        <v>2005</v>
      </c>
      <c r="U217" s="12" t="s">
        <v>718</v>
      </c>
      <c r="V217" s="205">
        <v>1.2702</v>
      </c>
      <c r="W217" s="14"/>
      <c r="X217" s="14"/>
      <c r="Y217" s="14"/>
      <c r="Z217" s="14"/>
      <c r="AA217" s="14"/>
      <c r="AB217" s="165"/>
    </row>
    <row r="218" spans="1:28" x14ac:dyDescent="0.35">
      <c r="A218" s="187">
        <v>189.9</v>
      </c>
      <c r="B218" s="185" t="s">
        <v>181</v>
      </c>
      <c r="C218" s="189">
        <f t="shared" si="9"/>
        <v>2004</v>
      </c>
      <c r="D218" s="191">
        <f t="shared" si="10"/>
        <v>2005</v>
      </c>
      <c r="U218" s="12" t="s">
        <v>719</v>
      </c>
      <c r="V218" s="205">
        <v>1.1762999999999999</v>
      </c>
      <c r="W218" s="14"/>
      <c r="X218" s="14"/>
      <c r="Y218" s="14"/>
      <c r="Z218" s="14"/>
      <c r="AA218" s="14"/>
      <c r="AB218" s="165"/>
    </row>
    <row r="219" spans="1:28" x14ac:dyDescent="0.35">
      <c r="A219" s="187">
        <v>188.9</v>
      </c>
      <c r="B219" s="185" t="s">
        <v>152</v>
      </c>
      <c r="C219" s="189">
        <f t="shared" si="9"/>
        <v>2005</v>
      </c>
      <c r="D219" s="191">
        <f t="shared" si="10"/>
        <v>2005</v>
      </c>
      <c r="U219" s="12" t="s">
        <v>720</v>
      </c>
      <c r="V219" s="205">
        <v>1.1515</v>
      </c>
      <c r="W219" s="14"/>
      <c r="X219" s="14"/>
      <c r="Y219" s="14"/>
      <c r="Z219" s="14"/>
      <c r="AA219" s="14"/>
      <c r="AB219" s="165"/>
    </row>
    <row r="220" spans="1:28" x14ac:dyDescent="0.35">
      <c r="A220" s="187">
        <v>189.6</v>
      </c>
      <c r="B220" s="185" t="s">
        <v>154</v>
      </c>
      <c r="C220" s="189">
        <f t="shared" si="9"/>
        <v>2005</v>
      </c>
      <c r="D220" s="191">
        <f t="shared" si="10"/>
        <v>2005</v>
      </c>
      <c r="U220" s="12" t="s">
        <v>721</v>
      </c>
      <c r="V220" s="205">
        <v>1.1627000000000001</v>
      </c>
      <c r="W220" s="14"/>
      <c r="X220" s="14"/>
      <c r="Y220" s="14"/>
      <c r="Z220" s="14"/>
      <c r="AA220" s="14"/>
      <c r="AB220" s="165"/>
    </row>
    <row r="221" spans="1:28" x14ac:dyDescent="0.35">
      <c r="A221" s="187">
        <v>190.5</v>
      </c>
      <c r="B221" s="185" t="s">
        <v>157</v>
      </c>
      <c r="C221" s="189">
        <f t="shared" si="9"/>
        <v>2005</v>
      </c>
      <c r="D221" s="191">
        <f t="shared" si="10"/>
        <v>2005</v>
      </c>
      <c r="U221" s="12" t="s">
        <v>722</v>
      </c>
      <c r="V221" s="205">
        <v>1.7698</v>
      </c>
      <c r="W221" s="14"/>
      <c r="X221" s="14"/>
      <c r="Y221" s="14"/>
      <c r="Z221" s="14"/>
      <c r="AA221" s="14"/>
      <c r="AB221" s="165"/>
    </row>
    <row r="222" spans="1:28" x14ac:dyDescent="0.35">
      <c r="A222" s="187">
        <v>191.6</v>
      </c>
      <c r="B222" s="185" t="s">
        <v>159</v>
      </c>
      <c r="C222" s="189">
        <f t="shared" si="9"/>
        <v>2005</v>
      </c>
      <c r="D222" s="191">
        <f t="shared" si="10"/>
        <v>2006</v>
      </c>
      <c r="U222" s="12" t="s">
        <v>723</v>
      </c>
      <c r="V222" s="205">
        <v>1.7670999999999999</v>
      </c>
      <c r="W222" s="14"/>
      <c r="X222" s="14"/>
      <c r="Y222" s="14"/>
      <c r="Z222" s="14"/>
      <c r="AA222" s="14"/>
      <c r="AB222" s="165"/>
    </row>
    <row r="223" spans="1:28" x14ac:dyDescent="0.35">
      <c r="A223" s="187">
        <v>192</v>
      </c>
      <c r="B223" s="185" t="s">
        <v>162</v>
      </c>
      <c r="C223" s="189">
        <f t="shared" si="9"/>
        <v>2005</v>
      </c>
      <c r="D223" s="191">
        <f t="shared" si="10"/>
        <v>2006</v>
      </c>
      <c r="U223" s="12" t="s">
        <v>724</v>
      </c>
      <c r="V223" s="205">
        <v>1.7668999999999999</v>
      </c>
      <c r="W223" s="14"/>
      <c r="X223" s="14"/>
      <c r="Y223" s="14"/>
      <c r="Z223" s="14"/>
      <c r="AA223" s="14"/>
      <c r="AB223" s="165"/>
    </row>
    <row r="224" spans="1:28" x14ac:dyDescent="0.35">
      <c r="A224" s="187">
        <v>192.2</v>
      </c>
      <c r="B224" s="185" t="s">
        <v>165</v>
      </c>
      <c r="C224" s="189">
        <f t="shared" si="9"/>
        <v>2005</v>
      </c>
      <c r="D224" s="191">
        <f t="shared" si="10"/>
        <v>2006</v>
      </c>
      <c r="U224" s="12" t="s">
        <v>725</v>
      </c>
      <c r="V224" s="205">
        <v>1.7582</v>
      </c>
      <c r="W224" s="14"/>
      <c r="X224" s="14"/>
      <c r="Y224" s="14"/>
      <c r="Z224" s="14"/>
      <c r="AA224" s="14"/>
      <c r="AB224" s="165"/>
    </row>
    <row r="225" spans="1:28" x14ac:dyDescent="0.35">
      <c r="A225" s="187">
        <v>192.2</v>
      </c>
      <c r="B225" s="185" t="s">
        <v>167</v>
      </c>
      <c r="C225" s="189">
        <f t="shared" si="9"/>
        <v>2005</v>
      </c>
      <c r="D225" s="191">
        <f t="shared" si="10"/>
        <v>2006</v>
      </c>
      <c r="U225" s="12" t="s">
        <v>726</v>
      </c>
      <c r="V225" s="205">
        <v>1.6977</v>
      </c>
      <c r="W225" s="14"/>
      <c r="X225" s="14"/>
      <c r="Y225" s="14"/>
      <c r="Z225" s="14"/>
      <c r="AA225" s="14"/>
      <c r="AB225" s="165"/>
    </row>
    <row r="226" spans="1:28" x14ac:dyDescent="0.35">
      <c r="A226" s="187">
        <v>192.6</v>
      </c>
      <c r="B226" s="185" t="s">
        <v>171</v>
      </c>
      <c r="C226" s="189">
        <f t="shared" si="9"/>
        <v>2005</v>
      </c>
      <c r="D226" s="191">
        <f t="shared" si="10"/>
        <v>2006</v>
      </c>
      <c r="U226" s="12" t="s">
        <v>727</v>
      </c>
      <c r="V226" s="205">
        <v>1.6605000000000001</v>
      </c>
      <c r="W226" s="14"/>
      <c r="X226" s="14"/>
      <c r="Y226" s="14"/>
      <c r="Z226" s="14"/>
      <c r="AA226" s="14"/>
      <c r="AB226" s="165"/>
    </row>
    <row r="227" spans="1:28" x14ac:dyDescent="0.35">
      <c r="A227" s="187">
        <v>193.1</v>
      </c>
      <c r="B227" s="185" t="s">
        <v>173</v>
      </c>
      <c r="C227" s="189">
        <f t="shared" si="9"/>
        <v>2005</v>
      </c>
      <c r="D227" s="191">
        <f t="shared" si="10"/>
        <v>2006</v>
      </c>
      <c r="U227" s="12" t="s">
        <v>728</v>
      </c>
      <c r="V227" s="205">
        <v>1.6708000000000001</v>
      </c>
      <c r="W227" s="14"/>
      <c r="X227" s="14"/>
      <c r="Y227" s="14"/>
      <c r="Z227" s="14"/>
      <c r="AA227" s="14"/>
      <c r="AB227" s="165"/>
    </row>
    <row r="228" spans="1:28" x14ac:dyDescent="0.35">
      <c r="A228" s="187">
        <v>193.3</v>
      </c>
      <c r="B228" s="185" t="s">
        <v>176</v>
      </c>
      <c r="C228" s="189">
        <f t="shared" si="9"/>
        <v>2005</v>
      </c>
      <c r="D228" s="191">
        <f t="shared" si="10"/>
        <v>2006</v>
      </c>
      <c r="U228" s="12" t="s">
        <v>729</v>
      </c>
      <c r="V228" s="205">
        <v>1.6755</v>
      </c>
      <c r="W228" s="14"/>
      <c r="X228" s="14"/>
      <c r="Y228" s="14"/>
      <c r="Z228" s="14"/>
      <c r="AA228" s="14"/>
      <c r="AB228" s="165"/>
    </row>
    <row r="229" spans="1:28" x14ac:dyDescent="0.35">
      <c r="A229" s="187">
        <v>193.6</v>
      </c>
      <c r="B229" s="185" t="s">
        <v>178</v>
      </c>
      <c r="C229" s="189">
        <f t="shared" si="9"/>
        <v>2005</v>
      </c>
      <c r="D229" s="191">
        <f t="shared" si="10"/>
        <v>2006</v>
      </c>
      <c r="U229" s="12" t="s">
        <v>730</v>
      </c>
      <c r="V229" s="205">
        <v>1.6811</v>
      </c>
      <c r="W229" s="14"/>
      <c r="X229" s="14"/>
      <c r="Y229" s="14"/>
      <c r="Z229" s="14"/>
      <c r="AA229" s="14"/>
      <c r="AB229" s="165"/>
    </row>
    <row r="230" spans="1:28" x14ac:dyDescent="0.35">
      <c r="A230" s="187">
        <v>194.1</v>
      </c>
      <c r="B230" s="185" t="s">
        <v>181</v>
      </c>
      <c r="C230" s="189">
        <f t="shared" si="9"/>
        <v>2005</v>
      </c>
      <c r="D230" s="191">
        <f t="shared" si="10"/>
        <v>2006</v>
      </c>
      <c r="U230" s="12" t="s">
        <v>731</v>
      </c>
      <c r="V230" s="205">
        <v>1.6436999999999999</v>
      </c>
      <c r="W230" s="14"/>
      <c r="X230" s="14"/>
      <c r="Y230" s="14"/>
      <c r="Z230" s="14"/>
      <c r="AA230" s="14"/>
      <c r="AB230" s="165"/>
    </row>
    <row r="231" spans="1:28" x14ac:dyDescent="0.35">
      <c r="A231" s="187">
        <v>193.4</v>
      </c>
      <c r="B231" s="185" t="s">
        <v>152</v>
      </c>
      <c r="C231" s="189">
        <f t="shared" si="9"/>
        <v>2006</v>
      </c>
      <c r="D231" s="191">
        <f t="shared" si="10"/>
        <v>2006</v>
      </c>
      <c r="U231" s="12" t="s">
        <v>732</v>
      </c>
      <c r="V231" s="205">
        <v>1.6402000000000001</v>
      </c>
      <c r="W231" s="14"/>
      <c r="X231" s="14"/>
      <c r="Y231" s="14"/>
      <c r="Z231" s="14"/>
      <c r="AA231" s="14"/>
      <c r="AB231" s="165"/>
    </row>
    <row r="232" spans="1:28" x14ac:dyDescent="0.35">
      <c r="A232" s="187">
        <v>194.2</v>
      </c>
      <c r="B232" s="185" t="s">
        <v>154</v>
      </c>
      <c r="C232" s="189">
        <f t="shared" si="9"/>
        <v>2006</v>
      </c>
      <c r="D232" s="191">
        <f t="shared" si="10"/>
        <v>2006</v>
      </c>
      <c r="U232" s="12" t="s">
        <v>733</v>
      </c>
      <c r="V232" s="205">
        <v>1.6357999999999999</v>
      </c>
      <c r="W232" s="14"/>
      <c r="X232" s="14"/>
      <c r="Y232" s="14"/>
      <c r="Z232" s="14"/>
      <c r="AA232" s="14"/>
      <c r="AB232" s="165"/>
    </row>
    <row r="233" spans="1:28" x14ac:dyDescent="0.35">
      <c r="A233" s="187">
        <v>195</v>
      </c>
      <c r="B233" s="185" t="s">
        <v>157</v>
      </c>
      <c r="C233" s="189">
        <f t="shared" si="9"/>
        <v>2006</v>
      </c>
      <c r="D233" s="191">
        <f t="shared" si="10"/>
        <v>2006</v>
      </c>
      <c r="U233" s="12" t="s">
        <v>734</v>
      </c>
      <c r="V233" s="205">
        <v>1.6429</v>
      </c>
      <c r="W233" s="14"/>
      <c r="X233" s="14"/>
      <c r="Y233" s="14"/>
      <c r="Z233" s="14"/>
      <c r="AA233" s="14"/>
      <c r="AB233" s="165"/>
    </row>
    <row r="234" spans="1:28" x14ac:dyDescent="0.35">
      <c r="A234" s="187">
        <v>196.5</v>
      </c>
      <c r="B234" s="185" t="s">
        <v>159</v>
      </c>
      <c r="C234" s="189">
        <f t="shared" si="9"/>
        <v>2006</v>
      </c>
      <c r="D234" s="191">
        <f t="shared" si="10"/>
        <v>2007</v>
      </c>
      <c r="U234" s="12" t="s">
        <v>735</v>
      </c>
      <c r="V234" s="205">
        <v>1.6613</v>
      </c>
      <c r="W234" s="14"/>
      <c r="X234" s="14"/>
      <c r="Y234" s="14"/>
      <c r="Z234" s="14"/>
      <c r="AA234" s="14"/>
      <c r="AB234" s="165"/>
    </row>
    <row r="235" spans="1:28" x14ac:dyDescent="0.35">
      <c r="A235" s="187">
        <v>197.7</v>
      </c>
      <c r="B235" s="185" t="s">
        <v>162</v>
      </c>
      <c r="C235" s="189">
        <f t="shared" si="9"/>
        <v>2006</v>
      </c>
      <c r="D235" s="191">
        <f t="shared" si="10"/>
        <v>2007</v>
      </c>
      <c r="U235" s="12" t="s">
        <v>736</v>
      </c>
      <c r="V235" s="205">
        <v>1.6281000000000001</v>
      </c>
      <c r="W235" s="14"/>
      <c r="X235" s="14"/>
      <c r="Y235" s="14"/>
      <c r="Z235" s="14"/>
      <c r="AA235" s="14"/>
      <c r="AB235" s="165"/>
    </row>
    <row r="236" spans="1:28" x14ac:dyDescent="0.35">
      <c r="A236" s="187">
        <v>198.5</v>
      </c>
      <c r="B236" s="185" t="s">
        <v>165</v>
      </c>
      <c r="C236" s="189">
        <f t="shared" si="9"/>
        <v>2006</v>
      </c>
      <c r="D236" s="191">
        <f t="shared" si="10"/>
        <v>2007</v>
      </c>
      <c r="U236" s="12" t="s">
        <v>737</v>
      </c>
      <c r="V236" s="205">
        <v>1.5607</v>
      </c>
      <c r="W236" s="14"/>
      <c r="X236" s="14"/>
      <c r="Y236" s="14"/>
      <c r="Z236" s="14"/>
      <c r="AA236" s="14"/>
      <c r="AB236" s="165"/>
    </row>
    <row r="237" spans="1:28" x14ac:dyDescent="0.35">
      <c r="A237" s="187">
        <v>198.5</v>
      </c>
      <c r="B237" s="185" t="s">
        <v>167</v>
      </c>
      <c r="C237" s="189">
        <f t="shared" si="9"/>
        <v>2006</v>
      </c>
      <c r="D237" s="191">
        <f t="shared" si="10"/>
        <v>2007</v>
      </c>
      <c r="U237" s="12" t="s">
        <v>738</v>
      </c>
      <c r="V237" s="205">
        <v>1.5331999999999999</v>
      </c>
      <c r="W237" s="14"/>
      <c r="X237" s="14"/>
      <c r="Y237" s="14"/>
      <c r="Z237" s="14"/>
      <c r="AA237" s="14"/>
      <c r="AB237" s="165"/>
    </row>
    <row r="238" spans="1:28" x14ac:dyDescent="0.35">
      <c r="A238" s="187">
        <v>199.2</v>
      </c>
      <c r="B238" s="185" t="s">
        <v>171</v>
      </c>
      <c r="C238" s="189">
        <f t="shared" si="9"/>
        <v>2006</v>
      </c>
      <c r="D238" s="191">
        <f t="shared" si="10"/>
        <v>2007</v>
      </c>
      <c r="U238" s="12" t="s">
        <v>739</v>
      </c>
      <c r="V238" s="205">
        <v>1.504</v>
      </c>
      <c r="W238" s="14"/>
      <c r="X238" s="14"/>
      <c r="Y238" s="14"/>
      <c r="Z238" s="14"/>
      <c r="AA238" s="14"/>
      <c r="AB238" s="165"/>
    </row>
    <row r="239" spans="1:28" x14ac:dyDescent="0.35">
      <c r="A239" s="187">
        <v>200.1</v>
      </c>
      <c r="B239" s="185" t="s">
        <v>173</v>
      </c>
      <c r="C239" s="189">
        <f t="shared" si="9"/>
        <v>2006</v>
      </c>
      <c r="D239" s="191">
        <f t="shared" si="10"/>
        <v>2007</v>
      </c>
      <c r="U239" s="12" t="s">
        <v>740</v>
      </c>
      <c r="V239" s="205">
        <v>1.5246999999999999</v>
      </c>
      <c r="W239" s="14"/>
      <c r="X239" s="14"/>
      <c r="Y239" s="14"/>
      <c r="Z239" s="14"/>
      <c r="AA239" s="14"/>
      <c r="AB239" s="165"/>
    </row>
    <row r="240" spans="1:28" x14ac:dyDescent="0.35">
      <c r="A240" s="187">
        <v>200.4</v>
      </c>
      <c r="B240" s="185" t="s">
        <v>176</v>
      </c>
      <c r="C240" s="189">
        <f t="shared" si="9"/>
        <v>2006</v>
      </c>
      <c r="D240" s="191">
        <f t="shared" si="10"/>
        <v>2007</v>
      </c>
      <c r="U240" s="12" t="s">
        <v>741</v>
      </c>
      <c r="V240" s="205">
        <v>1.5152000000000001</v>
      </c>
      <c r="W240" s="14"/>
      <c r="X240" s="14"/>
      <c r="Y240" s="14"/>
      <c r="Z240" s="14"/>
      <c r="AA240" s="14"/>
      <c r="AB240" s="165"/>
    </row>
    <row r="241" spans="1:28" x14ac:dyDescent="0.35">
      <c r="A241" s="187">
        <v>201.1</v>
      </c>
      <c r="B241" s="185" t="s">
        <v>178</v>
      </c>
      <c r="C241" s="189">
        <f t="shared" si="9"/>
        <v>2006</v>
      </c>
      <c r="D241" s="191">
        <f t="shared" si="10"/>
        <v>2007</v>
      </c>
      <c r="U241" s="12" t="s">
        <v>742</v>
      </c>
      <c r="V241" s="205">
        <v>1.4561999999999999</v>
      </c>
      <c r="W241" s="14"/>
      <c r="X241" s="14"/>
      <c r="Y241" s="14"/>
      <c r="Z241" s="14"/>
      <c r="AA241" s="14"/>
      <c r="AB241" s="165"/>
    </row>
    <row r="242" spans="1:28" x14ac:dyDescent="0.35">
      <c r="A242" s="187">
        <v>202.7</v>
      </c>
      <c r="B242" s="185" t="s">
        <v>181</v>
      </c>
      <c r="C242" s="189">
        <f t="shared" si="9"/>
        <v>2006</v>
      </c>
      <c r="D242" s="191">
        <f t="shared" si="10"/>
        <v>2007</v>
      </c>
      <c r="U242" s="12" t="s">
        <v>743</v>
      </c>
      <c r="V242" s="205">
        <v>1.3662000000000001</v>
      </c>
      <c r="W242" s="14"/>
      <c r="X242" s="14"/>
      <c r="Y242" s="14"/>
      <c r="Z242" s="14"/>
      <c r="AA242" s="14"/>
      <c r="AB242" s="165"/>
    </row>
    <row r="243" spans="1:28" x14ac:dyDescent="0.35">
      <c r="A243" s="187">
        <v>201.6</v>
      </c>
      <c r="B243" s="185" t="s">
        <v>152</v>
      </c>
      <c r="C243" s="189">
        <f t="shared" si="9"/>
        <v>2007</v>
      </c>
      <c r="D243" s="191">
        <f t="shared" si="10"/>
        <v>2007</v>
      </c>
      <c r="U243" s="12" t="s">
        <v>744</v>
      </c>
      <c r="V243" s="205">
        <v>1.3614999999999999</v>
      </c>
      <c r="W243" s="14"/>
      <c r="X243" s="14"/>
      <c r="Y243" s="14"/>
      <c r="Z243" s="14"/>
      <c r="AA243" s="14"/>
      <c r="AB243" s="165"/>
    </row>
    <row r="244" spans="1:28" x14ac:dyDescent="0.35">
      <c r="A244" s="187">
        <v>203.1</v>
      </c>
      <c r="B244" s="185" t="s">
        <v>154</v>
      </c>
      <c r="C244" s="189">
        <f t="shared" si="9"/>
        <v>2007</v>
      </c>
      <c r="D244" s="191">
        <f t="shared" si="10"/>
        <v>2007</v>
      </c>
      <c r="U244" s="12" t="s">
        <v>745</v>
      </c>
      <c r="V244" s="205">
        <v>1.3867</v>
      </c>
      <c r="W244" s="14"/>
      <c r="X244" s="14"/>
      <c r="Y244" s="14"/>
      <c r="Z244" s="14"/>
      <c r="AA244" s="14"/>
      <c r="AB244" s="165"/>
    </row>
    <row r="245" spans="1:28" x14ac:dyDescent="0.35">
      <c r="A245" s="187">
        <v>204.4</v>
      </c>
      <c r="B245" s="185" t="s">
        <v>157</v>
      </c>
      <c r="C245" s="189">
        <f t="shared" si="9"/>
        <v>2007</v>
      </c>
      <c r="D245" s="191">
        <f t="shared" si="10"/>
        <v>2007</v>
      </c>
      <c r="U245" s="12" t="s">
        <v>746</v>
      </c>
      <c r="V245" s="205">
        <v>1.4225000000000001</v>
      </c>
      <c r="W245" s="14"/>
      <c r="X245" s="14"/>
      <c r="Y245" s="14"/>
      <c r="Z245" s="14"/>
      <c r="AA245" s="14"/>
      <c r="AB245" s="165"/>
    </row>
    <row r="246" spans="1:28" x14ac:dyDescent="0.35">
      <c r="A246" s="187">
        <v>205.4</v>
      </c>
      <c r="B246" s="185" t="s">
        <v>159</v>
      </c>
      <c r="C246" s="189">
        <f t="shared" si="9"/>
        <v>2007</v>
      </c>
      <c r="D246" s="191">
        <f t="shared" si="10"/>
        <v>2008</v>
      </c>
      <c r="U246" s="12" t="s">
        <v>747</v>
      </c>
      <c r="V246" s="205">
        <v>1.4253</v>
      </c>
      <c r="W246" s="14"/>
      <c r="X246" s="14"/>
      <c r="Y246" s="14"/>
      <c r="Z246" s="14"/>
      <c r="AA246" s="14"/>
      <c r="AB246" s="165"/>
    </row>
    <row r="247" spans="1:28" x14ac:dyDescent="0.35">
      <c r="A247" s="187">
        <v>206.2</v>
      </c>
      <c r="B247" s="185" t="s">
        <v>162</v>
      </c>
      <c r="C247" s="189">
        <f t="shared" si="9"/>
        <v>2007</v>
      </c>
      <c r="D247" s="191">
        <f t="shared" si="10"/>
        <v>2008</v>
      </c>
      <c r="U247" s="12" t="s">
        <v>748</v>
      </c>
      <c r="V247" s="205">
        <v>1.4305000000000001</v>
      </c>
      <c r="W247" s="14"/>
      <c r="X247" s="14"/>
      <c r="Y247" s="14"/>
      <c r="Z247" s="14"/>
      <c r="AA247" s="14"/>
      <c r="AB247" s="165"/>
    </row>
    <row r="248" spans="1:28" x14ac:dyDescent="0.35">
      <c r="A248" s="187">
        <v>207.3</v>
      </c>
      <c r="B248" s="185" t="s">
        <v>165</v>
      </c>
      <c r="C248" s="189">
        <f t="shared" si="9"/>
        <v>2007</v>
      </c>
      <c r="D248" s="191">
        <f t="shared" si="10"/>
        <v>2008</v>
      </c>
      <c r="U248" s="12" t="s">
        <v>749</v>
      </c>
      <c r="V248" s="205">
        <v>1.4258999999999999</v>
      </c>
      <c r="W248" s="14"/>
      <c r="X248" s="14"/>
      <c r="Y248" s="14"/>
      <c r="Z248" s="14"/>
      <c r="AA248" s="14"/>
      <c r="AB248" s="165"/>
    </row>
    <row r="249" spans="1:28" x14ac:dyDescent="0.35">
      <c r="A249" s="187">
        <v>206.1</v>
      </c>
      <c r="B249" s="185" t="s">
        <v>167</v>
      </c>
      <c r="C249" s="189">
        <f t="shared" si="9"/>
        <v>2007</v>
      </c>
      <c r="D249" s="191">
        <f t="shared" si="10"/>
        <v>2008</v>
      </c>
      <c r="U249" s="12" t="s">
        <v>750</v>
      </c>
      <c r="V249" s="205">
        <v>1.4200999999999999</v>
      </c>
      <c r="W249" s="14"/>
      <c r="X249" s="14"/>
      <c r="Y249" s="14"/>
      <c r="Z249" s="14"/>
      <c r="AA249" s="14"/>
      <c r="AB249" s="165"/>
    </row>
    <row r="250" spans="1:28" x14ac:dyDescent="0.35">
      <c r="A250" s="187">
        <v>207.3</v>
      </c>
      <c r="B250" s="185" t="s">
        <v>171</v>
      </c>
      <c r="C250" s="189">
        <f t="shared" si="9"/>
        <v>2007</v>
      </c>
      <c r="D250" s="191">
        <f t="shared" si="10"/>
        <v>2008</v>
      </c>
      <c r="U250" s="12" t="s">
        <v>751</v>
      </c>
      <c r="V250" s="205">
        <v>1.4207000000000001</v>
      </c>
      <c r="W250" s="14"/>
      <c r="X250" s="14"/>
      <c r="Y250" s="14"/>
      <c r="Z250" s="14"/>
      <c r="AA250" s="14"/>
      <c r="AB250" s="165"/>
    </row>
    <row r="251" spans="1:28" x14ac:dyDescent="0.35">
      <c r="A251" s="187">
        <v>208</v>
      </c>
      <c r="B251" s="185" t="s">
        <v>173</v>
      </c>
      <c r="C251" s="189">
        <f t="shared" si="9"/>
        <v>2007</v>
      </c>
      <c r="D251" s="191">
        <f t="shared" si="10"/>
        <v>2008</v>
      </c>
      <c r="U251" s="12" t="s">
        <v>752</v>
      </c>
      <c r="V251" s="205">
        <v>1.4106000000000001</v>
      </c>
      <c r="W251" s="14"/>
      <c r="X251" s="14"/>
      <c r="Y251" s="14"/>
      <c r="Z251" s="14"/>
      <c r="AA251" s="14"/>
      <c r="AB251" s="165"/>
    </row>
    <row r="252" spans="1:28" x14ac:dyDescent="0.35">
      <c r="A252" s="187">
        <v>208.9</v>
      </c>
      <c r="B252" s="185" t="s">
        <v>176</v>
      </c>
      <c r="C252" s="189">
        <f t="shared" si="9"/>
        <v>2007</v>
      </c>
      <c r="D252" s="191">
        <f t="shared" si="10"/>
        <v>2008</v>
      </c>
      <c r="U252" s="12" t="s">
        <v>753</v>
      </c>
      <c r="V252" s="205">
        <v>1.4406000000000001</v>
      </c>
      <c r="W252" s="14"/>
      <c r="X252" s="14"/>
      <c r="Y252" s="14"/>
      <c r="Z252" s="14"/>
      <c r="AA252" s="14"/>
      <c r="AB252" s="165"/>
    </row>
    <row r="253" spans="1:28" x14ac:dyDescent="0.35">
      <c r="A253" s="187">
        <v>209.7</v>
      </c>
      <c r="B253" s="185" t="s">
        <v>178</v>
      </c>
      <c r="C253" s="189">
        <f t="shared" si="9"/>
        <v>2007</v>
      </c>
      <c r="D253" s="191">
        <f t="shared" si="10"/>
        <v>2008</v>
      </c>
      <c r="U253" s="12" t="s">
        <v>754</v>
      </c>
      <c r="V253" s="205">
        <v>1.4502999999999999</v>
      </c>
      <c r="W253" s="14"/>
      <c r="X253" s="14"/>
      <c r="Y253" s="14"/>
      <c r="Z253" s="14"/>
      <c r="AA253" s="14"/>
      <c r="AB253" s="165"/>
    </row>
    <row r="254" spans="1:28" x14ac:dyDescent="0.35">
      <c r="A254" s="187">
        <v>210.9</v>
      </c>
      <c r="B254" s="185" t="s">
        <v>181</v>
      </c>
      <c r="C254" s="189">
        <f t="shared" si="9"/>
        <v>2007</v>
      </c>
      <c r="D254" s="191">
        <f t="shared" si="10"/>
        <v>2008</v>
      </c>
      <c r="U254" s="12" t="s">
        <v>755</v>
      </c>
      <c r="V254" s="205">
        <v>1.4539</v>
      </c>
      <c r="W254" s="14"/>
      <c r="X254" s="14"/>
      <c r="Y254" s="14"/>
      <c r="Z254" s="14"/>
      <c r="AA254" s="14"/>
      <c r="AB254" s="165"/>
    </row>
    <row r="255" spans="1:28" x14ac:dyDescent="0.35">
      <c r="A255" s="187">
        <v>209.8</v>
      </c>
      <c r="B255" s="185" t="s">
        <v>152</v>
      </c>
      <c r="C255" s="189">
        <f t="shared" si="9"/>
        <v>2008</v>
      </c>
      <c r="D255" s="191">
        <f t="shared" si="10"/>
        <v>2008</v>
      </c>
      <c r="U255" s="12" t="s">
        <v>756</v>
      </c>
      <c r="V255" s="205">
        <v>1.4791000000000001</v>
      </c>
      <c r="W255" s="14"/>
      <c r="X255" s="14"/>
      <c r="Y255" s="14"/>
      <c r="Z255" s="14"/>
      <c r="AA255" s="14"/>
      <c r="AB255" s="165"/>
    </row>
    <row r="256" spans="1:28" x14ac:dyDescent="0.35">
      <c r="A256" s="187">
        <v>211.4</v>
      </c>
      <c r="B256" s="185" t="s">
        <v>154</v>
      </c>
      <c r="C256" s="189">
        <f t="shared" si="9"/>
        <v>2008</v>
      </c>
      <c r="D256" s="191">
        <f t="shared" si="10"/>
        <v>2008</v>
      </c>
      <c r="U256" s="12" t="s">
        <v>757</v>
      </c>
      <c r="V256" s="205">
        <v>1.4695</v>
      </c>
      <c r="W256" s="14"/>
      <c r="X256" s="14"/>
      <c r="Y256" s="14"/>
      <c r="Z256" s="14"/>
      <c r="AA256" s="14"/>
      <c r="AB256" s="165"/>
    </row>
    <row r="257" spans="1:28" x14ac:dyDescent="0.35">
      <c r="A257" s="187">
        <v>212.1</v>
      </c>
      <c r="B257" s="185" t="s">
        <v>157</v>
      </c>
      <c r="C257" s="189">
        <f t="shared" si="9"/>
        <v>2008</v>
      </c>
      <c r="D257" s="191">
        <f t="shared" si="10"/>
        <v>2008</v>
      </c>
      <c r="U257" s="12" t="s">
        <v>758</v>
      </c>
      <c r="V257" s="205">
        <v>1.5083</v>
      </c>
      <c r="W257" s="14"/>
      <c r="X257" s="14"/>
      <c r="Y257" s="14"/>
      <c r="Z257" s="14"/>
      <c r="AA257" s="14"/>
      <c r="AB257" s="165"/>
    </row>
    <row r="258" spans="1:28" x14ac:dyDescent="0.35">
      <c r="A258" s="187">
        <v>214</v>
      </c>
      <c r="B258" s="185" t="s">
        <v>159</v>
      </c>
      <c r="C258" s="189">
        <f t="shared" si="9"/>
        <v>2008</v>
      </c>
      <c r="D258" s="191">
        <f t="shared" si="10"/>
        <v>2009</v>
      </c>
      <c r="U258" s="12" t="s">
        <v>759</v>
      </c>
      <c r="V258" s="205">
        <v>1.5026999999999999</v>
      </c>
      <c r="W258" s="14"/>
      <c r="X258" s="14"/>
      <c r="Y258" s="14"/>
      <c r="Z258" s="14"/>
      <c r="AA258" s="14"/>
      <c r="AB258" s="165"/>
    </row>
    <row r="259" spans="1:28" x14ac:dyDescent="0.35">
      <c r="A259" s="187">
        <v>215.1</v>
      </c>
      <c r="B259" s="185" t="s">
        <v>162</v>
      </c>
      <c r="C259" s="189">
        <f t="shared" si="9"/>
        <v>2008</v>
      </c>
      <c r="D259" s="191">
        <f t="shared" si="10"/>
        <v>2009</v>
      </c>
      <c r="U259" s="12" t="s">
        <v>760</v>
      </c>
      <c r="V259" s="205">
        <v>1.4520999999999999</v>
      </c>
      <c r="W259" s="14"/>
      <c r="X259" s="14"/>
      <c r="Y259" s="14"/>
      <c r="Z259" s="14"/>
      <c r="AA259" s="14"/>
      <c r="AB259" s="165"/>
    </row>
    <row r="260" spans="1:28" x14ac:dyDescent="0.35">
      <c r="A260" s="187">
        <v>216.8</v>
      </c>
      <c r="B260" s="185" t="s">
        <v>165</v>
      </c>
      <c r="C260" s="189">
        <f t="shared" si="9"/>
        <v>2008</v>
      </c>
      <c r="D260" s="191">
        <f t="shared" si="10"/>
        <v>2009</v>
      </c>
      <c r="U260" s="12" t="s">
        <v>761</v>
      </c>
      <c r="V260" s="205">
        <v>1.4055</v>
      </c>
      <c r="W260" s="14"/>
      <c r="X260" s="14"/>
      <c r="Y260" s="14"/>
      <c r="Z260" s="14"/>
      <c r="AA260" s="14"/>
      <c r="AB260" s="165"/>
    </row>
    <row r="261" spans="1:28" x14ac:dyDescent="0.35">
      <c r="A261" s="187">
        <v>216.5</v>
      </c>
      <c r="B261" s="185" t="s">
        <v>167</v>
      </c>
      <c r="C261" s="189">
        <f t="shared" ref="C261:C324" si="11">IF(B260="December",C260+1,C260)</f>
        <v>2008</v>
      </c>
      <c r="D261" s="191">
        <f t="shared" ref="D261:D324" si="12">IF(B260="March",D260+1,D260)</f>
        <v>2009</v>
      </c>
      <c r="U261" s="12" t="s">
        <v>762</v>
      </c>
      <c r="V261" s="205">
        <v>1.4149</v>
      </c>
      <c r="W261" s="14"/>
      <c r="X261" s="14"/>
      <c r="Y261" s="14"/>
      <c r="Z261" s="14"/>
      <c r="AA261" s="14"/>
      <c r="AB261" s="165"/>
    </row>
    <row r="262" spans="1:28" x14ac:dyDescent="0.35">
      <c r="A262" s="187">
        <v>217.2</v>
      </c>
      <c r="B262" s="185" t="s">
        <v>171</v>
      </c>
      <c r="C262" s="189">
        <f t="shared" si="11"/>
        <v>2008</v>
      </c>
      <c r="D262" s="191">
        <f t="shared" si="12"/>
        <v>2009</v>
      </c>
      <c r="U262" s="12" t="s">
        <v>763</v>
      </c>
      <c r="V262" s="205">
        <v>1.4139999999999999</v>
      </c>
      <c r="W262" s="14"/>
      <c r="X262" s="14"/>
      <c r="Y262" s="14"/>
      <c r="Z262" s="14"/>
      <c r="AA262" s="14"/>
      <c r="AB262" s="165"/>
    </row>
    <row r="263" spans="1:28" x14ac:dyDescent="0.35">
      <c r="A263" s="187">
        <v>218.4</v>
      </c>
      <c r="B263" s="185" t="s">
        <v>173</v>
      </c>
      <c r="C263" s="189">
        <f t="shared" si="11"/>
        <v>2008</v>
      </c>
      <c r="D263" s="191">
        <f t="shared" si="12"/>
        <v>2009</v>
      </c>
      <c r="U263" s="12" t="s">
        <v>764</v>
      </c>
      <c r="V263" s="205">
        <v>1.4325000000000001</v>
      </c>
      <c r="W263" s="14"/>
      <c r="X263" s="14"/>
      <c r="Y263" s="14"/>
      <c r="Z263" s="14"/>
      <c r="AA263" s="14"/>
      <c r="AB263" s="165"/>
    </row>
    <row r="264" spans="1:28" x14ac:dyDescent="0.35">
      <c r="A264" s="187">
        <v>217.7</v>
      </c>
      <c r="B264" s="185" t="s">
        <v>176</v>
      </c>
      <c r="C264" s="189">
        <f t="shared" si="11"/>
        <v>2008</v>
      </c>
      <c r="D264" s="191">
        <f t="shared" si="12"/>
        <v>2009</v>
      </c>
      <c r="U264" s="12" t="s">
        <v>765</v>
      </c>
      <c r="V264" s="205">
        <v>1.4320999999999999</v>
      </c>
      <c r="W264" s="14"/>
      <c r="X264" s="14"/>
      <c r="Y264" s="14"/>
      <c r="Z264" s="14"/>
      <c r="AA264" s="14"/>
      <c r="AB264" s="165"/>
    </row>
    <row r="265" spans="1:28" x14ac:dyDescent="0.35">
      <c r="A265" s="187">
        <v>216</v>
      </c>
      <c r="B265" s="185" t="s">
        <v>178</v>
      </c>
      <c r="C265" s="189">
        <f t="shared" si="11"/>
        <v>2008</v>
      </c>
      <c r="D265" s="191">
        <f t="shared" si="12"/>
        <v>2009</v>
      </c>
      <c r="U265" s="12" t="s">
        <v>766</v>
      </c>
      <c r="V265" s="205">
        <v>1.4329000000000001</v>
      </c>
      <c r="W265" s="14"/>
      <c r="X265" s="14"/>
      <c r="Y265" s="14"/>
      <c r="Z265" s="14"/>
      <c r="AA265" s="14"/>
      <c r="AB265" s="165"/>
    </row>
    <row r="266" spans="1:28" x14ac:dyDescent="0.35">
      <c r="A266" s="187">
        <v>212.9</v>
      </c>
      <c r="B266" s="185" t="s">
        <v>181</v>
      </c>
      <c r="C266" s="189">
        <f t="shared" si="11"/>
        <v>2008</v>
      </c>
      <c r="D266" s="191">
        <f t="shared" si="12"/>
        <v>2009</v>
      </c>
      <c r="U266" s="12" t="s">
        <v>767</v>
      </c>
      <c r="V266" s="205">
        <v>1.3939999999999999</v>
      </c>
      <c r="W266" s="14"/>
      <c r="X266" s="14"/>
      <c r="Y266" s="14"/>
      <c r="Z266" s="14"/>
      <c r="AA266" s="14"/>
      <c r="AB266" s="165"/>
    </row>
    <row r="267" spans="1:28" x14ac:dyDescent="0.35">
      <c r="A267" s="187">
        <v>210.1</v>
      </c>
      <c r="B267" s="185" t="s">
        <v>152</v>
      </c>
      <c r="C267" s="189">
        <f t="shared" si="11"/>
        <v>2009</v>
      </c>
      <c r="D267" s="191">
        <f t="shared" si="12"/>
        <v>2009</v>
      </c>
      <c r="U267" s="12" t="s">
        <v>768</v>
      </c>
      <c r="V267" s="205">
        <v>1.4063000000000001</v>
      </c>
      <c r="W267" s="14"/>
      <c r="X267" s="14"/>
      <c r="Y267" s="14"/>
      <c r="Z267" s="14"/>
      <c r="AA267" s="14"/>
      <c r="AB267" s="165"/>
    </row>
    <row r="268" spans="1:28" x14ac:dyDescent="0.35">
      <c r="A268" s="187">
        <v>211.4</v>
      </c>
      <c r="B268" s="185" t="s">
        <v>154</v>
      </c>
      <c r="C268" s="189">
        <f t="shared" si="11"/>
        <v>2009</v>
      </c>
      <c r="D268" s="191">
        <f t="shared" si="12"/>
        <v>2009</v>
      </c>
      <c r="U268" s="12" t="s">
        <v>769</v>
      </c>
      <c r="V268" s="205">
        <v>1.4124000000000001</v>
      </c>
      <c r="W268" s="14"/>
      <c r="X268" s="14"/>
      <c r="Y268" s="14"/>
      <c r="Z268" s="14"/>
      <c r="AA268" s="14"/>
      <c r="AB268" s="165"/>
    </row>
    <row r="269" spans="1:28" x14ac:dyDescent="0.35">
      <c r="A269" s="187">
        <v>211.3</v>
      </c>
      <c r="B269" s="185" t="s">
        <v>157</v>
      </c>
      <c r="C269" s="189">
        <f t="shared" si="11"/>
        <v>2009</v>
      </c>
      <c r="D269" s="191">
        <f t="shared" si="12"/>
        <v>2009</v>
      </c>
      <c r="U269" s="12" t="s">
        <v>770</v>
      </c>
      <c r="V269" s="205">
        <v>1.4056</v>
      </c>
      <c r="W269" s="14"/>
      <c r="X269" s="14"/>
      <c r="Y269" s="14"/>
      <c r="Z269" s="14"/>
      <c r="AA269" s="14"/>
      <c r="AB269" s="165"/>
    </row>
    <row r="270" spans="1:28" x14ac:dyDescent="0.35">
      <c r="A270" s="187">
        <v>211.5</v>
      </c>
      <c r="B270" s="185" t="s">
        <v>159</v>
      </c>
      <c r="C270" s="189">
        <f t="shared" si="11"/>
        <v>2009</v>
      </c>
      <c r="D270" s="191">
        <f t="shared" si="12"/>
        <v>2010</v>
      </c>
      <c r="U270" s="12" t="s">
        <v>771</v>
      </c>
      <c r="V270" s="205">
        <v>1.41</v>
      </c>
      <c r="W270" s="14"/>
      <c r="X270" s="14"/>
      <c r="Y270" s="14"/>
      <c r="Z270" s="14"/>
      <c r="AA270" s="14"/>
      <c r="AB270" s="165"/>
    </row>
    <row r="271" spans="1:28" x14ac:dyDescent="0.35">
      <c r="A271" s="187">
        <v>212.8</v>
      </c>
      <c r="B271" s="185" t="s">
        <v>162</v>
      </c>
      <c r="C271" s="189">
        <f t="shared" si="11"/>
        <v>2009</v>
      </c>
      <c r="D271" s="191">
        <f t="shared" si="12"/>
        <v>2010</v>
      </c>
      <c r="U271" s="12" t="s">
        <v>772</v>
      </c>
      <c r="V271" s="205">
        <v>1.4369000000000001</v>
      </c>
      <c r="W271" s="14"/>
      <c r="X271" s="14"/>
      <c r="Y271" s="14"/>
      <c r="Z271" s="14"/>
      <c r="AA271" s="14"/>
      <c r="AB271" s="165"/>
    </row>
    <row r="272" spans="1:28" x14ac:dyDescent="0.35">
      <c r="A272" s="187">
        <v>213.4</v>
      </c>
      <c r="B272" s="185" t="s">
        <v>165</v>
      </c>
      <c r="C272" s="189">
        <f t="shared" si="11"/>
        <v>2009</v>
      </c>
      <c r="D272" s="191">
        <f t="shared" si="12"/>
        <v>2010</v>
      </c>
      <c r="U272" s="12" t="s">
        <v>773</v>
      </c>
      <c r="V272" s="205">
        <v>1.4806999999999999</v>
      </c>
      <c r="W272" s="14"/>
      <c r="X272" s="14"/>
      <c r="Y272" s="14"/>
      <c r="Z272" s="14"/>
      <c r="AA272" s="14"/>
      <c r="AB272" s="165"/>
    </row>
    <row r="273" spans="1:28" x14ac:dyDescent="0.35">
      <c r="A273" s="187">
        <v>213.4</v>
      </c>
      <c r="B273" s="185" t="s">
        <v>167</v>
      </c>
      <c r="C273" s="189">
        <f t="shared" si="11"/>
        <v>2009</v>
      </c>
      <c r="D273" s="191">
        <f t="shared" si="12"/>
        <v>2010</v>
      </c>
      <c r="U273" s="12" t="s">
        <v>774</v>
      </c>
      <c r="V273" s="205">
        <v>1.482</v>
      </c>
      <c r="W273" s="14"/>
      <c r="X273" s="14"/>
      <c r="Y273" s="14"/>
      <c r="Z273" s="14"/>
      <c r="AA273" s="14"/>
      <c r="AB273" s="165"/>
    </row>
    <row r="274" spans="1:28" x14ac:dyDescent="0.35">
      <c r="A274" s="187">
        <v>214.4</v>
      </c>
      <c r="B274" s="185" t="s">
        <v>171</v>
      </c>
      <c r="C274" s="189">
        <f t="shared" si="11"/>
        <v>2009</v>
      </c>
      <c r="D274" s="191">
        <f t="shared" si="12"/>
        <v>2010</v>
      </c>
      <c r="U274" s="12" t="s">
        <v>775</v>
      </c>
      <c r="V274" s="205">
        <v>1.5065</v>
      </c>
      <c r="W274" s="14"/>
      <c r="X274" s="14"/>
      <c r="Y274" s="14"/>
      <c r="Z274" s="14"/>
      <c r="AA274" s="14"/>
      <c r="AB274" s="165"/>
    </row>
    <row r="275" spans="1:28" x14ac:dyDescent="0.35">
      <c r="A275" s="187">
        <v>215.3</v>
      </c>
      <c r="B275" s="185" t="s">
        <v>173</v>
      </c>
      <c r="C275" s="189">
        <f t="shared" si="11"/>
        <v>2009</v>
      </c>
      <c r="D275" s="191">
        <f t="shared" si="12"/>
        <v>2010</v>
      </c>
      <c r="U275" s="12" t="s">
        <v>776</v>
      </c>
      <c r="V275" s="205">
        <v>1.5668</v>
      </c>
      <c r="W275" s="14"/>
      <c r="X275" s="14"/>
      <c r="Y275" s="14"/>
      <c r="Z275" s="14"/>
      <c r="AA275" s="14"/>
      <c r="AB275" s="165"/>
    </row>
    <row r="276" spans="1:28" x14ac:dyDescent="0.35">
      <c r="A276" s="187">
        <v>216</v>
      </c>
      <c r="B276" s="185" t="s">
        <v>176</v>
      </c>
      <c r="C276" s="189">
        <f t="shared" si="11"/>
        <v>2009</v>
      </c>
      <c r="D276" s="191">
        <f t="shared" si="12"/>
        <v>2010</v>
      </c>
      <c r="U276" s="12" t="s">
        <v>777</v>
      </c>
      <c r="V276" s="205">
        <v>1.5536000000000001</v>
      </c>
      <c r="W276" s="14"/>
      <c r="X276" s="14"/>
      <c r="Y276" s="14"/>
      <c r="Z276" s="14"/>
      <c r="AA276" s="14"/>
      <c r="AB276" s="165"/>
    </row>
    <row r="277" spans="1:28" x14ac:dyDescent="0.35">
      <c r="A277" s="187">
        <v>216.6</v>
      </c>
      <c r="B277" s="185" t="s">
        <v>178</v>
      </c>
      <c r="C277" s="189">
        <f t="shared" si="11"/>
        <v>2009</v>
      </c>
      <c r="D277" s="191">
        <f t="shared" si="12"/>
        <v>2010</v>
      </c>
      <c r="U277" s="12" t="s">
        <v>778</v>
      </c>
      <c r="V277" s="205">
        <v>1.5053000000000001</v>
      </c>
      <c r="W277" s="14"/>
      <c r="X277" s="14"/>
      <c r="Y277" s="14"/>
      <c r="Z277" s="14"/>
      <c r="AA277" s="14"/>
      <c r="AB277" s="165"/>
    </row>
    <row r="278" spans="1:28" x14ac:dyDescent="0.35">
      <c r="A278" s="187">
        <v>218</v>
      </c>
      <c r="B278" s="185" t="s">
        <v>181</v>
      </c>
      <c r="C278" s="189">
        <f t="shared" si="11"/>
        <v>2009</v>
      </c>
      <c r="D278" s="191">
        <f t="shared" si="12"/>
        <v>2010</v>
      </c>
      <c r="U278" s="12" t="s">
        <v>779</v>
      </c>
      <c r="V278" s="205">
        <v>1.4698</v>
      </c>
      <c r="W278" s="14"/>
      <c r="X278" s="14"/>
      <c r="Y278" s="14"/>
      <c r="Z278" s="14"/>
      <c r="AA278" s="14"/>
      <c r="AB278" s="165"/>
    </row>
    <row r="279" spans="1:28" x14ac:dyDescent="0.35">
      <c r="A279" s="187">
        <v>217.9</v>
      </c>
      <c r="B279" s="185" t="s">
        <v>152</v>
      </c>
      <c r="C279" s="189">
        <f t="shared" si="11"/>
        <v>2010</v>
      </c>
      <c r="D279" s="191">
        <f t="shared" si="12"/>
        <v>2010</v>
      </c>
      <c r="U279" s="12" t="s">
        <v>780</v>
      </c>
      <c r="V279" s="205">
        <v>1.4538</v>
      </c>
      <c r="W279" s="14"/>
      <c r="X279" s="14"/>
      <c r="Y279" s="14"/>
      <c r="Z279" s="14"/>
      <c r="AA279" s="14"/>
      <c r="AB279" s="165"/>
    </row>
    <row r="280" spans="1:28" x14ac:dyDescent="0.35">
      <c r="A280" s="187">
        <v>219.2</v>
      </c>
      <c r="B280" s="185" t="s">
        <v>154</v>
      </c>
      <c r="C280" s="189">
        <f t="shared" si="11"/>
        <v>2010</v>
      </c>
      <c r="D280" s="191">
        <f t="shared" si="12"/>
        <v>2010</v>
      </c>
      <c r="U280" s="12" t="s">
        <v>781</v>
      </c>
      <c r="V280" s="205">
        <v>1.4699</v>
      </c>
      <c r="W280" s="14"/>
      <c r="X280" s="14"/>
      <c r="Y280" s="14"/>
      <c r="Z280" s="14"/>
      <c r="AA280" s="14"/>
      <c r="AB280" s="165"/>
    </row>
    <row r="281" spans="1:28" x14ac:dyDescent="0.35">
      <c r="A281" s="187">
        <v>220.7</v>
      </c>
      <c r="B281" s="185" t="s">
        <v>157</v>
      </c>
      <c r="C281" s="189">
        <f t="shared" si="11"/>
        <v>2010</v>
      </c>
      <c r="D281" s="191">
        <f t="shared" si="12"/>
        <v>2010</v>
      </c>
      <c r="U281" s="12" t="s">
        <v>782</v>
      </c>
      <c r="V281" s="205">
        <v>1.5036</v>
      </c>
      <c r="W281" s="14"/>
      <c r="X281" s="14"/>
      <c r="Y281" s="14"/>
      <c r="Z281" s="14"/>
      <c r="AA281" s="14"/>
      <c r="AB281" s="165"/>
    </row>
    <row r="282" spans="1:28" x14ac:dyDescent="0.35">
      <c r="A282" s="187">
        <v>222.8</v>
      </c>
      <c r="B282" s="185" t="s">
        <v>159</v>
      </c>
      <c r="C282" s="189">
        <f t="shared" si="11"/>
        <v>2010</v>
      </c>
      <c r="D282" s="191">
        <f t="shared" si="12"/>
        <v>2011</v>
      </c>
      <c r="U282" s="12" t="s">
        <v>783</v>
      </c>
      <c r="V282" s="205">
        <v>1.5365</v>
      </c>
      <c r="W282" s="14"/>
      <c r="X282" s="14"/>
      <c r="Y282" s="14"/>
      <c r="Z282" s="14"/>
      <c r="AA282" s="14"/>
      <c r="AB282" s="165"/>
    </row>
    <row r="283" spans="1:28" x14ac:dyDescent="0.35">
      <c r="A283" s="187">
        <v>223.6</v>
      </c>
      <c r="B283" s="185" t="s">
        <v>162</v>
      </c>
      <c r="C283" s="189">
        <f t="shared" si="11"/>
        <v>2010</v>
      </c>
      <c r="D283" s="191">
        <f t="shared" si="12"/>
        <v>2011</v>
      </c>
      <c r="U283" s="12" t="s">
        <v>784</v>
      </c>
      <c r="V283" s="205">
        <v>1.5619000000000001</v>
      </c>
      <c r="W283" s="14"/>
      <c r="X283" s="14"/>
      <c r="Y283" s="14"/>
      <c r="Z283" s="14"/>
      <c r="AA283" s="14"/>
      <c r="AB283" s="165"/>
    </row>
    <row r="284" spans="1:28" x14ac:dyDescent="0.35">
      <c r="A284" s="187">
        <v>224.1</v>
      </c>
      <c r="B284" s="185" t="s">
        <v>165</v>
      </c>
      <c r="C284" s="189">
        <f t="shared" si="11"/>
        <v>2010</v>
      </c>
      <c r="D284" s="191">
        <f t="shared" si="12"/>
        <v>2011</v>
      </c>
      <c r="U284" s="12" t="s">
        <v>785</v>
      </c>
      <c r="V284" s="205">
        <v>1.5859000000000001</v>
      </c>
      <c r="W284" s="14"/>
      <c r="X284" s="14"/>
      <c r="Y284" s="14"/>
      <c r="Z284" s="14"/>
      <c r="AA284" s="14"/>
      <c r="AB284" s="165"/>
    </row>
    <row r="285" spans="1:28" x14ac:dyDescent="0.35">
      <c r="A285" s="187">
        <v>223.6</v>
      </c>
      <c r="B285" s="185" t="s">
        <v>167</v>
      </c>
      <c r="C285" s="189">
        <f t="shared" si="11"/>
        <v>2010</v>
      </c>
      <c r="D285" s="191">
        <f t="shared" si="12"/>
        <v>2011</v>
      </c>
      <c r="U285" s="12" t="s">
        <v>786</v>
      </c>
      <c r="V285" s="205">
        <v>1.5874999999999999</v>
      </c>
      <c r="W285" s="14"/>
      <c r="X285" s="14"/>
      <c r="Y285" s="14"/>
      <c r="Z285" s="14"/>
      <c r="AA285" s="14"/>
      <c r="AB285" s="165"/>
    </row>
    <row r="286" spans="1:28" x14ac:dyDescent="0.35">
      <c r="A286" s="187">
        <v>224.5</v>
      </c>
      <c r="B286" s="185" t="s">
        <v>171</v>
      </c>
      <c r="C286" s="189">
        <f t="shared" si="11"/>
        <v>2010</v>
      </c>
      <c r="D286" s="191">
        <f t="shared" si="12"/>
        <v>2011</v>
      </c>
      <c r="U286" s="12" t="s">
        <v>787</v>
      </c>
      <c r="V286" s="205">
        <v>1.5876999999999999</v>
      </c>
      <c r="W286" s="14"/>
      <c r="X286" s="14"/>
      <c r="Y286" s="14"/>
      <c r="Z286" s="14"/>
      <c r="AA286" s="14"/>
      <c r="AB286" s="165"/>
    </row>
    <row r="287" spans="1:28" x14ac:dyDescent="0.35">
      <c r="A287" s="187">
        <v>225.3</v>
      </c>
      <c r="B287" s="185" t="s">
        <v>173</v>
      </c>
      <c r="C287" s="189">
        <f t="shared" si="11"/>
        <v>2010</v>
      </c>
      <c r="D287" s="191">
        <f t="shared" si="12"/>
        <v>2011</v>
      </c>
      <c r="U287" s="12" t="s">
        <v>788</v>
      </c>
      <c r="V287" s="205">
        <v>1.5971</v>
      </c>
      <c r="W287" s="14"/>
      <c r="X287" s="14"/>
      <c r="Y287" s="14"/>
      <c r="Z287" s="14"/>
      <c r="AA287" s="14"/>
      <c r="AB287" s="165"/>
    </row>
    <row r="288" spans="1:28" x14ac:dyDescent="0.35">
      <c r="A288" s="187">
        <v>225.8</v>
      </c>
      <c r="B288" s="185" t="s">
        <v>176</v>
      </c>
      <c r="C288" s="189">
        <f t="shared" si="11"/>
        <v>2010</v>
      </c>
      <c r="D288" s="191">
        <f t="shared" si="12"/>
        <v>2011</v>
      </c>
      <c r="U288" s="12" t="s">
        <v>789</v>
      </c>
      <c r="V288" s="205">
        <v>1.6309</v>
      </c>
      <c r="W288" s="14"/>
      <c r="X288" s="14"/>
      <c r="Y288" s="14"/>
      <c r="Z288" s="14"/>
      <c r="AA288" s="14"/>
      <c r="AB288" s="165"/>
    </row>
    <row r="289" spans="1:28" x14ac:dyDescent="0.35">
      <c r="A289" s="187">
        <v>226.8</v>
      </c>
      <c r="B289" s="185" t="s">
        <v>178</v>
      </c>
      <c r="C289" s="189">
        <f t="shared" si="11"/>
        <v>2010</v>
      </c>
      <c r="D289" s="191">
        <f t="shared" si="12"/>
        <v>2011</v>
      </c>
      <c r="U289" s="12" t="s">
        <v>790</v>
      </c>
      <c r="V289" s="205">
        <v>1.6561999999999999</v>
      </c>
      <c r="W289" s="14"/>
      <c r="X289" s="14"/>
      <c r="Y289" s="14"/>
      <c r="Z289" s="14"/>
      <c r="AA289" s="14"/>
      <c r="AB289" s="165"/>
    </row>
    <row r="290" spans="1:28" x14ac:dyDescent="0.35">
      <c r="A290" s="187">
        <v>228.4</v>
      </c>
      <c r="B290" s="185" t="s">
        <v>181</v>
      </c>
      <c r="C290" s="189">
        <f t="shared" si="11"/>
        <v>2010</v>
      </c>
      <c r="D290" s="191">
        <f t="shared" si="12"/>
        <v>2011</v>
      </c>
      <c r="U290" s="12" t="s">
        <v>791</v>
      </c>
      <c r="V290" s="205">
        <v>1.7096</v>
      </c>
      <c r="W290" s="14"/>
      <c r="X290" s="14"/>
      <c r="Y290" s="14"/>
      <c r="Z290" s="14"/>
      <c r="AA290" s="14"/>
      <c r="AB290" s="165"/>
    </row>
    <row r="291" spans="1:28" x14ac:dyDescent="0.35">
      <c r="A291" s="187">
        <v>229</v>
      </c>
      <c r="B291" s="185" t="s">
        <v>152</v>
      </c>
      <c r="C291" s="189">
        <f t="shared" si="11"/>
        <v>2011</v>
      </c>
      <c r="D291" s="191">
        <f t="shared" si="12"/>
        <v>2011</v>
      </c>
      <c r="U291" s="12" t="s">
        <v>792</v>
      </c>
      <c r="V291" s="205">
        <v>1.7632000000000001</v>
      </c>
      <c r="W291" s="14"/>
      <c r="X291" s="14"/>
      <c r="Y291" s="14"/>
      <c r="Z291" s="14"/>
      <c r="AA291" s="14"/>
      <c r="AB291" s="165"/>
    </row>
    <row r="292" spans="1:28" x14ac:dyDescent="0.35">
      <c r="A292" s="187">
        <v>231.3</v>
      </c>
      <c r="B292" s="185" t="s">
        <v>154</v>
      </c>
      <c r="C292" s="189">
        <f t="shared" si="11"/>
        <v>2011</v>
      </c>
      <c r="D292" s="191">
        <f t="shared" si="12"/>
        <v>2011</v>
      </c>
      <c r="U292" s="12" t="s">
        <v>793</v>
      </c>
      <c r="V292" s="205">
        <v>1.7750999999999999</v>
      </c>
      <c r="W292" s="14"/>
      <c r="X292" s="14"/>
      <c r="Y292" s="14"/>
      <c r="Z292" s="14"/>
      <c r="AA292" s="14"/>
      <c r="AB292" s="165"/>
    </row>
    <row r="293" spans="1:28" x14ac:dyDescent="0.35">
      <c r="A293" s="187">
        <v>232.5</v>
      </c>
      <c r="B293" s="185" t="s">
        <v>157</v>
      </c>
      <c r="C293" s="189">
        <f t="shared" si="11"/>
        <v>2011</v>
      </c>
      <c r="D293" s="191">
        <f t="shared" si="12"/>
        <v>2011</v>
      </c>
      <c r="U293" s="12" t="s">
        <v>794</v>
      </c>
      <c r="V293" s="205">
        <v>1.8542000000000001</v>
      </c>
      <c r="W293" s="14"/>
      <c r="X293" s="14"/>
      <c r="Y293" s="14"/>
      <c r="Z293" s="14"/>
      <c r="AA293" s="14"/>
      <c r="AB293" s="165"/>
    </row>
    <row r="294" spans="1:28" x14ac:dyDescent="0.35">
      <c r="A294" s="187">
        <v>234.4</v>
      </c>
      <c r="B294" s="185" t="s">
        <v>159</v>
      </c>
      <c r="C294" s="189">
        <f t="shared" si="11"/>
        <v>2011</v>
      </c>
      <c r="D294" s="191">
        <f t="shared" si="12"/>
        <v>2012</v>
      </c>
      <c r="U294" s="12" t="s">
        <v>795</v>
      </c>
      <c r="V294" s="205">
        <v>1.8913</v>
      </c>
      <c r="W294" s="14"/>
      <c r="X294" s="14"/>
      <c r="Y294" s="14"/>
      <c r="Z294" s="14"/>
      <c r="AA294" s="14"/>
      <c r="AB294" s="165"/>
    </row>
    <row r="295" spans="1:28" x14ac:dyDescent="0.35">
      <c r="A295" s="187">
        <v>235.2</v>
      </c>
      <c r="B295" s="185" t="s">
        <v>162</v>
      </c>
      <c r="C295" s="189">
        <f t="shared" si="11"/>
        <v>2011</v>
      </c>
      <c r="D295" s="191">
        <f t="shared" si="12"/>
        <v>2012</v>
      </c>
      <c r="U295" s="12" t="s">
        <v>796</v>
      </c>
      <c r="V295" s="205">
        <v>1.829</v>
      </c>
      <c r="W295" s="14"/>
      <c r="X295" s="14"/>
      <c r="Y295" s="14"/>
      <c r="Z295" s="14"/>
      <c r="AA295" s="14"/>
      <c r="AB295" s="165"/>
    </row>
    <row r="296" spans="1:28" x14ac:dyDescent="0.35">
      <c r="A296" s="187">
        <v>235.2</v>
      </c>
      <c r="B296" s="185" t="s">
        <v>165</v>
      </c>
      <c r="C296" s="189">
        <f t="shared" si="11"/>
        <v>2011</v>
      </c>
      <c r="D296" s="191">
        <f t="shared" si="12"/>
        <v>2012</v>
      </c>
      <c r="U296" s="12" t="s">
        <v>797</v>
      </c>
      <c r="V296" s="205">
        <v>1.8355999999999999</v>
      </c>
      <c r="W296" s="14"/>
      <c r="X296" s="14"/>
      <c r="Y296" s="14"/>
      <c r="Z296" s="14"/>
      <c r="AA296" s="14"/>
      <c r="AB296" s="165"/>
    </row>
    <row r="297" spans="1:28" x14ac:dyDescent="0.35">
      <c r="A297" s="187">
        <v>234.7</v>
      </c>
      <c r="B297" s="185" t="s">
        <v>167</v>
      </c>
      <c r="C297" s="189">
        <f t="shared" si="11"/>
        <v>2011</v>
      </c>
      <c r="D297" s="191">
        <f t="shared" si="12"/>
        <v>2012</v>
      </c>
      <c r="U297" s="12" t="s">
        <v>798</v>
      </c>
      <c r="V297" s="205">
        <v>1.8696999999999999</v>
      </c>
      <c r="W297" s="14"/>
      <c r="X297" s="14"/>
      <c r="Y297" s="14"/>
      <c r="Z297" s="14"/>
      <c r="AA297" s="14"/>
      <c r="AB297" s="165"/>
    </row>
    <row r="298" spans="1:28" x14ac:dyDescent="0.35">
      <c r="A298" s="187">
        <v>236.1</v>
      </c>
      <c r="B298" s="185" t="s">
        <v>171</v>
      </c>
      <c r="C298" s="189">
        <f t="shared" si="11"/>
        <v>2011</v>
      </c>
      <c r="D298" s="191">
        <f t="shared" si="12"/>
        <v>2012</v>
      </c>
      <c r="U298" s="12" t="s">
        <v>799</v>
      </c>
      <c r="V298" s="205">
        <v>1.8289</v>
      </c>
      <c r="W298" s="14"/>
      <c r="X298" s="14"/>
      <c r="Y298" s="14"/>
      <c r="Z298" s="14"/>
      <c r="AA298" s="14"/>
      <c r="AB298" s="165"/>
    </row>
    <row r="299" spans="1:28" x14ac:dyDescent="0.35">
      <c r="A299" s="187">
        <v>237.9</v>
      </c>
      <c r="B299" s="185" t="s">
        <v>173</v>
      </c>
      <c r="C299" s="189">
        <f t="shared" si="11"/>
        <v>2011</v>
      </c>
      <c r="D299" s="191">
        <f t="shared" si="12"/>
        <v>2012</v>
      </c>
      <c r="U299" s="12" t="s">
        <v>800</v>
      </c>
      <c r="V299" s="205">
        <v>1.7842</v>
      </c>
      <c r="W299" s="14"/>
      <c r="X299" s="14"/>
      <c r="Y299" s="14"/>
      <c r="Z299" s="14"/>
      <c r="AA299" s="14"/>
      <c r="AB299" s="165"/>
    </row>
    <row r="300" spans="1:28" x14ac:dyDescent="0.35">
      <c r="A300" s="187">
        <v>238</v>
      </c>
      <c r="B300" s="185" t="s">
        <v>176</v>
      </c>
      <c r="C300" s="189">
        <f t="shared" si="11"/>
        <v>2011</v>
      </c>
      <c r="D300" s="191">
        <f t="shared" si="12"/>
        <v>2012</v>
      </c>
      <c r="U300" s="12" t="s">
        <v>801</v>
      </c>
      <c r="V300" s="205">
        <v>1.7770999999999999</v>
      </c>
      <c r="W300" s="14"/>
      <c r="X300" s="14"/>
      <c r="Y300" s="14"/>
      <c r="Z300" s="14"/>
      <c r="AA300" s="14"/>
      <c r="AB300" s="165"/>
    </row>
    <row r="301" spans="1:28" x14ac:dyDescent="0.35">
      <c r="A301" s="187">
        <v>238.5</v>
      </c>
      <c r="B301" s="185" t="s">
        <v>178</v>
      </c>
      <c r="C301" s="189">
        <f t="shared" si="11"/>
        <v>2011</v>
      </c>
      <c r="D301" s="191">
        <f t="shared" si="12"/>
        <v>2012</v>
      </c>
      <c r="U301" s="12" t="s">
        <v>802</v>
      </c>
      <c r="V301" s="205">
        <v>1.6773</v>
      </c>
      <c r="W301" s="14"/>
      <c r="X301" s="14"/>
      <c r="Y301" s="14"/>
      <c r="Z301" s="14"/>
      <c r="AA301" s="14"/>
      <c r="AB301" s="165"/>
    </row>
    <row r="302" spans="1:28" x14ac:dyDescent="0.35">
      <c r="A302" s="187">
        <v>239.4</v>
      </c>
      <c r="B302" s="185" t="s">
        <v>181</v>
      </c>
      <c r="C302" s="189">
        <f t="shared" si="11"/>
        <v>2011</v>
      </c>
      <c r="D302" s="191">
        <f t="shared" si="12"/>
        <v>2012</v>
      </c>
      <c r="U302" s="12" t="s">
        <v>803</v>
      </c>
      <c r="V302" s="205">
        <v>1.659</v>
      </c>
      <c r="W302" s="14"/>
      <c r="X302" s="14"/>
      <c r="Y302" s="14"/>
      <c r="Z302" s="14"/>
      <c r="AA302" s="14"/>
      <c r="AB302" s="165"/>
    </row>
    <row r="303" spans="1:28" x14ac:dyDescent="0.35">
      <c r="A303" s="187">
        <v>238</v>
      </c>
      <c r="B303" s="185" t="s">
        <v>152</v>
      </c>
      <c r="C303" s="189">
        <f t="shared" si="11"/>
        <v>2012</v>
      </c>
      <c r="D303" s="191">
        <f t="shared" si="12"/>
        <v>2012</v>
      </c>
      <c r="U303" s="12" t="s">
        <v>804</v>
      </c>
      <c r="V303" s="205">
        <v>1.7019</v>
      </c>
      <c r="W303" s="14"/>
      <c r="X303" s="14"/>
      <c r="Y303" s="14"/>
      <c r="Z303" s="14"/>
      <c r="AA303" s="14"/>
      <c r="AB303" s="165"/>
    </row>
    <row r="304" spans="1:28" x14ac:dyDescent="0.35">
      <c r="A304" s="187">
        <v>239.9</v>
      </c>
      <c r="B304" s="185" t="s">
        <v>154</v>
      </c>
      <c r="C304" s="189">
        <f t="shared" si="11"/>
        <v>2012</v>
      </c>
      <c r="D304" s="191">
        <f t="shared" si="12"/>
        <v>2012</v>
      </c>
      <c r="U304" s="12" t="s">
        <v>805</v>
      </c>
      <c r="V304" s="205">
        <v>1.7302</v>
      </c>
      <c r="W304" s="14"/>
      <c r="X304" s="14"/>
      <c r="Y304" s="14"/>
      <c r="Z304" s="14"/>
      <c r="AA304" s="14"/>
      <c r="AB304" s="165"/>
    </row>
    <row r="305" spans="1:28" x14ac:dyDescent="0.35">
      <c r="A305" s="187">
        <v>240.8</v>
      </c>
      <c r="B305" s="185" t="s">
        <v>157</v>
      </c>
      <c r="C305" s="189">
        <f t="shared" si="11"/>
        <v>2012</v>
      </c>
      <c r="D305" s="191">
        <f t="shared" si="12"/>
        <v>2012</v>
      </c>
      <c r="U305" s="12" t="s">
        <v>806</v>
      </c>
      <c r="V305" s="205">
        <v>1.7424999999999999</v>
      </c>
      <c r="W305" s="14"/>
      <c r="X305" s="14"/>
      <c r="Y305" s="14"/>
      <c r="Z305" s="14"/>
      <c r="AA305" s="14"/>
      <c r="AB305" s="165"/>
    </row>
    <row r="306" spans="1:28" x14ac:dyDescent="0.35">
      <c r="A306" s="187">
        <v>242.5</v>
      </c>
      <c r="B306" s="185" t="s">
        <v>159</v>
      </c>
      <c r="C306" s="189">
        <f t="shared" si="11"/>
        <v>2012</v>
      </c>
      <c r="D306" s="191">
        <f t="shared" si="12"/>
        <v>2013</v>
      </c>
      <c r="U306" s="12" t="s">
        <v>807</v>
      </c>
      <c r="V306" s="205">
        <v>1.7628999999999999</v>
      </c>
      <c r="W306" s="14"/>
      <c r="X306" s="14"/>
      <c r="Y306" s="14"/>
      <c r="Z306" s="14"/>
      <c r="AA306" s="14"/>
      <c r="AB306" s="165"/>
    </row>
    <row r="307" spans="1:28" x14ac:dyDescent="0.35">
      <c r="A307" s="187">
        <v>242.4</v>
      </c>
      <c r="B307" s="185" t="s">
        <v>162</v>
      </c>
      <c r="C307" s="189">
        <f t="shared" si="11"/>
        <v>2012</v>
      </c>
      <c r="D307" s="191">
        <f t="shared" si="12"/>
        <v>2013</v>
      </c>
      <c r="U307" s="12" t="s">
        <v>808</v>
      </c>
      <c r="V307" s="205">
        <v>1.7598</v>
      </c>
      <c r="W307" s="14"/>
      <c r="X307" s="14"/>
      <c r="Y307" s="14"/>
      <c r="Z307" s="14"/>
      <c r="AA307" s="14"/>
      <c r="AB307" s="165"/>
    </row>
    <row r="308" spans="1:28" x14ac:dyDescent="0.35">
      <c r="A308" s="187">
        <v>241.8</v>
      </c>
      <c r="B308" s="185" t="s">
        <v>165</v>
      </c>
      <c r="C308" s="189">
        <f t="shared" si="11"/>
        <v>2012</v>
      </c>
      <c r="D308" s="191">
        <f t="shared" si="12"/>
        <v>2013</v>
      </c>
      <c r="U308" s="12" t="s">
        <v>809</v>
      </c>
      <c r="V308" s="205">
        <v>1.7482</v>
      </c>
      <c r="W308" s="14"/>
      <c r="X308" s="14"/>
      <c r="Y308" s="14"/>
      <c r="Z308" s="14"/>
      <c r="AA308" s="14"/>
      <c r="AB308" s="165"/>
    </row>
    <row r="309" spans="1:28" x14ac:dyDescent="0.35">
      <c r="A309" s="187">
        <v>242.1</v>
      </c>
      <c r="B309" s="185" t="s">
        <v>167</v>
      </c>
      <c r="C309" s="189">
        <f t="shared" si="11"/>
        <v>2012</v>
      </c>
      <c r="D309" s="191">
        <f t="shared" si="12"/>
        <v>2013</v>
      </c>
      <c r="U309" s="12" t="s">
        <v>810</v>
      </c>
      <c r="V309" s="205">
        <v>1.7271000000000001</v>
      </c>
      <c r="W309" s="14"/>
      <c r="X309" s="14"/>
      <c r="Y309" s="14"/>
      <c r="Z309" s="14"/>
      <c r="AA309" s="14"/>
      <c r="AB309" s="165"/>
    </row>
    <row r="310" spans="1:28" x14ac:dyDescent="0.35">
      <c r="A310" s="187">
        <v>243</v>
      </c>
      <c r="B310" s="185" t="s">
        <v>171</v>
      </c>
      <c r="C310" s="189">
        <f t="shared" si="11"/>
        <v>2012</v>
      </c>
      <c r="D310" s="191">
        <f t="shared" si="12"/>
        <v>2013</v>
      </c>
      <c r="U310" s="12" t="s">
        <v>811</v>
      </c>
      <c r="V310" s="205">
        <v>1.7786</v>
      </c>
      <c r="W310" s="14"/>
      <c r="X310" s="14"/>
      <c r="Y310" s="14"/>
      <c r="Z310" s="14"/>
      <c r="AA310" s="14"/>
      <c r="AB310" s="165"/>
    </row>
    <row r="311" spans="1:28" x14ac:dyDescent="0.35">
      <c r="A311" s="187">
        <v>244.2</v>
      </c>
      <c r="B311" s="185" t="s">
        <v>173</v>
      </c>
      <c r="C311" s="189">
        <f t="shared" si="11"/>
        <v>2012</v>
      </c>
      <c r="D311" s="191">
        <f t="shared" si="12"/>
        <v>2013</v>
      </c>
      <c r="U311" s="12" t="s">
        <v>812</v>
      </c>
      <c r="V311" s="205">
        <v>1.7962</v>
      </c>
      <c r="W311" s="14"/>
      <c r="X311" s="14"/>
      <c r="Y311" s="14"/>
      <c r="Z311" s="14"/>
      <c r="AA311" s="14"/>
      <c r="AB311" s="165"/>
    </row>
    <row r="312" spans="1:28" x14ac:dyDescent="0.35">
      <c r="A312" s="187">
        <v>245.6</v>
      </c>
      <c r="B312" s="185" t="s">
        <v>176</v>
      </c>
      <c r="C312" s="189">
        <f t="shared" si="11"/>
        <v>2012</v>
      </c>
      <c r="D312" s="191">
        <f t="shared" si="12"/>
        <v>2013</v>
      </c>
      <c r="U312" s="12" t="s">
        <v>813</v>
      </c>
      <c r="V312" s="205">
        <v>1.7978000000000001</v>
      </c>
      <c r="W312" s="14"/>
      <c r="X312" s="14"/>
      <c r="Y312" s="14"/>
      <c r="Z312" s="14"/>
      <c r="AA312" s="14"/>
      <c r="AB312" s="165"/>
    </row>
    <row r="313" spans="1:28" x14ac:dyDescent="0.35">
      <c r="A313" s="187">
        <v>245.6</v>
      </c>
      <c r="B313" s="185" t="s">
        <v>178</v>
      </c>
      <c r="C313" s="189">
        <f t="shared" si="11"/>
        <v>2012</v>
      </c>
      <c r="D313" s="191">
        <f t="shared" si="12"/>
        <v>2013</v>
      </c>
      <c r="U313" s="12" t="s">
        <v>814</v>
      </c>
      <c r="V313" s="205">
        <v>1.8088</v>
      </c>
      <c r="W313" s="14"/>
      <c r="X313" s="14"/>
      <c r="Y313" s="14"/>
      <c r="Z313" s="14"/>
      <c r="AA313" s="14"/>
      <c r="AB313" s="165"/>
    </row>
    <row r="314" spans="1:28" x14ac:dyDescent="0.35">
      <c r="A314" s="187">
        <v>246.8</v>
      </c>
      <c r="B314" s="185" t="s">
        <v>181</v>
      </c>
      <c r="C314" s="189">
        <f t="shared" si="11"/>
        <v>2012</v>
      </c>
      <c r="D314" s="191">
        <f t="shared" si="12"/>
        <v>2013</v>
      </c>
      <c r="U314" s="12" t="s">
        <v>815</v>
      </c>
      <c r="V314" s="205">
        <v>1.8179000000000001</v>
      </c>
      <c r="W314" s="14"/>
      <c r="X314" s="14"/>
      <c r="Y314" s="14"/>
      <c r="Z314" s="14"/>
      <c r="AA314" s="14"/>
      <c r="AB314" s="165"/>
    </row>
    <row r="315" spans="1:28" x14ac:dyDescent="0.35">
      <c r="A315" s="187">
        <v>245.8</v>
      </c>
      <c r="B315" s="185" t="s">
        <v>152</v>
      </c>
      <c r="C315" s="189">
        <f t="shared" si="11"/>
        <v>2013</v>
      </c>
      <c r="D315" s="191">
        <f t="shared" si="12"/>
        <v>2013</v>
      </c>
      <c r="U315" s="12" t="s">
        <v>816</v>
      </c>
      <c r="V315" s="205">
        <v>1.7736000000000001</v>
      </c>
      <c r="W315" s="14"/>
      <c r="X315" s="14"/>
      <c r="Y315" s="14"/>
      <c r="Z315" s="14"/>
      <c r="AA315" s="14"/>
      <c r="AB315" s="165"/>
    </row>
    <row r="316" spans="1:28" x14ac:dyDescent="0.35">
      <c r="A316" s="187">
        <v>247.6</v>
      </c>
      <c r="B316" s="185" t="s">
        <v>154</v>
      </c>
      <c r="C316" s="189">
        <f t="shared" si="11"/>
        <v>2013</v>
      </c>
      <c r="D316" s="191">
        <f t="shared" si="12"/>
        <v>2013</v>
      </c>
      <c r="U316" s="12" t="s">
        <v>817</v>
      </c>
      <c r="V316" s="205">
        <v>1.6860999999999999</v>
      </c>
      <c r="W316" s="14"/>
      <c r="X316" s="14"/>
      <c r="Y316" s="14"/>
      <c r="Z316" s="14"/>
      <c r="AA316" s="14"/>
      <c r="AB316" s="165"/>
    </row>
    <row r="317" spans="1:28" x14ac:dyDescent="0.35">
      <c r="A317" s="187">
        <v>248.7</v>
      </c>
      <c r="B317" s="185" t="s">
        <v>157</v>
      </c>
      <c r="C317" s="189">
        <f t="shared" si="11"/>
        <v>2013</v>
      </c>
      <c r="D317" s="191">
        <f t="shared" si="12"/>
        <v>2013</v>
      </c>
      <c r="U317" s="12" t="s">
        <v>818</v>
      </c>
      <c r="V317" s="205">
        <v>1.6185</v>
      </c>
      <c r="W317" s="14"/>
      <c r="X317" s="14"/>
      <c r="Y317" s="14"/>
      <c r="Z317" s="14"/>
      <c r="AA317" s="14"/>
      <c r="AB317" s="165"/>
    </row>
    <row r="318" spans="1:28" x14ac:dyDescent="0.35">
      <c r="A318" s="187">
        <v>249.5</v>
      </c>
      <c r="B318" s="185" t="s">
        <v>159</v>
      </c>
      <c r="C318" s="189">
        <f t="shared" si="11"/>
        <v>2013</v>
      </c>
      <c r="D318" s="191">
        <f t="shared" si="12"/>
        <v>2014</v>
      </c>
      <c r="U318" s="12" t="s">
        <v>819</v>
      </c>
      <c r="V318" s="205">
        <v>1.6019000000000001</v>
      </c>
      <c r="W318" s="14"/>
      <c r="X318" s="14"/>
      <c r="Y318" s="14"/>
      <c r="Z318" s="14"/>
      <c r="AA318" s="14"/>
      <c r="AB318" s="165"/>
    </row>
    <row r="319" spans="1:28" x14ac:dyDescent="0.35">
      <c r="A319" s="187">
        <v>250</v>
      </c>
      <c r="B319" s="185" t="s">
        <v>162</v>
      </c>
      <c r="C319" s="189">
        <f t="shared" si="11"/>
        <v>2013</v>
      </c>
      <c r="D319" s="191">
        <f t="shared" si="12"/>
        <v>2014</v>
      </c>
      <c r="U319" s="12" t="s">
        <v>820</v>
      </c>
      <c r="V319" s="205">
        <v>1.5678000000000001</v>
      </c>
      <c r="W319" s="14"/>
      <c r="X319" s="14"/>
      <c r="Y319" s="14"/>
      <c r="Z319" s="14"/>
      <c r="AA319" s="14"/>
      <c r="AB319" s="165"/>
    </row>
    <row r="320" spans="1:28" x14ac:dyDescent="0.35">
      <c r="A320" s="187">
        <v>249.7</v>
      </c>
      <c r="B320" s="185" t="s">
        <v>165</v>
      </c>
      <c r="C320" s="189">
        <f t="shared" si="11"/>
        <v>2013</v>
      </c>
      <c r="D320" s="191">
        <f t="shared" si="12"/>
        <v>2014</v>
      </c>
      <c r="U320" s="12" t="s">
        <v>821</v>
      </c>
      <c r="V320" s="205">
        <v>1.6580999999999999</v>
      </c>
      <c r="W320" s="14"/>
      <c r="X320" s="14"/>
      <c r="Y320" s="14"/>
      <c r="Z320" s="14"/>
      <c r="AA320" s="14"/>
      <c r="AB320" s="165"/>
    </row>
    <row r="321" spans="1:28" x14ac:dyDescent="0.35">
      <c r="A321" s="187">
        <v>249.7</v>
      </c>
      <c r="B321" s="185" t="s">
        <v>167</v>
      </c>
      <c r="C321" s="189">
        <f t="shared" si="11"/>
        <v>2013</v>
      </c>
      <c r="D321" s="191">
        <f t="shared" si="12"/>
        <v>2014</v>
      </c>
      <c r="U321" s="12" t="s">
        <v>822</v>
      </c>
      <c r="V321" s="205">
        <v>1.7111000000000001</v>
      </c>
      <c r="W321" s="14"/>
      <c r="X321" s="14"/>
      <c r="Y321" s="14"/>
      <c r="Z321" s="14"/>
      <c r="AA321" s="14"/>
      <c r="AB321" s="165"/>
    </row>
    <row r="322" spans="1:28" x14ac:dyDescent="0.35">
      <c r="A322" s="187">
        <v>251</v>
      </c>
      <c r="B322" s="185" t="s">
        <v>171</v>
      </c>
      <c r="C322" s="189">
        <f t="shared" si="11"/>
        <v>2013</v>
      </c>
      <c r="D322" s="191">
        <f t="shared" si="12"/>
        <v>2014</v>
      </c>
      <c r="U322" s="12" t="s">
        <v>823</v>
      </c>
      <c r="V322" s="205">
        <v>1.7412000000000001</v>
      </c>
      <c r="W322" s="14"/>
      <c r="X322" s="14"/>
      <c r="Y322" s="14"/>
      <c r="Z322" s="14"/>
      <c r="AA322" s="14"/>
      <c r="AB322" s="165"/>
    </row>
    <row r="323" spans="1:28" x14ac:dyDescent="0.35">
      <c r="A323" s="187">
        <v>251.9</v>
      </c>
      <c r="B323" s="185" t="s">
        <v>173</v>
      </c>
      <c r="C323" s="189">
        <f t="shared" si="11"/>
        <v>2013</v>
      </c>
      <c r="D323" s="191">
        <f t="shared" si="12"/>
        <v>2014</v>
      </c>
      <c r="U323" s="12" t="s">
        <v>824</v>
      </c>
      <c r="V323" s="205">
        <v>1.7478</v>
      </c>
      <c r="W323" s="14"/>
      <c r="X323" s="14"/>
      <c r="Y323" s="14"/>
      <c r="Z323" s="14"/>
      <c r="AA323" s="14"/>
      <c r="AB323" s="165"/>
    </row>
    <row r="324" spans="1:28" x14ac:dyDescent="0.35">
      <c r="A324" s="187">
        <v>251.9</v>
      </c>
      <c r="B324" s="185" t="s">
        <v>176</v>
      </c>
      <c r="C324" s="189">
        <f t="shared" si="11"/>
        <v>2013</v>
      </c>
      <c r="D324" s="191">
        <f t="shared" si="12"/>
        <v>2014</v>
      </c>
      <c r="U324" s="12" t="s">
        <v>825</v>
      </c>
      <c r="V324" s="205">
        <v>1.7744</v>
      </c>
      <c r="W324" s="14"/>
      <c r="X324" s="14"/>
      <c r="Y324" s="14"/>
      <c r="Z324" s="14"/>
      <c r="AA324" s="14"/>
      <c r="AB324" s="165"/>
    </row>
    <row r="325" spans="1:28" x14ac:dyDescent="0.35">
      <c r="A325" s="187">
        <v>252.1</v>
      </c>
      <c r="B325" s="185" t="s">
        <v>178</v>
      </c>
      <c r="C325" s="189">
        <f t="shared" ref="C325:C365" si="13">IF(B324="December",C324+1,C324)</f>
        <v>2013</v>
      </c>
      <c r="D325" s="191">
        <f t="shared" ref="D325:D365" si="14">IF(B324="March",D324+1,D324)</f>
        <v>2014</v>
      </c>
      <c r="U325" s="12" t="s">
        <v>826</v>
      </c>
      <c r="V325" s="205">
        <v>1.7733000000000001</v>
      </c>
      <c r="W325" s="14"/>
      <c r="X325" s="14"/>
      <c r="Y325" s="14"/>
      <c r="Z325" s="14"/>
      <c r="AA325" s="14"/>
      <c r="AB325" s="165"/>
    </row>
    <row r="326" spans="1:28" x14ac:dyDescent="0.35">
      <c r="A326" s="187">
        <v>253.4</v>
      </c>
      <c r="B326" s="185" t="s">
        <v>181</v>
      </c>
      <c r="C326" s="189">
        <f t="shared" si="13"/>
        <v>2013</v>
      </c>
      <c r="D326" s="191">
        <f t="shared" si="14"/>
        <v>2014</v>
      </c>
      <c r="U326" s="12" t="s">
        <v>827</v>
      </c>
      <c r="V326" s="205">
        <v>1.7405999999999999</v>
      </c>
      <c r="W326" s="14"/>
      <c r="X326" s="14"/>
      <c r="Y326" s="14"/>
      <c r="Z326" s="14"/>
      <c r="AA326" s="14"/>
      <c r="AB326" s="165"/>
    </row>
    <row r="327" spans="1:28" x14ac:dyDescent="0.35">
      <c r="A327" s="187">
        <v>252.6</v>
      </c>
      <c r="B327" s="185" t="s">
        <v>152</v>
      </c>
      <c r="C327" s="189">
        <f t="shared" si="13"/>
        <v>2014</v>
      </c>
      <c r="D327" s="191">
        <f t="shared" si="14"/>
        <v>2014</v>
      </c>
      <c r="U327" s="12" t="s">
        <v>828</v>
      </c>
      <c r="V327" s="205">
        <v>1.7670999999999999</v>
      </c>
      <c r="W327" s="14"/>
      <c r="X327" s="14"/>
      <c r="Y327" s="14"/>
      <c r="Z327" s="14"/>
      <c r="AA327" s="14"/>
      <c r="AB327" s="165"/>
    </row>
    <row r="328" spans="1:28" x14ac:dyDescent="0.35">
      <c r="A328" s="187">
        <v>254.2</v>
      </c>
      <c r="B328" s="185" t="s">
        <v>154</v>
      </c>
      <c r="C328" s="189">
        <f t="shared" si="13"/>
        <v>2014</v>
      </c>
      <c r="D328" s="191">
        <f t="shared" si="14"/>
        <v>2014</v>
      </c>
      <c r="U328" s="12" t="s">
        <v>829</v>
      </c>
      <c r="V328" s="205">
        <v>1.7593000000000001</v>
      </c>
      <c r="W328" s="14"/>
      <c r="X328" s="14"/>
      <c r="Y328" s="14"/>
      <c r="Z328" s="14"/>
      <c r="AA328" s="14"/>
      <c r="AB328" s="165"/>
    </row>
    <row r="329" spans="1:28" x14ac:dyDescent="0.35">
      <c r="A329" s="187">
        <v>254.8</v>
      </c>
      <c r="B329" s="185" t="s">
        <v>157</v>
      </c>
      <c r="C329" s="189">
        <f t="shared" si="13"/>
        <v>2014</v>
      </c>
      <c r="D329" s="191">
        <f t="shared" si="14"/>
        <v>2014</v>
      </c>
      <c r="U329" s="12" t="s">
        <v>830</v>
      </c>
      <c r="V329" s="205">
        <v>1.7659</v>
      </c>
      <c r="W329" s="14"/>
      <c r="X329" s="14"/>
      <c r="Y329" s="14"/>
      <c r="Z329" s="14"/>
      <c r="AA329" s="14"/>
      <c r="AB329" s="165"/>
    </row>
    <row r="330" spans="1:28" x14ac:dyDescent="0.35">
      <c r="A330" s="187">
        <v>255.7</v>
      </c>
      <c r="B330" s="185" t="s">
        <v>159</v>
      </c>
      <c r="C330" s="189">
        <f t="shared" si="13"/>
        <v>2014</v>
      </c>
      <c r="D330" s="191">
        <f t="shared" si="14"/>
        <v>2015</v>
      </c>
      <c r="U330" s="12" t="s">
        <v>831</v>
      </c>
      <c r="V330" s="205">
        <v>1.7448999999999999</v>
      </c>
      <c r="W330" s="14"/>
      <c r="X330" s="14"/>
      <c r="Y330" s="14"/>
      <c r="Z330" s="14"/>
      <c r="AA330" s="14"/>
      <c r="AB330" s="165"/>
    </row>
    <row r="331" spans="1:28" x14ac:dyDescent="0.35">
      <c r="A331" s="187">
        <v>255.9</v>
      </c>
      <c r="B331" s="185" t="s">
        <v>162</v>
      </c>
      <c r="C331" s="189">
        <f t="shared" si="13"/>
        <v>2014</v>
      </c>
      <c r="D331" s="191">
        <f t="shared" si="14"/>
        <v>2015</v>
      </c>
      <c r="U331" s="12" t="s">
        <v>832</v>
      </c>
      <c r="V331" s="205">
        <v>1.6998</v>
      </c>
      <c r="W331" s="14"/>
      <c r="X331" s="14"/>
      <c r="Y331" s="14"/>
      <c r="Z331" s="14"/>
      <c r="AA331" s="14"/>
      <c r="AB331" s="165"/>
    </row>
    <row r="332" spans="1:28" x14ac:dyDescent="0.35">
      <c r="A332" s="187">
        <v>256.3</v>
      </c>
      <c r="B332" s="185" t="s">
        <v>165</v>
      </c>
      <c r="C332" s="189">
        <f t="shared" si="13"/>
        <v>2014</v>
      </c>
      <c r="D332" s="191">
        <f t="shared" si="14"/>
        <v>2015</v>
      </c>
      <c r="U332" s="12" t="s">
        <v>833</v>
      </c>
      <c r="V332" s="205">
        <v>1.6860999999999999</v>
      </c>
      <c r="W332" s="14"/>
      <c r="X332" s="14"/>
      <c r="Y332" s="14"/>
      <c r="Z332" s="14"/>
      <c r="AA332" s="14"/>
      <c r="AB332" s="165"/>
    </row>
    <row r="333" spans="1:28" x14ac:dyDescent="0.35">
      <c r="A333" s="187">
        <v>256</v>
      </c>
      <c r="B333" s="185" t="s">
        <v>167</v>
      </c>
      <c r="C333" s="189">
        <f t="shared" si="13"/>
        <v>2014</v>
      </c>
      <c r="D333" s="191">
        <f t="shared" si="14"/>
        <v>2015</v>
      </c>
      <c r="U333" s="12" t="s">
        <v>834</v>
      </c>
      <c r="V333" s="205">
        <v>1.7084999999999999</v>
      </c>
      <c r="W333" s="14"/>
      <c r="X333" s="14"/>
      <c r="Y333" s="14"/>
      <c r="Z333" s="14"/>
      <c r="AA333" s="14"/>
      <c r="AB333" s="165"/>
    </row>
    <row r="334" spans="1:28" x14ac:dyDescent="0.35">
      <c r="A334" s="187">
        <v>257</v>
      </c>
      <c r="B334" s="185" t="s">
        <v>171</v>
      </c>
      <c r="C334" s="189">
        <f t="shared" si="13"/>
        <v>2014</v>
      </c>
      <c r="D334" s="191">
        <f t="shared" si="14"/>
        <v>2015</v>
      </c>
      <c r="U334" s="12" t="s">
        <v>835</v>
      </c>
      <c r="V334" s="205">
        <v>1.6903999999999999</v>
      </c>
      <c r="W334" s="14"/>
      <c r="X334" s="14"/>
      <c r="Y334" s="14"/>
      <c r="Z334" s="14"/>
      <c r="AA334" s="14"/>
      <c r="AB334" s="165"/>
    </row>
    <row r="335" spans="1:28" x14ac:dyDescent="0.35">
      <c r="A335" s="187">
        <v>257.60000000000002</v>
      </c>
      <c r="B335" s="185" t="s">
        <v>173</v>
      </c>
      <c r="C335" s="189">
        <f t="shared" si="13"/>
        <v>2014</v>
      </c>
      <c r="D335" s="191">
        <f t="shared" si="14"/>
        <v>2015</v>
      </c>
      <c r="U335" s="12" t="s">
        <v>836</v>
      </c>
      <c r="V335" s="205">
        <v>1.6834</v>
      </c>
      <c r="W335" s="14"/>
      <c r="X335" s="14"/>
      <c r="Y335" s="14"/>
      <c r="Z335" s="14"/>
      <c r="AA335" s="14"/>
      <c r="AB335" s="165"/>
    </row>
    <row r="336" spans="1:28" x14ac:dyDescent="0.35">
      <c r="A336" s="187">
        <v>257.7</v>
      </c>
      <c r="B336" s="185" t="s">
        <v>176</v>
      </c>
      <c r="C336" s="189">
        <f t="shared" si="13"/>
        <v>2014</v>
      </c>
      <c r="D336" s="191">
        <f t="shared" si="14"/>
        <v>2015</v>
      </c>
      <c r="U336" s="12" t="s">
        <v>837</v>
      </c>
      <c r="V336" s="205">
        <v>1.6972</v>
      </c>
      <c r="W336" s="14"/>
      <c r="X336" s="14"/>
      <c r="Y336" s="14"/>
      <c r="Z336" s="14"/>
      <c r="AA336" s="14"/>
      <c r="AB336" s="165"/>
    </row>
    <row r="337" spans="1:28" x14ac:dyDescent="0.35">
      <c r="A337" s="187">
        <v>257.10000000000002</v>
      </c>
      <c r="B337" s="185" t="s">
        <v>178</v>
      </c>
      <c r="C337" s="189">
        <f t="shared" si="13"/>
        <v>2014</v>
      </c>
      <c r="D337" s="191">
        <f t="shared" si="14"/>
        <v>2015</v>
      </c>
      <c r="U337" s="12" t="s">
        <v>838</v>
      </c>
      <c r="V337" s="205">
        <v>1.7027000000000001</v>
      </c>
      <c r="W337" s="14"/>
      <c r="X337" s="14"/>
      <c r="Y337" s="14"/>
      <c r="Z337" s="14"/>
      <c r="AA337" s="14"/>
      <c r="AB337" s="165"/>
    </row>
    <row r="338" spans="1:28" x14ac:dyDescent="0.35">
      <c r="A338" s="187">
        <v>257.5</v>
      </c>
      <c r="B338" s="185" t="s">
        <v>181</v>
      </c>
      <c r="C338" s="189">
        <f t="shared" si="13"/>
        <v>2014</v>
      </c>
      <c r="D338" s="191">
        <f t="shared" si="14"/>
        <v>2015</v>
      </c>
      <c r="U338" s="12" t="s">
        <v>839</v>
      </c>
      <c r="V338" s="205">
        <v>1.6748000000000001</v>
      </c>
      <c r="W338" s="14"/>
      <c r="X338" s="14"/>
      <c r="Y338" s="14"/>
      <c r="Z338" s="14"/>
      <c r="AA338" s="14"/>
      <c r="AB338" s="165"/>
    </row>
    <row r="339" spans="1:28" x14ac:dyDescent="0.35">
      <c r="A339" s="187">
        <v>255.4</v>
      </c>
      <c r="B339" s="185" t="s">
        <v>152</v>
      </c>
      <c r="C339" s="189">
        <f t="shared" si="13"/>
        <v>2015</v>
      </c>
      <c r="D339" s="191">
        <f t="shared" si="14"/>
        <v>2015</v>
      </c>
      <c r="U339" s="12" t="s">
        <v>840</v>
      </c>
      <c r="V339" s="205">
        <v>1.6635</v>
      </c>
      <c r="W339" s="14"/>
      <c r="X339" s="14"/>
      <c r="Y339" s="14"/>
      <c r="Z339" s="14"/>
      <c r="AA339" s="14"/>
      <c r="AB339" s="165"/>
    </row>
    <row r="340" spans="1:28" x14ac:dyDescent="0.35">
      <c r="A340" s="187">
        <v>256.7</v>
      </c>
      <c r="B340" s="185" t="s">
        <v>154</v>
      </c>
      <c r="C340" s="189">
        <f t="shared" si="13"/>
        <v>2015</v>
      </c>
      <c r="D340" s="191">
        <f t="shared" si="14"/>
        <v>2015</v>
      </c>
      <c r="U340" s="12" t="s">
        <v>841</v>
      </c>
      <c r="V340" s="205">
        <v>1.6449</v>
      </c>
      <c r="W340" s="14"/>
      <c r="X340" s="14"/>
      <c r="Y340" s="14"/>
      <c r="Z340" s="14"/>
      <c r="AA340" s="14"/>
      <c r="AB340" s="165"/>
    </row>
    <row r="341" spans="1:28" x14ac:dyDescent="0.35">
      <c r="A341" s="187">
        <v>257.10000000000002</v>
      </c>
      <c r="B341" s="185" t="s">
        <v>157</v>
      </c>
      <c r="C341" s="189">
        <f t="shared" si="13"/>
        <v>2015</v>
      </c>
      <c r="D341" s="191">
        <f t="shared" si="14"/>
        <v>2015</v>
      </c>
      <c r="U341" s="12" t="s">
        <v>842</v>
      </c>
      <c r="V341" s="205">
        <v>1.5959000000000001</v>
      </c>
      <c r="W341" s="14"/>
      <c r="X341" s="14"/>
      <c r="Y341" s="14"/>
      <c r="Z341" s="14"/>
      <c r="AA341" s="14"/>
      <c r="AB341" s="165"/>
    </row>
    <row r="342" spans="1:28" x14ac:dyDescent="0.35">
      <c r="A342" s="187">
        <v>258</v>
      </c>
      <c r="B342" s="185" t="s">
        <v>159</v>
      </c>
      <c r="C342" s="189">
        <f t="shared" si="13"/>
        <v>2015</v>
      </c>
      <c r="D342" s="191">
        <f t="shared" si="14"/>
        <v>2016</v>
      </c>
      <c r="U342" s="12" t="s">
        <v>843</v>
      </c>
      <c r="V342" s="205">
        <v>1.6108</v>
      </c>
      <c r="W342" s="14"/>
      <c r="X342" s="14"/>
      <c r="Y342" s="14"/>
      <c r="Z342" s="14"/>
      <c r="AA342" s="14"/>
      <c r="AB342" s="165"/>
    </row>
    <row r="343" spans="1:28" x14ac:dyDescent="0.35">
      <c r="A343" s="187">
        <v>258.5</v>
      </c>
      <c r="B343" s="185" t="s">
        <v>162</v>
      </c>
      <c r="C343" s="189">
        <f t="shared" si="13"/>
        <v>2015</v>
      </c>
      <c r="D343" s="191">
        <f t="shared" si="14"/>
        <v>2016</v>
      </c>
      <c r="U343" s="12" t="s">
        <v>844</v>
      </c>
      <c r="V343" s="205">
        <v>1.6581999999999999</v>
      </c>
      <c r="W343" s="14"/>
      <c r="X343" s="14"/>
      <c r="Y343" s="14"/>
      <c r="Z343" s="14"/>
      <c r="AA343" s="14"/>
      <c r="AB343" s="165"/>
    </row>
    <row r="344" spans="1:28" x14ac:dyDescent="0.35">
      <c r="A344" s="187">
        <v>258.89999999999998</v>
      </c>
      <c r="B344" s="185" t="s">
        <v>165</v>
      </c>
      <c r="C344" s="189">
        <f t="shared" si="13"/>
        <v>2015</v>
      </c>
      <c r="D344" s="191">
        <f t="shared" si="14"/>
        <v>2016</v>
      </c>
      <c r="U344" s="12" t="s">
        <v>845</v>
      </c>
      <c r="V344" s="205">
        <v>1.7203999999999999</v>
      </c>
      <c r="W344" s="14"/>
      <c r="X344" s="14"/>
      <c r="Y344" s="14"/>
      <c r="Z344" s="14"/>
      <c r="AA344" s="14"/>
      <c r="AB344" s="165"/>
    </row>
    <row r="345" spans="1:28" x14ac:dyDescent="0.35">
      <c r="A345" s="187">
        <v>258.60000000000002</v>
      </c>
      <c r="B345" s="185" t="s">
        <v>167</v>
      </c>
      <c r="C345" s="189">
        <f t="shared" si="13"/>
        <v>2015</v>
      </c>
      <c r="D345" s="191">
        <f t="shared" si="14"/>
        <v>2016</v>
      </c>
      <c r="U345" s="12" t="s">
        <v>846</v>
      </c>
      <c r="V345" s="205">
        <v>1.7437</v>
      </c>
      <c r="W345" s="14"/>
      <c r="X345" s="14"/>
      <c r="Y345" s="14"/>
      <c r="Z345" s="14"/>
      <c r="AA345" s="14"/>
      <c r="AB345" s="165"/>
    </row>
    <row r="346" spans="1:28" x14ac:dyDescent="0.35">
      <c r="A346" s="187">
        <v>259.8</v>
      </c>
      <c r="B346" s="185" t="s">
        <v>171</v>
      </c>
      <c r="C346" s="189">
        <f t="shared" si="13"/>
        <v>2015</v>
      </c>
      <c r="D346" s="191">
        <f t="shared" si="14"/>
        <v>2016</v>
      </c>
      <c r="U346" s="12" t="s">
        <v>847</v>
      </c>
      <c r="V346" s="205">
        <v>1.7637</v>
      </c>
      <c r="W346" s="14"/>
      <c r="X346" s="14"/>
      <c r="Y346" s="14"/>
      <c r="Z346" s="14"/>
      <c r="AA346" s="14"/>
      <c r="AB346" s="165"/>
    </row>
    <row r="347" spans="1:28" x14ac:dyDescent="0.35">
      <c r="A347" s="187">
        <v>259.60000000000002</v>
      </c>
      <c r="B347" s="185" t="s">
        <v>173</v>
      </c>
      <c r="C347" s="189">
        <f t="shared" si="13"/>
        <v>2015</v>
      </c>
      <c r="D347" s="191">
        <f t="shared" si="14"/>
        <v>2016</v>
      </c>
      <c r="U347" s="12" t="s">
        <v>848</v>
      </c>
      <c r="V347" s="205">
        <v>1.8121</v>
      </c>
      <c r="W347" s="14"/>
      <c r="X347" s="14"/>
      <c r="Y347" s="14"/>
      <c r="Z347" s="14"/>
      <c r="AA347" s="14"/>
      <c r="AB347" s="165"/>
    </row>
    <row r="348" spans="1:28" x14ac:dyDescent="0.35">
      <c r="A348" s="187">
        <v>259.5</v>
      </c>
      <c r="B348" s="185" t="s">
        <v>176</v>
      </c>
      <c r="C348" s="189">
        <f t="shared" si="13"/>
        <v>2015</v>
      </c>
      <c r="D348" s="191">
        <f t="shared" si="14"/>
        <v>2016</v>
      </c>
      <c r="U348" s="12" t="s">
        <v>849</v>
      </c>
      <c r="V348" s="205">
        <v>1.7568999999999999</v>
      </c>
      <c r="W348" s="14"/>
      <c r="X348" s="14"/>
      <c r="Y348" s="14"/>
      <c r="Z348" s="14"/>
      <c r="AA348" s="14"/>
      <c r="AB348" s="165"/>
    </row>
    <row r="349" spans="1:28" x14ac:dyDescent="0.35">
      <c r="A349" s="187">
        <v>259.8</v>
      </c>
      <c r="B349" s="185" t="s">
        <v>178</v>
      </c>
      <c r="C349" s="189">
        <f t="shared" si="13"/>
        <v>2015</v>
      </c>
      <c r="D349" s="191">
        <f t="shared" si="14"/>
        <v>2016</v>
      </c>
      <c r="U349" s="12" t="s">
        <v>850</v>
      </c>
      <c r="V349" s="205">
        <v>1.7613000000000001</v>
      </c>
      <c r="W349" s="14"/>
      <c r="X349" s="14"/>
      <c r="Y349" s="14"/>
      <c r="Z349" s="14"/>
      <c r="AA349" s="14"/>
      <c r="AB349" s="165"/>
    </row>
    <row r="350" spans="1:28" x14ac:dyDescent="0.35">
      <c r="A350" s="187">
        <v>260.60000000000002</v>
      </c>
      <c r="B350" s="185" t="s">
        <v>181</v>
      </c>
      <c r="C350" s="189">
        <f t="shared" si="13"/>
        <v>2015</v>
      </c>
      <c r="D350" s="191">
        <f t="shared" si="14"/>
        <v>2016</v>
      </c>
      <c r="U350" s="12" t="s">
        <v>851</v>
      </c>
      <c r="V350" s="205">
        <v>1.7161</v>
      </c>
      <c r="W350" s="14"/>
      <c r="X350" s="14"/>
      <c r="Y350" s="14"/>
      <c r="Z350" s="14"/>
      <c r="AA350" s="14"/>
      <c r="AB350" s="165"/>
    </row>
    <row r="351" spans="1:28" x14ac:dyDescent="0.35">
      <c r="A351" s="187">
        <v>258.8</v>
      </c>
      <c r="B351" s="185" t="s">
        <v>152</v>
      </c>
      <c r="C351" s="189">
        <f t="shared" si="13"/>
        <v>2016</v>
      </c>
      <c r="D351" s="191">
        <f t="shared" si="14"/>
        <v>2016</v>
      </c>
      <c r="U351" s="12" t="s">
        <v>852</v>
      </c>
      <c r="V351" s="205">
        <v>1.7053</v>
      </c>
      <c r="W351" s="14"/>
      <c r="X351" s="14"/>
      <c r="Y351" s="14"/>
      <c r="Z351" s="14"/>
      <c r="AA351" s="14"/>
      <c r="AB351" s="165"/>
    </row>
    <row r="352" spans="1:28" x14ac:dyDescent="0.35">
      <c r="A352" s="187">
        <v>260</v>
      </c>
      <c r="B352" s="185" t="s">
        <v>154</v>
      </c>
      <c r="C352" s="189">
        <f t="shared" si="13"/>
        <v>2016</v>
      </c>
      <c r="D352" s="191">
        <f t="shared" si="14"/>
        <v>2016</v>
      </c>
      <c r="U352" s="12" t="s">
        <v>853</v>
      </c>
      <c r="V352" s="205">
        <v>1.6657</v>
      </c>
      <c r="W352" s="14"/>
      <c r="X352" s="14"/>
      <c r="Y352" s="14"/>
      <c r="Z352" s="14"/>
      <c r="AA352" s="14"/>
      <c r="AB352" s="165"/>
    </row>
    <row r="353" spans="1:28" x14ac:dyDescent="0.35">
      <c r="A353" s="187">
        <v>261.10000000000002</v>
      </c>
      <c r="B353" s="185" t="s">
        <v>157</v>
      </c>
      <c r="C353" s="189">
        <f t="shared" si="13"/>
        <v>2016</v>
      </c>
      <c r="D353" s="191">
        <f t="shared" si="14"/>
        <v>2016</v>
      </c>
      <c r="U353" s="12" t="s">
        <v>854</v>
      </c>
      <c r="V353" s="205">
        <v>1.5955999999999999</v>
      </c>
      <c r="W353" s="14"/>
      <c r="X353" s="14"/>
      <c r="Y353" s="14"/>
      <c r="Z353" s="14"/>
      <c r="AA353" s="14"/>
      <c r="AB353" s="165"/>
    </row>
    <row r="354" spans="1:28" x14ac:dyDescent="0.35">
      <c r="A354" s="187">
        <v>261.39999999999998</v>
      </c>
      <c r="B354" s="185" t="s">
        <v>159</v>
      </c>
      <c r="C354" s="189">
        <f t="shared" si="13"/>
        <v>2016</v>
      </c>
      <c r="D354" s="191">
        <f t="shared" si="14"/>
        <v>2017</v>
      </c>
      <c r="U354" s="12" t="s">
        <v>855</v>
      </c>
      <c r="V354" s="205">
        <v>1.5329999999999999</v>
      </c>
      <c r="W354" s="14"/>
      <c r="X354" s="14"/>
      <c r="Y354" s="14"/>
      <c r="Z354" s="14"/>
      <c r="AA354" s="14"/>
      <c r="AB354" s="165"/>
    </row>
    <row r="355" spans="1:28" x14ac:dyDescent="0.35">
      <c r="A355" s="187">
        <v>262.10000000000002</v>
      </c>
      <c r="B355" s="185" t="s">
        <v>162</v>
      </c>
      <c r="C355" s="189">
        <f t="shared" si="13"/>
        <v>2016</v>
      </c>
      <c r="D355" s="191">
        <f t="shared" si="14"/>
        <v>2017</v>
      </c>
      <c r="U355" s="12" t="s">
        <v>856</v>
      </c>
      <c r="V355" s="205">
        <v>1.5297000000000001</v>
      </c>
      <c r="W355" s="14"/>
      <c r="X355" s="14"/>
      <c r="Y355" s="14"/>
      <c r="Z355" s="14"/>
      <c r="AA355" s="14"/>
      <c r="AB355" s="165"/>
    </row>
    <row r="356" spans="1:28" x14ac:dyDescent="0.35">
      <c r="A356" s="187">
        <v>263.10000000000002</v>
      </c>
      <c r="B356" s="185" t="s">
        <v>165</v>
      </c>
      <c r="C356" s="189">
        <f t="shared" si="13"/>
        <v>2016</v>
      </c>
      <c r="D356" s="191">
        <f t="shared" si="14"/>
        <v>2017</v>
      </c>
      <c r="U356" s="12" t="s">
        <v>857</v>
      </c>
      <c r="V356" s="205">
        <v>1.5764</v>
      </c>
      <c r="W356" s="14"/>
      <c r="X356" s="14"/>
      <c r="Y356" s="14"/>
      <c r="Z356" s="14"/>
      <c r="AA356" s="14"/>
      <c r="AB356" s="165"/>
    </row>
    <row r="357" spans="1:28" x14ac:dyDescent="0.35">
      <c r="A357" s="187">
        <v>263.39999999999998</v>
      </c>
      <c r="B357" s="185" t="s">
        <v>167</v>
      </c>
      <c r="C357" s="189">
        <f t="shared" si="13"/>
        <v>2016</v>
      </c>
      <c r="D357" s="191">
        <f t="shared" si="14"/>
        <v>2017</v>
      </c>
      <c r="U357" s="12" t="s">
        <v>858</v>
      </c>
      <c r="V357" s="205">
        <v>1.5713999999999999</v>
      </c>
      <c r="W357" s="14"/>
      <c r="X357" s="14"/>
      <c r="Y357" s="14"/>
      <c r="Z357" s="14"/>
      <c r="AA357" s="14"/>
      <c r="AB357" s="165"/>
    </row>
    <row r="358" spans="1:28" x14ac:dyDescent="0.35">
      <c r="A358" s="187">
        <v>264.39999999999998</v>
      </c>
      <c r="B358" s="185" t="s">
        <v>171</v>
      </c>
      <c r="C358" s="189">
        <f t="shared" si="13"/>
        <v>2016</v>
      </c>
      <c r="D358" s="191">
        <f t="shared" si="14"/>
        <v>2017</v>
      </c>
      <c r="U358" s="12" t="s">
        <v>859</v>
      </c>
      <c r="V358" s="205">
        <v>1.5649999999999999</v>
      </c>
      <c r="W358" s="14"/>
      <c r="X358" s="14"/>
      <c r="Y358" s="14"/>
      <c r="Z358" s="14"/>
      <c r="AA358" s="14"/>
      <c r="AB358" s="165"/>
    </row>
    <row r="359" spans="1:28" x14ac:dyDescent="0.35">
      <c r="A359" s="187">
        <v>264.89999999999998</v>
      </c>
      <c r="B359" s="185" t="s">
        <v>173</v>
      </c>
      <c r="C359" s="189">
        <f t="shared" si="13"/>
        <v>2016</v>
      </c>
      <c r="D359" s="191">
        <f t="shared" si="14"/>
        <v>2017</v>
      </c>
      <c r="U359" s="12" t="s">
        <v>860</v>
      </c>
      <c r="V359" s="205">
        <v>1.5135000000000001</v>
      </c>
      <c r="W359" s="14"/>
      <c r="X359" s="14"/>
      <c r="Y359" s="14"/>
      <c r="Z359" s="14"/>
      <c r="AA359" s="14"/>
      <c r="AB359" s="165"/>
    </row>
    <row r="360" spans="1:28" x14ac:dyDescent="0.35">
      <c r="A360" s="187">
        <v>264.8</v>
      </c>
      <c r="B360" s="185" t="s">
        <v>176</v>
      </c>
      <c r="C360" s="189">
        <f t="shared" si="13"/>
        <v>2016</v>
      </c>
      <c r="D360" s="191">
        <f t="shared" si="14"/>
        <v>2017</v>
      </c>
      <c r="U360" s="12" t="s">
        <v>861</v>
      </c>
      <c r="V360" s="205">
        <v>1.4373</v>
      </c>
      <c r="W360" s="14"/>
      <c r="X360" s="14"/>
      <c r="Y360" s="14"/>
      <c r="Z360" s="14"/>
      <c r="AA360" s="14"/>
      <c r="AB360" s="165"/>
    </row>
    <row r="361" spans="1:28" x14ac:dyDescent="0.35">
      <c r="A361" s="187">
        <v>265.5</v>
      </c>
      <c r="B361" s="185" t="s">
        <v>178</v>
      </c>
      <c r="C361" s="189">
        <f t="shared" si="13"/>
        <v>2016</v>
      </c>
      <c r="D361" s="191">
        <f t="shared" si="14"/>
        <v>2017</v>
      </c>
      <c r="U361" s="12" t="s">
        <v>862</v>
      </c>
      <c r="V361" s="205">
        <v>1.4116</v>
      </c>
      <c r="W361" s="14"/>
      <c r="X361" s="14"/>
      <c r="Y361" s="14"/>
      <c r="Z361" s="14"/>
      <c r="AA361" s="14"/>
      <c r="AB361" s="165"/>
    </row>
    <row r="362" spans="1:28" x14ac:dyDescent="0.35">
      <c r="A362" s="187">
        <v>267.10000000000002</v>
      </c>
      <c r="B362" s="185" t="s">
        <v>181</v>
      </c>
      <c r="C362" s="189">
        <f t="shared" si="13"/>
        <v>2016</v>
      </c>
      <c r="D362" s="191">
        <f t="shared" si="14"/>
        <v>2017</v>
      </c>
      <c r="U362" s="12" t="s">
        <v>863</v>
      </c>
      <c r="V362" s="205">
        <v>1.3474999999999999</v>
      </c>
      <c r="W362" s="14"/>
      <c r="X362" s="14"/>
      <c r="Y362" s="14"/>
      <c r="Z362" s="14"/>
      <c r="AA362" s="14"/>
      <c r="AB362" s="165"/>
    </row>
    <row r="363" spans="1:28" x14ac:dyDescent="0.35">
      <c r="A363" s="187">
        <v>265.5</v>
      </c>
      <c r="B363" s="185" t="s">
        <v>152</v>
      </c>
      <c r="C363" s="189">
        <f t="shared" si="13"/>
        <v>2017</v>
      </c>
      <c r="D363" s="191">
        <f t="shared" si="14"/>
        <v>2017</v>
      </c>
      <c r="U363" s="12" t="s">
        <v>864</v>
      </c>
      <c r="V363" s="205">
        <v>1.3593999999999999</v>
      </c>
      <c r="W363" s="14"/>
      <c r="X363" s="14"/>
      <c r="Y363" s="14"/>
      <c r="Z363" s="14"/>
      <c r="AA363" s="14"/>
      <c r="AB363" s="165"/>
    </row>
    <row r="364" spans="1:28" x14ac:dyDescent="0.35">
      <c r="A364" s="187">
        <v>268.39999999999998</v>
      </c>
      <c r="B364" s="185" t="s">
        <v>154</v>
      </c>
      <c r="C364" s="189">
        <f t="shared" si="13"/>
        <v>2017</v>
      </c>
      <c r="D364" s="191">
        <f t="shared" si="14"/>
        <v>2017</v>
      </c>
      <c r="U364" s="12" t="s">
        <v>865</v>
      </c>
      <c r="V364" s="205">
        <v>1.3505</v>
      </c>
      <c r="W364" s="14"/>
      <c r="X364" s="14"/>
      <c r="Y364" s="14"/>
      <c r="Z364" s="14"/>
      <c r="AA364" s="14"/>
      <c r="AB364" s="165"/>
    </row>
    <row r="365" spans="1:28" ht="15" thickBot="1" x14ac:dyDescent="0.4">
      <c r="A365" s="188">
        <v>269.3</v>
      </c>
      <c r="B365" s="186" t="s">
        <v>157</v>
      </c>
      <c r="C365" s="190">
        <f t="shared" si="13"/>
        <v>2017</v>
      </c>
      <c r="D365" s="192">
        <f t="shared" si="14"/>
        <v>2017</v>
      </c>
      <c r="U365" s="12" t="s">
        <v>151</v>
      </c>
      <c r="V365" s="205">
        <v>1.3326</v>
      </c>
      <c r="W365" s="14"/>
      <c r="X365" s="14"/>
      <c r="Y365" s="14"/>
      <c r="Z365" s="14"/>
      <c r="AA365" s="14"/>
      <c r="AB365" s="165"/>
    </row>
    <row r="366" spans="1:28" x14ac:dyDescent="0.35">
      <c r="U366" s="12" t="s">
        <v>153</v>
      </c>
      <c r="V366" s="205">
        <v>1.3280000000000001</v>
      </c>
      <c r="W366" s="14"/>
      <c r="X366" s="14"/>
      <c r="Y366" s="14"/>
      <c r="Z366" s="14"/>
      <c r="AA366" s="14"/>
      <c r="AB366" s="165"/>
    </row>
    <row r="367" spans="1:28" x14ac:dyDescent="0.35">
      <c r="U367" s="12"/>
      <c r="V367" s="14" t="s">
        <v>156</v>
      </c>
      <c r="W367" s="205">
        <v>1.3918999999999999</v>
      </c>
      <c r="X367" s="14"/>
      <c r="Y367" s="14"/>
      <c r="Z367" s="14"/>
      <c r="AA367" s="14"/>
      <c r="AB367" s="165"/>
    </row>
    <row r="368" spans="1:28" x14ac:dyDescent="0.35">
      <c r="U368" s="12"/>
      <c r="V368" s="14" t="s">
        <v>158</v>
      </c>
      <c r="W368" s="205">
        <v>1.407</v>
      </c>
      <c r="X368" s="14"/>
      <c r="Y368" s="14"/>
      <c r="Z368" s="14"/>
      <c r="AA368" s="14"/>
      <c r="AB368" s="165"/>
    </row>
    <row r="369" spans="21:28" x14ac:dyDescent="0.35">
      <c r="U369" s="12"/>
      <c r="V369" s="14" t="s">
        <v>161</v>
      </c>
      <c r="W369" s="205">
        <v>1.4238</v>
      </c>
      <c r="X369" s="14"/>
      <c r="Y369" s="14"/>
      <c r="Z369" s="14"/>
      <c r="AA369" s="14"/>
      <c r="AB369" s="165"/>
    </row>
    <row r="370" spans="21:28" x14ac:dyDescent="0.35">
      <c r="U370" s="12"/>
      <c r="V370" s="14" t="s">
        <v>164</v>
      </c>
      <c r="W370" s="205">
        <v>1.4145000000000001</v>
      </c>
      <c r="X370" s="14"/>
      <c r="Y370" s="14"/>
      <c r="Z370" s="14"/>
      <c r="AA370" s="14"/>
      <c r="AB370" s="165"/>
    </row>
    <row r="371" spans="21:28" x14ac:dyDescent="0.35">
      <c r="U371" s="12"/>
      <c r="V371" s="14" t="s">
        <v>166</v>
      </c>
      <c r="W371" s="205">
        <v>1.4184000000000001</v>
      </c>
      <c r="X371" s="14"/>
      <c r="Y371" s="14"/>
      <c r="Z371" s="14"/>
      <c r="AA371" s="14"/>
      <c r="AB371" s="165"/>
    </row>
    <row r="372" spans="21:28" x14ac:dyDescent="0.35">
      <c r="U372" s="12"/>
      <c r="V372" s="14" t="s">
        <v>170</v>
      </c>
      <c r="W372" s="205">
        <v>1.4151</v>
      </c>
      <c r="X372" s="14"/>
      <c r="Y372" s="14"/>
      <c r="Z372" s="14"/>
      <c r="AA372" s="14"/>
      <c r="AB372" s="165"/>
    </row>
    <row r="373" spans="21:28" x14ac:dyDescent="0.35">
      <c r="U373" s="12"/>
      <c r="V373" s="14" t="s">
        <v>172</v>
      </c>
      <c r="W373" s="205">
        <v>1.4205000000000001</v>
      </c>
      <c r="X373" s="14"/>
      <c r="Y373" s="14"/>
      <c r="Z373" s="14"/>
      <c r="AA373" s="14"/>
      <c r="AB373" s="165"/>
    </row>
    <row r="374" spans="21:28" x14ac:dyDescent="0.35">
      <c r="U374" s="12"/>
      <c r="V374" s="14" t="s">
        <v>175</v>
      </c>
      <c r="W374" s="205">
        <v>1.4249000000000001</v>
      </c>
      <c r="X374" s="14"/>
      <c r="Y374" s="14"/>
      <c r="Z374" s="14"/>
      <c r="AA374" s="14"/>
      <c r="AB374" s="165"/>
    </row>
    <row r="375" spans="21:28" x14ac:dyDescent="0.35">
      <c r="U375" s="12"/>
      <c r="V375" s="14" t="s">
        <v>177</v>
      </c>
      <c r="W375" s="205">
        <v>1.4336</v>
      </c>
      <c r="X375" s="14"/>
      <c r="Y375" s="14"/>
      <c r="Z375" s="14"/>
      <c r="AA375" s="14"/>
      <c r="AB375" s="165"/>
    </row>
    <row r="376" spans="21:28" x14ac:dyDescent="0.35">
      <c r="U376" s="12"/>
      <c r="V376" s="14" t="s">
        <v>180</v>
      </c>
      <c r="W376" s="205">
        <v>1.4347000000000001</v>
      </c>
      <c r="X376" s="14"/>
      <c r="Y376" s="14"/>
      <c r="Z376" s="14"/>
      <c r="AA376" s="14"/>
      <c r="AB376" s="165"/>
    </row>
    <row r="377" spans="21:28" x14ac:dyDescent="0.35">
      <c r="U377" s="12"/>
      <c r="V377" s="14" t="s">
        <v>183</v>
      </c>
      <c r="W377" s="205">
        <v>1.4278999999999999</v>
      </c>
      <c r="X377" s="14"/>
      <c r="Y377" s="14"/>
      <c r="Z377" s="14"/>
      <c r="AA377" s="14"/>
      <c r="AB377" s="165"/>
    </row>
    <row r="378" spans="21:28" x14ac:dyDescent="0.35">
      <c r="U378" s="12"/>
      <c r="V378" s="14" t="s">
        <v>185</v>
      </c>
      <c r="W378" s="205">
        <v>1.4300999999999999</v>
      </c>
      <c r="X378" s="14"/>
      <c r="Y378" s="14"/>
      <c r="Z378" s="14"/>
      <c r="AA378" s="14"/>
      <c r="AB378" s="165"/>
    </row>
    <row r="379" spans="21:28" x14ac:dyDescent="0.35">
      <c r="U379" s="12"/>
      <c r="V379" s="14" t="s">
        <v>187</v>
      </c>
      <c r="W379" s="205">
        <v>1.4749000000000001</v>
      </c>
      <c r="X379" s="14"/>
      <c r="Y379" s="14"/>
      <c r="Z379" s="14"/>
      <c r="AA379" s="14"/>
      <c r="AB379" s="165"/>
    </row>
    <row r="380" spans="21:28" x14ac:dyDescent="0.35">
      <c r="U380" s="12"/>
      <c r="V380" s="14" t="s">
        <v>189</v>
      </c>
      <c r="W380" s="205">
        <v>1.5057</v>
      </c>
      <c r="X380" s="14"/>
      <c r="Y380" s="14"/>
      <c r="Z380" s="14"/>
      <c r="AA380" s="14"/>
      <c r="AB380" s="165"/>
    </row>
    <row r="381" spans="21:28" x14ac:dyDescent="0.35">
      <c r="U381" s="12"/>
      <c r="V381" s="14" t="s">
        <v>190</v>
      </c>
      <c r="W381" s="205">
        <v>1.5181</v>
      </c>
      <c r="X381" s="14"/>
      <c r="Y381" s="14"/>
      <c r="Z381" s="14"/>
      <c r="AA381" s="14"/>
      <c r="AB381" s="165"/>
    </row>
    <row r="382" spans="21:28" x14ac:dyDescent="0.35">
      <c r="U382" s="12"/>
      <c r="V382" s="14" t="s">
        <v>191</v>
      </c>
      <c r="W382" s="205">
        <v>1.4974000000000001</v>
      </c>
      <c r="X382" s="14"/>
      <c r="Y382" s="14"/>
      <c r="Z382" s="14"/>
      <c r="AA382" s="14"/>
      <c r="AB382" s="165"/>
    </row>
    <row r="383" spans="21:28" x14ac:dyDescent="0.35">
      <c r="U383" s="12"/>
      <c r="V383" s="14" t="s">
        <v>193</v>
      </c>
      <c r="W383" s="205">
        <v>1.5064</v>
      </c>
      <c r="X383" s="14"/>
      <c r="Y383" s="14"/>
      <c r="Z383" s="14"/>
      <c r="AA383" s="14"/>
      <c r="AB383" s="165"/>
    </row>
    <row r="384" spans="21:28" x14ac:dyDescent="0.35">
      <c r="U384" s="12"/>
      <c r="V384" s="14" t="s">
        <v>194</v>
      </c>
      <c r="W384" s="205">
        <v>1.5370999999999999</v>
      </c>
      <c r="X384" s="14"/>
      <c r="Y384" s="14"/>
      <c r="Z384" s="14"/>
      <c r="AA384" s="14"/>
      <c r="AB384" s="165"/>
    </row>
    <row r="385" spans="21:28" x14ac:dyDescent="0.35">
      <c r="U385" s="12"/>
      <c r="V385" s="14" t="s">
        <v>195</v>
      </c>
      <c r="W385" s="205">
        <v>1.5112000000000001</v>
      </c>
      <c r="X385" s="14"/>
      <c r="Y385" s="14"/>
      <c r="Z385" s="14"/>
      <c r="AA385" s="14"/>
      <c r="AB385" s="165"/>
    </row>
    <row r="386" spans="21:28" x14ac:dyDescent="0.35">
      <c r="U386" s="12"/>
      <c r="V386" s="14" t="s">
        <v>197</v>
      </c>
      <c r="W386" s="205">
        <v>1.5193000000000001</v>
      </c>
      <c r="X386" s="14"/>
      <c r="Y386" s="14"/>
      <c r="Z386" s="14"/>
      <c r="AA386" s="14"/>
      <c r="AB386" s="165"/>
    </row>
    <row r="387" spans="21:28" x14ac:dyDescent="0.35">
      <c r="U387" s="12"/>
      <c r="V387" s="14" t="s">
        <v>198</v>
      </c>
      <c r="W387" s="205">
        <v>1.5201</v>
      </c>
      <c r="X387" s="14"/>
      <c r="Y387" s="14"/>
      <c r="Z387" s="14"/>
      <c r="AA387" s="14"/>
      <c r="AB387" s="165"/>
    </row>
    <row r="388" spans="21:28" x14ac:dyDescent="0.35">
      <c r="U388" s="12"/>
      <c r="V388" s="14" t="s">
        <v>199</v>
      </c>
      <c r="W388" s="205">
        <v>1.5378000000000001</v>
      </c>
      <c r="X388" s="14"/>
      <c r="Y388" s="14"/>
      <c r="Z388" s="14"/>
      <c r="AA388" s="14"/>
      <c r="AB388" s="165"/>
    </row>
    <row r="389" spans="21:28" x14ac:dyDescent="0.35">
      <c r="U389" s="12"/>
      <c r="V389" s="14" t="s">
        <v>200</v>
      </c>
      <c r="W389" s="205">
        <v>1.5547</v>
      </c>
      <c r="X389" s="14"/>
      <c r="Y389" s="14"/>
      <c r="Z389" s="14"/>
      <c r="AA389" s="14"/>
      <c r="AB389" s="165"/>
    </row>
    <row r="390" spans="21:28" x14ac:dyDescent="0.35">
      <c r="U390" s="12"/>
      <c r="V390" s="14" t="s">
        <v>201</v>
      </c>
      <c r="W390" s="205">
        <v>1.5492999999999999</v>
      </c>
      <c r="X390" s="14"/>
      <c r="Y390" s="14"/>
      <c r="Z390" s="14"/>
      <c r="AA390" s="14"/>
      <c r="AB390" s="165"/>
    </row>
    <row r="391" spans="21:28" x14ac:dyDescent="0.35">
      <c r="U391" s="12"/>
      <c r="V391" s="14" t="s">
        <v>202</v>
      </c>
      <c r="W391" s="205">
        <v>1.5263</v>
      </c>
      <c r="X391" s="14"/>
      <c r="Y391" s="14"/>
      <c r="Z391" s="14"/>
      <c r="AA391" s="14"/>
      <c r="AB391" s="165"/>
    </row>
    <row r="392" spans="21:28" x14ac:dyDescent="0.35">
      <c r="U392" s="12"/>
      <c r="V392" s="14" t="s">
        <v>203</v>
      </c>
      <c r="W392" s="205">
        <v>1.5156000000000001</v>
      </c>
      <c r="X392" s="14"/>
      <c r="Y392" s="14"/>
      <c r="Z392" s="14"/>
      <c r="AA392" s="14"/>
      <c r="AB392" s="165"/>
    </row>
    <row r="393" spans="21:28" x14ac:dyDescent="0.35">
      <c r="U393" s="12"/>
      <c r="V393" s="14" t="s">
        <v>204</v>
      </c>
      <c r="W393" s="205">
        <v>1.5095000000000001</v>
      </c>
      <c r="X393" s="14"/>
      <c r="Y393" s="14"/>
      <c r="Z393" s="14"/>
      <c r="AA393" s="14"/>
      <c r="AB393" s="165"/>
    </row>
    <row r="394" spans="21:28" x14ac:dyDescent="0.35">
      <c r="U394" s="12"/>
      <c r="V394" s="14" t="s">
        <v>205</v>
      </c>
      <c r="W394" s="205">
        <v>1.4651000000000001</v>
      </c>
      <c r="X394" s="14"/>
      <c r="Y394" s="14"/>
      <c r="Z394" s="14"/>
      <c r="AA394" s="14"/>
      <c r="AB394" s="165"/>
    </row>
    <row r="395" spans="21:28" x14ac:dyDescent="0.35">
      <c r="U395" s="12"/>
      <c r="V395" s="14" t="s">
        <v>206</v>
      </c>
      <c r="W395" s="205">
        <v>1.4639</v>
      </c>
      <c r="X395" s="14"/>
      <c r="Y395" s="14"/>
      <c r="Z395" s="14"/>
      <c r="AA395" s="14"/>
      <c r="AB395" s="165"/>
    </row>
    <row r="396" spans="21:28" x14ac:dyDescent="0.35">
      <c r="U396" s="12"/>
      <c r="V396" s="14" t="s">
        <v>207</v>
      </c>
      <c r="W396" s="205">
        <v>1.4603999999999999</v>
      </c>
      <c r="X396" s="14"/>
      <c r="Y396" s="14"/>
      <c r="Z396" s="14"/>
      <c r="AA396" s="14"/>
      <c r="AB396" s="165"/>
    </row>
    <row r="397" spans="21:28" x14ac:dyDescent="0.35">
      <c r="U397" s="12"/>
      <c r="V397" s="14" t="s">
        <v>208</v>
      </c>
      <c r="W397" s="205">
        <v>1.4570000000000001</v>
      </c>
      <c r="X397" s="14"/>
      <c r="Y397" s="14"/>
      <c r="Z397" s="14"/>
      <c r="AA397" s="14"/>
      <c r="AB397" s="165"/>
    </row>
    <row r="398" spans="21:28" x14ac:dyDescent="0.35">
      <c r="U398" s="12"/>
      <c r="V398" s="14" t="s">
        <v>209</v>
      </c>
      <c r="W398" s="205">
        <v>1.4167000000000001</v>
      </c>
      <c r="X398" s="14"/>
      <c r="Y398" s="14"/>
      <c r="Z398" s="14"/>
      <c r="AA398" s="14"/>
      <c r="AB398" s="165"/>
    </row>
    <row r="399" spans="21:28" x14ac:dyDescent="0.35">
      <c r="U399" s="12"/>
      <c r="V399" s="14" t="s">
        <v>210</v>
      </c>
      <c r="W399" s="205">
        <v>1.3768</v>
      </c>
      <c r="X399" s="14"/>
      <c r="Y399" s="14"/>
      <c r="Z399" s="14"/>
      <c r="AA399" s="14"/>
      <c r="AB399" s="165"/>
    </row>
    <row r="400" spans="21:28" x14ac:dyDescent="0.35">
      <c r="U400" s="12"/>
      <c r="V400" s="14" t="s">
        <v>211</v>
      </c>
      <c r="W400" s="205">
        <v>1.3344</v>
      </c>
      <c r="X400" s="14"/>
      <c r="Y400" s="14"/>
      <c r="Z400" s="14"/>
      <c r="AA400" s="14"/>
      <c r="AB400" s="165"/>
    </row>
    <row r="401" spans="21:28" x14ac:dyDescent="0.35">
      <c r="U401" s="12"/>
      <c r="V401" s="14" t="s">
        <v>212</v>
      </c>
      <c r="W401" s="205">
        <v>1.3423</v>
      </c>
      <c r="X401" s="14"/>
      <c r="Y401" s="14"/>
      <c r="Z401" s="14"/>
      <c r="AA401" s="14"/>
      <c r="AB401" s="165"/>
    </row>
    <row r="402" spans="21:28" x14ac:dyDescent="0.35">
      <c r="U402" s="12"/>
      <c r="V402" s="14" t="s">
        <v>213</v>
      </c>
      <c r="W402" s="205">
        <v>1.3633999999999999</v>
      </c>
      <c r="X402" s="14"/>
      <c r="Y402" s="14"/>
      <c r="Z402" s="14"/>
      <c r="AA402" s="14"/>
      <c r="AB402" s="165"/>
    </row>
    <row r="403" spans="21:28" x14ac:dyDescent="0.35">
      <c r="U403" s="12"/>
      <c r="V403" s="14" t="s">
        <v>214</v>
      </c>
      <c r="W403" s="205">
        <v>1.3236000000000001</v>
      </c>
      <c r="X403" s="14"/>
      <c r="Y403" s="14"/>
      <c r="Z403" s="14"/>
      <c r="AA403" s="14"/>
      <c r="AB403" s="165"/>
    </row>
    <row r="404" spans="21:28" x14ac:dyDescent="0.35">
      <c r="U404" s="12"/>
      <c r="V404" s="14" t="s">
        <v>215</v>
      </c>
      <c r="W404" s="205">
        <v>1.3165</v>
      </c>
      <c r="X404" s="14"/>
      <c r="Y404" s="14"/>
      <c r="Z404" s="14"/>
      <c r="AA404" s="14"/>
      <c r="AB404" s="165"/>
    </row>
    <row r="405" spans="21:28" x14ac:dyDescent="0.35">
      <c r="U405" s="12"/>
      <c r="V405" s="14" t="s">
        <v>216</v>
      </c>
      <c r="W405" s="205">
        <v>1.3289</v>
      </c>
      <c r="X405" s="14"/>
      <c r="Y405" s="14"/>
      <c r="Z405" s="14"/>
      <c r="AA405" s="14"/>
      <c r="AB405" s="165"/>
    </row>
    <row r="406" spans="21:28" x14ac:dyDescent="0.35">
      <c r="U406" s="12"/>
      <c r="V406" s="14" t="s">
        <v>217</v>
      </c>
      <c r="W406" s="205">
        <v>1.3692</v>
      </c>
      <c r="X406" s="14"/>
      <c r="Y406" s="14"/>
      <c r="Z406" s="14"/>
      <c r="AA406" s="14"/>
      <c r="AB406" s="165"/>
    </row>
    <row r="407" spans="21:28" x14ac:dyDescent="0.35">
      <c r="U407" s="12"/>
      <c r="V407" s="14" t="s">
        <v>218</v>
      </c>
      <c r="W407" s="205">
        <v>1.4068000000000001</v>
      </c>
      <c r="X407" s="14"/>
      <c r="Y407" s="14"/>
      <c r="Z407" s="14"/>
      <c r="AA407" s="14"/>
      <c r="AB407" s="165"/>
    </row>
    <row r="408" spans="21:28" x14ac:dyDescent="0.35">
      <c r="U408" s="12"/>
      <c r="V408" s="14" t="s">
        <v>219</v>
      </c>
      <c r="W408" s="205">
        <v>1.4191</v>
      </c>
      <c r="X408" s="14"/>
      <c r="Y408" s="14"/>
      <c r="Z408" s="14"/>
      <c r="AA408" s="14"/>
      <c r="AB408" s="165"/>
    </row>
    <row r="409" spans="21:28" x14ac:dyDescent="0.35">
      <c r="U409" s="12"/>
      <c r="V409" s="14" t="s">
        <v>220</v>
      </c>
      <c r="W409" s="205">
        <v>1.4073</v>
      </c>
      <c r="X409" s="14"/>
      <c r="Y409" s="14"/>
      <c r="Z409" s="14"/>
      <c r="AA409" s="14"/>
      <c r="AB409" s="165"/>
    </row>
    <row r="410" spans="21:28" x14ac:dyDescent="0.35">
      <c r="U410" s="12"/>
      <c r="V410" s="14" t="s">
        <v>221</v>
      </c>
      <c r="W410" s="205">
        <v>1.4156</v>
      </c>
      <c r="X410" s="14"/>
      <c r="Y410" s="14"/>
      <c r="Z410" s="14"/>
      <c r="AA410" s="14"/>
      <c r="AB410" s="165"/>
    </row>
    <row r="411" spans="21:28" x14ac:dyDescent="0.35">
      <c r="U411" s="12"/>
      <c r="V411" s="14" t="s">
        <v>222</v>
      </c>
      <c r="W411" s="205">
        <v>1.3960999999999999</v>
      </c>
      <c r="X411" s="14"/>
      <c r="Y411" s="14"/>
      <c r="Z411" s="14"/>
      <c r="AA411" s="14"/>
      <c r="AB411" s="165"/>
    </row>
    <row r="412" spans="21:28" x14ac:dyDescent="0.35">
      <c r="U412" s="12"/>
      <c r="V412" s="14" t="s">
        <v>223</v>
      </c>
      <c r="W412" s="205">
        <v>1.3822000000000001</v>
      </c>
      <c r="X412" s="14"/>
      <c r="Y412" s="14"/>
      <c r="Z412" s="14"/>
      <c r="AA412" s="14"/>
      <c r="AB412" s="165"/>
    </row>
    <row r="413" spans="21:28" x14ac:dyDescent="0.35">
      <c r="U413" s="12"/>
      <c r="V413" s="14" t="s">
        <v>224</v>
      </c>
      <c r="W413" s="205">
        <v>1.3995</v>
      </c>
      <c r="X413" s="14"/>
      <c r="Y413" s="14"/>
      <c r="Z413" s="14"/>
      <c r="AA413" s="14"/>
      <c r="AB413" s="165"/>
    </row>
    <row r="414" spans="21:28" x14ac:dyDescent="0.35">
      <c r="U414" s="12"/>
      <c r="V414" s="14" t="s">
        <v>225</v>
      </c>
      <c r="W414" s="205">
        <v>1.3933</v>
      </c>
      <c r="X414" s="14"/>
      <c r="Y414" s="14"/>
      <c r="Z414" s="14"/>
      <c r="AA414" s="14"/>
      <c r="AB414" s="165"/>
    </row>
    <row r="415" spans="21:28" x14ac:dyDescent="0.35">
      <c r="U415" s="12"/>
      <c r="V415" s="14" t="s">
        <v>226</v>
      </c>
      <c r="W415" s="205">
        <v>1.4021999999999999</v>
      </c>
      <c r="X415" s="14"/>
      <c r="Y415" s="14"/>
      <c r="Z415" s="14"/>
      <c r="AA415" s="14"/>
      <c r="AB415" s="165"/>
    </row>
    <row r="416" spans="21:28" x14ac:dyDescent="0.35">
      <c r="U416" s="12"/>
      <c r="V416" s="14" t="s">
        <v>227</v>
      </c>
      <c r="W416" s="205">
        <v>1.4198</v>
      </c>
      <c r="X416" s="14"/>
      <c r="Y416" s="14"/>
      <c r="Z416" s="14"/>
      <c r="AA416" s="14"/>
      <c r="AB416" s="165"/>
    </row>
    <row r="417" spans="21:28" x14ac:dyDescent="0.35">
      <c r="U417" s="12"/>
      <c r="V417" s="14" t="s">
        <v>228</v>
      </c>
      <c r="W417" s="205">
        <v>1.4140999999999999</v>
      </c>
      <c r="X417" s="14"/>
      <c r="Y417" s="14"/>
      <c r="Z417" s="14"/>
      <c r="AA417" s="14"/>
      <c r="AB417" s="165"/>
    </row>
    <row r="418" spans="21:28" x14ac:dyDescent="0.35">
      <c r="U418" s="12"/>
      <c r="V418" s="14" t="s">
        <v>229</v>
      </c>
      <c r="W418" s="205">
        <v>1.4047000000000001</v>
      </c>
      <c r="X418" s="14"/>
      <c r="Y418" s="14"/>
      <c r="Z418" s="14"/>
      <c r="AA418" s="14"/>
      <c r="AB418" s="165"/>
    </row>
    <row r="419" spans="21:28" x14ac:dyDescent="0.35">
      <c r="U419" s="12"/>
      <c r="V419" s="14" t="s">
        <v>230</v>
      </c>
      <c r="W419" s="205">
        <v>1.409</v>
      </c>
      <c r="X419" s="14"/>
      <c r="Y419" s="14"/>
      <c r="Z419" s="14"/>
      <c r="AA419" s="14"/>
      <c r="AB419" s="165"/>
    </row>
    <row r="420" spans="21:28" x14ac:dyDescent="0.35">
      <c r="U420" s="12"/>
      <c r="V420" s="14" t="s">
        <v>231</v>
      </c>
      <c r="W420" s="205">
        <v>1.4048</v>
      </c>
      <c r="X420" s="14"/>
      <c r="Y420" s="14"/>
      <c r="Z420" s="14"/>
      <c r="AA420" s="14"/>
      <c r="AB420" s="165"/>
    </row>
    <row r="421" spans="21:28" x14ac:dyDescent="0.35">
      <c r="U421" s="12"/>
      <c r="V421" s="14" t="s">
        <v>232</v>
      </c>
      <c r="W421" s="205">
        <v>1.4005000000000001</v>
      </c>
      <c r="X421" s="14"/>
      <c r="Y421" s="14"/>
      <c r="Z421" s="14"/>
      <c r="AA421" s="14"/>
      <c r="AB421" s="165"/>
    </row>
    <row r="422" spans="21:28" x14ac:dyDescent="0.35">
      <c r="U422" s="12"/>
      <c r="V422" s="14" t="s">
        <v>233</v>
      </c>
      <c r="W422" s="205">
        <v>1.3947000000000001</v>
      </c>
      <c r="X422" s="14"/>
      <c r="Y422" s="14"/>
      <c r="Z422" s="14"/>
      <c r="AA422" s="14"/>
      <c r="AB422" s="165"/>
    </row>
    <row r="423" spans="21:28" x14ac:dyDescent="0.35">
      <c r="U423" s="12"/>
      <c r="V423" s="14" t="s">
        <v>234</v>
      </c>
      <c r="W423" s="205">
        <v>1.3857999999999999</v>
      </c>
      <c r="X423" s="14"/>
      <c r="Y423" s="14"/>
      <c r="Z423" s="14"/>
      <c r="AA423" s="14"/>
      <c r="AB423" s="165"/>
    </row>
    <row r="424" spans="21:28" x14ac:dyDescent="0.35">
      <c r="U424" s="12"/>
      <c r="V424" s="14" t="s">
        <v>235</v>
      </c>
      <c r="W424" s="205">
        <v>1.3752</v>
      </c>
      <c r="X424" s="14"/>
      <c r="Y424" s="14"/>
      <c r="Z424" s="14"/>
      <c r="AA424" s="14"/>
      <c r="AB424" s="165"/>
    </row>
    <row r="425" spans="21:28" x14ac:dyDescent="0.35">
      <c r="U425" s="12"/>
      <c r="V425" s="14" t="s">
        <v>236</v>
      </c>
      <c r="W425" s="205">
        <v>1.3731</v>
      </c>
      <c r="X425" s="14"/>
      <c r="Y425" s="14"/>
      <c r="Z425" s="14"/>
      <c r="AA425" s="14"/>
      <c r="AB425" s="165"/>
    </row>
    <row r="426" spans="21:28" x14ac:dyDescent="0.35">
      <c r="U426" s="12"/>
      <c r="V426" s="14" t="s">
        <v>237</v>
      </c>
      <c r="W426" s="205">
        <v>1.3808</v>
      </c>
      <c r="X426" s="14"/>
      <c r="Y426" s="14"/>
      <c r="Z426" s="14"/>
      <c r="AA426" s="14"/>
      <c r="AB426" s="165"/>
    </row>
    <row r="427" spans="21:28" x14ac:dyDescent="0.35">
      <c r="U427" s="12"/>
      <c r="V427" s="14" t="s">
        <v>238</v>
      </c>
      <c r="W427" s="205">
        <v>1.3742000000000001</v>
      </c>
      <c r="X427" s="14"/>
      <c r="Y427" s="14"/>
      <c r="Z427" s="14"/>
      <c r="AA427" s="14"/>
      <c r="AB427" s="165"/>
    </row>
    <row r="428" spans="21:28" x14ac:dyDescent="0.35">
      <c r="U428" s="12"/>
      <c r="V428" s="14" t="s">
        <v>239</v>
      </c>
      <c r="W428" s="205">
        <v>1.3880999999999999</v>
      </c>
      <c r="X428" s="14"/>
      <c r="Y428" s="14"/>
      <c r="Z428" s="14"/>
      <c r="AA428" s="14"/>
      <c r="AB428" s="165"/>
    </row>
    <row r="429" spans="21:28" x14ac:dyDescent="0.35">
      <c r="U429" s="12"/>
      <c r="V429" s="14" t="s">
        <v>240</v>
      </c>
      <c r="W429" s="205">
        <v>1.4047000000000001</v>
      </c>
      <c r="X429" s="14"/>
      <c r="Y429" s="14"/>
      <c r="Z429" s="14"/>
      <c r="AA429" s="14"/>
      <c r="AB429" s="165"/>
    </row>
    <row r="430" spans="21:28" x14ac:dyDescent="0.35">
      <c r="U430" s="12"/>
      <c r="V430" s="14" t="s">
        <v>241</v>
      </c>
      <c r="W430" s="205">
        <v>1.3978999999999999</v>
      </c>
      <c r="X430" s="14"/>
      <c r="Y430" s="14"/>
      <c r="Z430" s="14"/>
      <c r="AA430" s="14"/>
      <c r="AB430" s="165"/>
    </row>
    <row r="431" spans="21:28" x14ac:dyDescent="0.35">
      <c r="U431" s="12"/>
      <c r="V431" s="14" t="s">
        <v>242</v>
      </c>
      <c r="W431" s="205">
        <v>1.3732</v>
      </c>
      <c r="X431" s="14"/>
      <c r="Y431" s="14"/>
      <c r="Z431" s="14"/>
      <c r="AA431" s="14"/>
      <c r="AB431" s="165"/>
    </row>
    <row r="432" spans="21:28" x14ac:dyDescent="0.35">
      <c r="U432" s="12"/>
      <c r="V432" s="14" t="s">
        <v>243</v>
      </c>
      <c r="W432" s="205">
        <v>1.355</v>
      </c>
      <c r="X432" s="14"/>
      <c r="Y432" s="14"/>
      <c r="Z432" s="14"/>
      <c r="AA432" s="14"/>
      <c r="AB432" s="165"/>
    </row>
    <row r="433" spans="21:28" x14ac:dyDescent="0.35">
      <c r="U433" s="12"/>
      <c r="V433" s="14" t="s">
        <v>244</v>
      </c>
      <c r="W433" s="205">
        <v>1.3092999999999999</v>
      </c>
      <c r="X433" s="14"/>
      <c r="Y433" s="14"/>
      <c r="Z433" s="14"/>
      <c r="AA433" s="14"/>
      <c r="AB433" s="165"/>
    </row>
    <row r="434" spans="21:28" x14ac:dyDescent="0.35">
      <c r="U434" s="12"/>
      <c r="V434" s="14" t="s">
        <v>245</v>
      </c>
      <c r="W434" s="205">
        <v>1.2192000000000001</v>
      </c>
      <c r="X434" s="14"/>
      <c r="Y434" s="14"/>
      <c r="Z434" s="14"/>
      <c r="AA434" s="14"/>
      <c r="AB434" s="165"/>
    </row>
    <row r="435" spans="21:28" x14ac:dyDescent="0.35">
      <c r="U435" s="12"/>
      <c r="V435" s="14" t="s">
        <v>246</v>
      </c>
      <c r="W435" s="205">
        <v>1.1992</v>
      </c>
      <c r="X435" s="14"/>
      <c r="Y435" s="14"/>
      <c r="Z435" s="14"/>
      <c r="AA435" s="14"/>
      <c r="AB435" s="165"/>
    </row>
    <row r="436" spans="21:28" x14ac:dyDescent="0.35">
      <c r="U436" s="12"/>
      <c r="V436" s="14" t="s">
        <v>247</v>
      </c>
      <c r="W436" s="205">
        <v>1.2234</v>
      </c>
      <c r="X436" s="14"/>
      <c r="Y436" s="14"/>
      <c r="Z436" s="14"/>
      <c r="AA436" s="14"/>
      <c r="AB436" s="165"/>
    </row>
    <row r="437" spans="21:28" x14ac:dyDescent="0.35">
      <c r="U437" s="12"/>
      <c r="V437" s="14" t="s">
        <v>248</v>
      </c>
      <c r="W437" s="205">
        <v>1.2383</v>
      </c>
      <c r="X437" s="14"/>
      <c r="Y437" s="14"/>
      <c r="Z437" s="14"/>
      <c r="AA437" s="14"/>
      <c r="AB437" s="165"/>
    </row>
    <row r="438" spans="21:28" x14ac:dyDescent="0.35">
      <c r="U438" s="12"/>
      <c r="V438" s="14" t="s">
        <v>249</v>
      </c>
      <c r="W438" s="205">
        <v>1.1883999999999999</v>
      </c>
      <c r="X438" s="14"/>
      <c r="Y438" s="14"/>
      <c r="Z438" s="14"/>
      <c r="AA438" s="14"/>
      <c r="AB438" s="165"/>
    </row>
    <row r="439" spans="21:28" x14ac:dyDescent="0.35">
      <c r="U439" s="12"/>
      <c r="V439" s="14" t="s">
        <v>250</v>
      </c>
      <c r="W439" s="205">
        <v>1.2163999999999999</v>
      </c>
      <c r="X439" s="14"/>
      <c r="Y439" s="14"/>
      <c r="Z439" s="14"/>
      <c r="AA439" s="14"/>
      <c r="AB439" s="165"/>
    </row>
    <row r="440" spans="21:28" x14ac:dyDescent="0.35">
      <c r="U440" s="12"/>
      <c r="V440" s="14" t="s">
        <v>251</v>
      </c>
      <c r="W440" s="205">
        <v>1.2453000000000001</v>
      </c>
      <c r="X440" s="14"/>
      <c r="Y440" s="14"/>
      <c r="Z440" s="14"/>
      <c r="AA440" s="14"/>
      <c r="AB440" s="165"/>
    </row>
    <row r="441" spans="21:28" x14ac:dyDescent="0.35">
      <c r="U441" s="12"/>
      <c r="V441" s="14" t="s">
        <v>252</v>
      </c>
      <c r="W441" s="205">
        <v>1.2493000000000001</v>
      </c>
      <c r="X441" s="14"/>
      <c r="Y441" s="14"/>
      <c r="Z441" s="14"/>
      <c r="AA441" s="14"/>
      <c r="AB441" s="165"/>
    </row>
    <row r="442" spans="21:28" x14ac:dyDescent="0.35">
      <c r="U442" s="12"/>
      <c r="V442" s="14" t="s">
        <v>253</v>
      </c>
      <c r="W442" s="205">
        <v>1.2522</v>
      </c>
      <c r="X442" s="14"/>
      <c r="Y442" s="14"/>
      <c r="Z442" s="14"/>
      <c r="AA442" s="14"/>
      <c r="AB442" s="165"/>
    </row>
    <row r="443" spans="21:28" x14ac:dyDescent="0.35">
      <c r="U443" s="12"/>
      <c r="V443" s="14" t="s">
        <v>254</v>
      </c>
      <c r="W443" s="205">
        <v>1.2968999999999999</v>
      </c>
      <c r="X443" s="14"/>
      <c r="Y443" s="14"/>
      <c r="Z443" s="14"/>
      <c r="AA443" s="14"/>
      <c r="AB443" s="165"/>
    </row>
    <row r="444" spans="21:28" x14ac:dyDescent="0.35">
      <c r="U444" s="12"/>
      <c r="V444" s="14" t="s">
        <v>255</v>
      </c>
      <c r="W444" s="205">
        <v>1.2977000000000001</v>
      </c>
      <c r="X444" s="14"/>
      <c r="Y444" s="14"/>
      <c r="Z444" s="14"/>
      <c r="AA444" s="14"/>
      <c r="AB444" s="165"/>
    </row>
    <row r="445" spans="21:28" x14ac:dyDescent="0.35">
      <c r="U445" s="12"/>
      <c r="V445" s="14" t="s">
        <v>256</v>
      </c>
      <c r="W445" s="205">
        <v>1.2735000000000001</v>
      </c>
      <c r="X445" s="14"/>
      <c r="Y445" s="14"/>
      <c r="Z445" s="14"/>
      <c r="AA445" s="14"/>
      <c r="AB445" s="165"/>
    </row>
    <row r="446" spans="21:28" x14ac:dyDescent="0.35">
      <c r="U446" s="12"/>
      <c r="V446" s="14" t="s">
        <v>257</v>
      </c>
      <c r="W446" s="205">
        <v>1.2726999999999999</v>
      </c>
      <c r="X446" s="14"/>
      <c r="Y446" s="14"/>
      <c r="Z446" s="14"/>
      <c r="AA446" s="14"/>
      <c r="AB446" s="165"/>
    </row>
    <row r="447" spans="21:28" x14ac:dyDescent="0.35">
      <c r="U447" s="12"/>
      <c r="V447" s="14" t="s">
        <v>258</v>
      </c>
      <c r="W447" s="205">
        <v>1.2958000000000001</v>
      </c>
      <c r="X447" s="14"/>
      <c r="Y447" s="14"/>
      <c r="Z447" s="14"/>
      <c r="AA447" s="14"/>
      <c r="AB447" s="165"/>
    </row>
    <row r="448" spans="21:28" x14ac:dyDescent="0.35">
      <c r="U448" s="12"/>
      <c r="V448" s="14" t="s">
        <v>259</v>
      </c>
      <c r="W448" s="205">
        <v>1.3076000000000001</v>
      </c>
      <c r="X448" s="14"/>
      <c r="Y448" s="14"/>
      <c r="Z448" s="14"/>
      <c r="AA448" s="14"/>
      <c r="AB448" s="165"/>
    </row>
    <row r="449" spans="21:28" x14ac:dyDescent="0.35">
      <c r="U449" s="12"/>
      <c r="V449" s="14" t="s">
        <v>260</v>
      </c>
      <c r="W449" s="205">
        <v>1.3294999999999999</v>
      </c>
      <c r="X449" s="14"/>
      <c r="Y449" s="14"/>
      <c r="Z449" s="14"/>
      <c r="AA449" s="14"/>
      <c r="AB449" s="165"/>
    </row>
    <row r="450" spans="21:28" x14ac:dyDescent="0.35">
      <c r="U450" s="12"/>
      <c r="V450" s="14" t="s">
        <v>261</v>
      </c>
      <c r="W450" s="205">
        <v>1.3082</v>
      </c>
      <c r="X450" s="14"/>
      <c r="Y450" s="14"/>
      <c r="Z450" s="14"/>
      <c r="AA450" s="14"/>
      <c r="AB450" s="165"/>
    </row>
    <row r="451" spans="21:28" x14ac:dyDescent="0.35">
      <c r="U451" s="12"/>
      <c r="V451" s="14" t="s">
        <v>262</v>
      </c>
      <c r="W451" s="205">
        <v>1.2915000000000001</v>
      </c>
      <c r="X451" s="14"/>
      <c r="Y451" s="14"/>
      <c r="Z451" s="14"/>
      <c r="AA451" s="14"/>
      <c r="AB451" s="165"/>
    </row>
    <row r="452" spans="21:28" x14ac:dyDescent="0.35">
      <c r="U452" s="12"/>
      <c r="V452" s="14" t="s">
        <v>263</v>
      </c>
      <c r="W452" s="205">
        <v>1.284</v>
      </c>
      <c r="X452" s="14"/>
      <c r="Y452" s="14"/>
      <c r="Z452" s="14"/>
      <c r="AA452" s="14"/>
      <c r="AB452" s="165"/>
    </row>
    <row r="453" spans="21:28" x14ac:dyDescent="0.35">
      <c r="U453" s="12"/>
      <c r="V453" s="14" t="s">
        <v>264</v>
      </c>
      <c r="W453" s="205">
        <v>1.2719</v>
      </c>
      <c r="X453" s="14"/>
      <c r="Y453" s="14"/>
      <c r="Z453" s="14"/>
      <c r="AA453" s="14"/>
      <c r="AB453" s="165"/>
    </row>
    <row r="454" spans="21:28" x14ac:dyDescent="0.35">
      <c r="U454" s="12"/>
      <c r="V454" s="14" t="s">
        <v>265</v>
      </c>
      <c r="W454" s="205">
        <v>1.2708999999999999</v>
      </c>
      <c r="X454" s="14"/>
      <c r="Y454" s="14"/>
      <c r="Z454" s="14"/>
      <c r="AA454" s="14"/>
      <c r="AB454" s="165"/>
    </row>
    <row r="455" spans="21:28" x14ac:dyDescent="0.35">
      <c r="U455" s="12"/>
      <c r="V455" s="14" t="s">
        <v>266</v>
      </c>
      <c r="W455" s="205">
        <v>1.2455000000000001</v>
      </c>
      <c r="X455" s="14"/>
      <c r="Y455" s="14"/>
      <c r="Z455" s="14"/>
      <c r="AA455" s="14"/>
      <c r="AB455" s="165"/>
    </row>
    <row r="456" spans="21:28" x14ac:dyDescent="0.35">
      <c r="U456" s="12"/>
      <c r="V456" s="14" t="s">
        <v>267</v>
      </c>
      <c r="W456" s="205">
        <v>1.242</v>
      </c>
      <c r="X456" s="14"/>
      <c r="Y456" s="14"/>
      <c r="Z456" s="14"/>
      <c r="AA456" s="14"/>
      <c r="AB456" s="165"/>
    </row>
    <row r="457" spans="21:28" x14ac:dyDescent="0.35">
      <c r="U457" s="12"/>
      <c r="V457" s="14" t="s">
        <v>268</v>
      </c>
      <c r="W457" s="205">
        <v>1.2468999999999999</v>
      </c>
      <c r="X457" s="14"/>
      <c r="Y457" s="14"/>
      <c r="Z457" s="14"/>
      <c r="AA457" s="14"/>
      <c r="AB457" s="165"/>
    </row>
    <row r="458" spans="21:28" x14ac:dyDescent="0.35">
      <c r="U458" s="12"/>
      <c r="V458" s="14" t="s">
        <v>269</v>
      </c>
      <c r="W458" s="205">
        <v>1.2563</v>
      </c>
      <c r="X458" s="14"/>
      <c r="Y458" s="14"/>
      <c r="Z458" s="14"/>
      <c r="AA458" s="14"/>
      <c r="AB458" s="165"/>
    </row>
    <row r="459" spans="21:28" x14ac:dyDescent="0.35">
      <c r="U459" s="12"/>
      <c r="V459" s="14" t="s">
        <v>270</v>
      </c>
      <c r="W459" s="205">
        <v>1.2613000000000001</v>
      </c>
      <c r="X459" s="14"/>
      <c r="Y459" s="14"/>
      <c r="Z459" s="14"/>
      <c r="AA459" s="14"/>
      <c r="AB459" s="165"/>
    </row>
    <row r="460" spans="21:28" x14ac:dyDescent="0.35">
      <c r="U460" s="12"/>
      <c r="V460" s="14" t="s">
        <v>271</v>
      </c>
      <c r="W460" s="205">
        <v>1.2672000000000001</v>
      </c>
      <c r="X460" s="14"/>
      <c r="Y460" s="14"/>
      <c r="Z460" s="14"/>
      <c r="AA460" s="14"/>
      <c r="AB460" s="165"/>
    </row>
    <row r="461" spans="21:28" x14ac:dyDescent="0.35">
      <c r="U461" s="12"/>
      <c r="V461" s="14" t="s">
        <v>272</v>
      </c>
      <c r="W461" s="205">
        <v>1.2524999999999999</v>
      </c>
      <c r="X461" s="14"/>
      <c r="Y461" s="14"/>
      <c r="Z461" s="14"/>
      <c r="AA461" s="14"/>
      <c r="AB461" s="165"/>
    </row>
    <row r="462" spans="21:28" x14ac:dyDescent="0.35">
      <c r="U462" s="12"/>
      <c r="V462" s="14" t="s">
        <v>273</v>
      </c>
      <c r="W462" s="205">
        <v>1.2331000000000001</v>
      </c>
      <c r="X462" s="14"/>
      <c r="Y462" s="14"/>
      <c r="Z462" s="14"/>
      <c r="AA462" s="14"/>
      <c r="AB462" s="165"/>
    </row>
    <row r="463" spans="21:28" x14ac:dyDescent="0.35">
      <c r="U463" s="12"/>
      <c r="V463" s="14" t="s">
        <v>274</v>
      </c>
      <c r="W463" s="205">
        <v>1.2038</v>
      </c>
      <c r="X463" s="14"/>
      <c r="Y463" s="14"/>
      <c r="Z463" s="14"/>
      <c r="AA463" s="14"/>
      <c r="AB463" s="165"/>
    </row>
    <row r="464" spans="21:28" x14ac:dyDescent="0.35">
      <c r="U464" s="12"/>
      <c r="V464" s="14" t="s">
        <v>275</v>
      </c>
      <c r="W464" s="205">
        <v>1.1890000000000001</v>
      </c>
      <c r="X464" s="14"/>
      <c r="Y464" s="14"/>
      <c r="Z464" s="14"/>
      <c r="AA464" s="14"/>
      <c r="AB464" s="165"/>
    </row>
    <row r="465" spans="21:28" x14ac:dyDescent="0.35">
      <c r="U465" s="12"/>
      <c r="V465" s="14" t="s">
        <v>276</v>
      </c>
      <c r="W465" s="205">
        <v>1.1893</v>
      </c>
      <c r="X465" s="14"/>
      <c r="Y465" s="14"/>
      <c r="Z465" s="14"/>
      <c r="AA465" s="14"/>
      <c r="AB465" s="165"/>
    </row>
    <row r="466" spans="21:28" x14ac:dyDescent="0.35">
      <c r="U466" s="12"/>
      <c r="V466" s="14" t="s">
        <v>277</v>
      </c>
      <c r="W466" s="205">
        <v>1.1828000000000001</v>
      </c>
      <c r="X466" s="14"/>
      <c r="Y466" s="14"/>
      <c r="Z466" s="14"/>
      <c r="AA466" s="14"/>
      <c r="AB466" s="165"/>
    </row>
    <row r="467" spans="21:28" x14ac:dyDescent="0.35">
      <c r="U467" s="12"/>
      <c r="V467" s="14" t="s">
        <v>278</v>
      </c>
      <c r="W467" s="205">
        <v>1.1693</v>
      </c>
      <c r="X467" s="14"/>
      <c r="Y467" s="14"/>
      <c r="Z467" s="14"/>
      <c r="AA467" s="14"/>
      <c r="AB467" s="165"/>
    </row>
    <row r="468" spans="21:28" x14ac:dyDescent="0.35">
      <c r="U468" s="12"/>
      <c r="V468" s="14" t="s">
        <v>279</v>
      </c>
      <c r="W468" s="205">
        <v>1.1836</v>
      </c>
      <c r="X468" s="14"/>
      <c r="Y468" s="14"/>
      <c r="Z468" s="14"/>
      <c r="AA468" s="14"/>
      <c r="AB468" s="165"/>
    </row>
    <row r="469" spans="21:28" x14ac:dyDescent="0.35">
      <c r="U469" s="12"/>
      <c r="V469" s="14" t="s">
        <v>280</v>
      </c>
      <c r="W469" s="205">
        <v>1.1902999999999999</v>
      </c>
      <c r="X469" s="14"/>
      <c r="Y469" s="14"/>
      <c r="Z469" s="14"/>
      <c r="AA469" s="14"/>
      <c r="AB469" s="165"/>
    </row>
    <row r="470" spans="21:28" x14ac:dyDescent="0.35">
      <c r="U470" s="12"/>
      <c r="V470" s="14" t="s">
        <v>281</v>
      </c>
      <c r="W470" s="205">
        <v>1.1758999999999999</v>
      </c>
      <c r="X470" s="14"/>
      <c r="Y470" s="14"/>
      <c r="Z470" s="14"/>
      <c r="AA470" s="14"/>
      <c r="AB470" s="165"/>
    </row>
    <row r="471" spans="21:28" x14ac:dyDescent="0.35">
      <c r="U471" s="12"/>
      <c r="V471" s="14" t="s">
        <v>282</v>
      </c>
      <c r="W471" s="205">
        <v>1.1612</v>
      </c>
      <c r="X471" s="14"/>
      <c r="Y471" s="14"/>
      <c r="Z471" s="14"/>
      <c r="AA471" s="14"/>
      <c r="AB471" s="165"/>
    </row>
    <row r="472" spans="21:28" x14ac:dyDescent="0.35">
      <c r="U472" s="12"/>
      <c r="V472" s="14" t="s">
        <v>283</v>
      </c>
      <c r="W472" s="205">
        <v>1.1589</v>
      </c>
      <c r="X472" s="14"/>
      <c r="Y472" s="14"/>
      <c r="Z472" s="14"/>
      <c r="AA472" s="14"/>
      <c r="AB472" s="165"/>
    </row>
    <row r="473" spans="21:28" x14ac:dyDescent="0.35">
      <c r="U473" s="12"/>
      <c r="V473" s="14" t="s">
        <v>284</v>
      </c>
      <c r="W473" s="205">
        <v>1.1631</v>
      </c>
      <c r="X473" s="14"/>
      <c r="Y473" s="14"/>
      <c r="Z473" s="14"/>
      <c r="AA473" s="14"/>
      <c r="AB473" s="165"/>
    </row>
    <row r="474" spans="21:28" x14ac:dyDescent="0.35">
      <c r="U474" s="12"/>
      <c r="V474" s="14" t="s">
        <v>285</v>
      </c>
      <c r="W474" s="205">
        <v>1.1707000000000001</v>
      </c>
      <c r="X474" s="14"/>
      <c r="Y474" s="14"/>
      <c r="Z474" s="14"/>
      <c r="AA474" s="14"/>
      <c r="AB474" s="165"/>
    </row>
    <row r="475" spans="21:28" x14ac:dyDescent="0.35">
      <c r="U475" s="12"/>
      <c r="V475" s="14" t="s">
        <v>286</v>
      </c>
      <c r="W475" s="205">
        <v>1.1692</v>
      </c>
      <c r="X475" s="14"/>
      <c r="Y475" s="14"/>
      <c r="Z475" s="14"/>
      <c r="AA475" s="14"/>
      <c r="AB475" s="165"/>
    </row>
    <row r="476" spans="21:28" x14ac:dyDescent="0.35">
      <c r="U476" s="12"/>
      <c r="V476" s="14" t="s">
        <v>287</v>
      </c>
      <c r="W476" s="205">
        <v>1.1762999999999999</v>
      </c>
      <c r="X476" s="14"/>
      <c r="Y476" s="14"/>
      <c r="Z476" s="14"/>
      <c r="AA476" s="14"/>
      <c r="AB476" s="165"/>
    </row>
    <row r="477" spans="21:28" x14ac:dyDescent="0.35">
      <c r="U477" s="12"/>
      <c r="V477" s="14" t="s">
        <v>288</v>
      </c>
      <c r="W477" s="205">
        <v>1.1922999999999999</v>
      </c>
      <c r="X477" s="14"/>
      <c r="Y477" s="14"/>
      <c r="Z477" s="14"/>
      <c r="AA477" s="14"/>
      <c r="AB477" s="165"/>
    </row>
    <row r="478" spans="21:28" x14ac:dyDescent="0.35">
      <c r="U478" s="12"/>
      <c r="V478" s="14" t="s">
        <v>289</v>
      </c>
      <c r="W478" s="205">
        <v>1.2094</v>
      </c>
      <c r="X478" s="14"/>
      <c r="Y478" s="14"/>
      <c r="Z478" s="14"/>
      <c r="AA478" s="14"/>
      <c r="AB478" s="165"/>
    </row>
    <row r="479" spans="21:28" x14ac:dyDescent="0.35">
      <c r="U479" s="12"/>
      <c r="V479" s="14" t="s">
        <v>290</v>
      </c>
      <c r="W479" s="205">
        <v>1.2007000000000001</v>
      </c>
      <c r="X479" s="14"/>
      <c r="Y479" s="14"/>
      <c r="Z479" s="14"/>
      <c r="AA479" s="14"/>
      <c r="AB479" s="165"/>
    </row>
    <row r="480" spans="21:28" x14ac:dyDescent="0.35">
      <c r="U480" s="12"/>
      <c r="V480" s="14" t="s">
        <v>291</v>
      </c>
      <c r="W480" s="205">
        <v>1.1845000000000001</v>
      </c>
      <c r="X480" s="14"/>
      <c r="Y480" s="14"/>
      <c r="Z480" s="14"/>
      <c r="AA480" s="14"/>
      <c r="AB480" s="165"/>
    </row>
    <row r="481" spans="21:28" x14ac:dyDescent="0.35">
      <c r="U481" s="12"/>
      <c r="V481" s="14" t="s">
        <v>292</v>
      </c>
      <c r="W481" s="205">
        <v>1.2065999999999999</v>
      </c>
      <c r="X481" s="14"/>
      <c r="Y481" s="14"/>
      <c r="Z481" s="14"/>
      <c r="AA481" s="14"/>
      <c r="AB481" s="165"/>
    </row>
    <row r="482" spans="21:28" x14ac:dyDescent="0.35">
      <c r="U482" s="12"/>
      <c r="V482" s="14" t="s">
        <v>293</v>
      </c>
      <c r="W482" s="205">
        <v>1.2406999999999999</v>
      </c>
      <c r="X482" s="14"/>
      <c r="Y482" s="14"/>
      <c r="Z482" s="14"/>
      <c r="AA482" s="14"/>
      <c r="AB482" s="165"/>
    </row>
    <row r="483" spans="21:28" x14ac:dyDescent="0.35">
      <c r="U483" s="12"/>
      <c r="V483" s="14" t="s">
        <v>294</v>
      </c>
      <c r="W483" s="205">
        <v>1.2873000000000001</v>
      </c>
      <c r="X483" s="14"/>
      <c r="Y483" s="14"/>
      <c r="Z483" s="14"/>
      <c r="AA483" s="14"/>
      <c r="AB483" s="165"/>
    </row>
    <row r="484" spans="21:28" x14ac:dyDescent="0.35">
      <c r="U484" s="12"/>
      <c r="V484" s="14" t="s">
        <v>295</v>
      </c>
      <c r="W484" s="205">
        <v>1.3191999999999999</v>
      </c>
      <c r="X484" s="14"/>
      <c r="Y484" s="14"/>
      <c r="Z484" s="14"/>
      <c r="AA484" s="14"/>
      <c r="AB484" s="165"/>
    </row>
    <row r="485" spans="21:28" x14ac:dyDescent="0.35">
      <c r="U485" s="12"/>
      <c r="V485" s="14" t="s">
        <v>296</v>
      </c>
      <c r="W485" s="205">
        <v>1.3559000000000001</v>
      </c>
      <c r="X485" s="14"/>
      <c r="Y485" s="14"/>
      <c r="Z485" s="14"/>
      <c r="AA485" s="14"/>
      <c r="AB485" s="165"/>
    </row>
    <row r="486" spans="21:28" x14ac:dyDescent="0.35">
      <c r="U486" s="12"/>
      <c r="V486" s="14" t="s">
        <v>297</v>
      </c>
      <c r="W486" s="205">
        <v>1.3906000000000001</v>
      </c>
      <c r="X486" s="14"/>
      <c r="Y486" s="14"/>
      <c r="Z486" s="14"/>
      <c r="AA486" s="14"/>
      <c r="AB486" s="165"/>
    </row>
    <row r="487" spans="21:28" x14ac:dyDescent="0.35">
      <c r="U487" s="12"/>
      <c r="V487" s="14" t="s">
        <v>298</v>
      </c>
      <c r="W487" s="205">
        <v>1.3944000000000001</v>
      </c>
      <c r="X487" s="14"/>
      <c r="Y487" s="14"/>
      <c r="Z487" s="14"/>
      <c r="AA487" s="14"/>
      <c r="AB487" s="165"/>
    </row>
    <row r="488" spans="21:28" x14ac:dyDescent="0.35">
      <c r="U488" s="12"/>
      <c r="V488" s="14" t="s">
        <v>299</v>
      </c>
      <c r="W488" s="205">
        <v>1.4242999999999999</v>
      </c>
      <c r="X488" s="14"/>
      <c r="Y488" s="14"/>
      <c r="Z488" s="14"/>
      <c r="AA488" s="14"/>
      <c r="AB488" s="165"/>
    </row>
    <row r="489" spans="21:28" x14ac:dyDescent="0.35">
      <c r="U489" s="12"/>
      <c r="V489" s="14" t="s">
        <v>300</v>
      </c>
      <c r="W489" s="205">
        <v>1.4217</v>
      </c>
      <c r="X489" s="14"/>
      <c r="Y489" s="14"/>
      <c r="Z489" s="14"/>
      <c r="AA489" s="14"/>
      <c r="AB489" s="165"/>
    </row>
    <row r="490" spans="21:28" x14ac:dyDescent="0.35">
      <c r="U490" s="12"/>
      <c r="V490" s="14" t="s">
        <v>301</v>
      </c>
      <c r="W490" s="205">
        <v>1.4499</v>
      </c>
      <c r="X490" s="14"/>
      <c r="Y490" s="14"/>
      <c r="Z490" s="14"/>
      <c r="AA490" s="14"/>
      <c r="AB490" s="165"/>
    </row>
    <row r="491" spans="21:28" x14ac:dyDescent="0.35">
      <c r="U491" s="12"/>
      <c r="V491" s="14" t="s">
        <v>302</v>
      </c>
      <c r="W491" s="205">
        <v>1.5246999999999999</v>
      </c>
      <c r="X491" s="14"/>
      <c r="Y491" s="14"/>
      <c r="Z491" s="14"/>
      <c r="AA491" s="14"/>
      <c r="AB491" s="165"/>
    </row>
    <row r="492" spans="21:28" x14ac:dyDescent="0.35">
      <c r="U492" s="12"/>
      <c r="V492" s="14" t="s">
        <v>303</v>
      </c>
      <c r="W492" s="205">
        <v>1.5043</v>
      </c>
      <c r="X492" s="14"/>
      <c r="Y492" s="14"/>
      <c r="Z492" s="14"/>
      <c r="AA492" s="14"/>
      <c r="AB492" s="165"/>
    </row>
    <row r="493" spans="21:28" x14ac:dyDescent="0.35">
      <c r="U493" s="12"/>
      <c r="V493" s="14" t="s">
        <v>304</v>
      </c>
      <c r="W493" s="205">
        <v>1.4591000000000001</v>
      </c>
      <c r="X493" s="14"/>
      <c r="Y493" s="14"/>
      <c r="Z493" s="14"/>
      <c r="AA493" s="14"/>
      <c r="AB493" s="165"/>
    </row>
    <row r="494" spans="21:28" x14ac:dyDescent="0.35">
      <c r="U494" s="12"/>
      <c r="V494" s="14" t="s">
        <v>305</v>
      </c>
      <c r="W494" s="205">
        <v>1.4622999999999999</v>
      </c>
      <c r="X494" s="14"/>
      <c r="Y494" s="14"/>
      <c r="Z494" s="14"/>
      <c r="AA494" s="14"/>
      <c r="AB494" s="165"/>
    </row>
    <row r="495" spans="21:28" x14ac:dyDescent="0.35">
      <c r="U495" s="12"/>
      <c r="V495" s="14" t="s">
        <v>306</v>
      </c>
      <c r="W495" s="205">
        <v>1.4914000000000001</v>
      </c>
      <c r="X495" s="14"/>
      <c r="Y495" s="14"/>
      <c r="Z495" s="14"/>
      <c r="AA495" s="14"/>
      <c r="AB495" s="165"/>
    </row>
    <row r="496" spans="21:28" x14ac:dyDescent="0.35">
      <c r="U496" s="12"/>
      <c r="V496" s="14" t="s">
        <v>307</v>
      </c>
      <c r="W496" s="205">
        <v>1.5053000000000001</v>
      </c>
      <c r="X496" s="14"/>
      <c r="Y496" s="14"/>
      <c r="Z496" s="14"/>
      <c r="AA496" s="14"/>
      <c r="AB496" s="165"/>
    </row>
    <row r="497" spans="21:28" x14ac:dyDescent="0.35">
      <c r="U497" s="12"/>
      <c r="V497" s="14" t="s">
        <v>308</v>
      </c>
      <c r="W497" s="205">
        <v>1.5165999999999999</v>
      </c>
      <c r="X497" s="14"/>
      <c r="Y497" s="14"/>
      <c r="Z497" s="14"/>
      <c r="AA497" s="14"/>
      <c r="AB497" s="165"/>
    </row>
    <row r="498" spans="21:28" x14ac:dyDescent="0.35">
      <c r="U498" s="12"/>
      <c r="V498" s="14" t="s">
        <v>309</v>
      </c>
      <c r="W498" s="205">
        <v>1.5196000000000001</v>
      </c>
      <c r="X498" s="14"/>
      <c r="Y498" s="14"/>
      <c r="Z498" s="14"/>
      <c r="AA498" s="14"/>
      <c r="AB498" s="165"/>
    </row>
    <row r="499" spans="21:28" x14ac:dyDescent="0.35">
      <c r="U499" s="12"/>
      <c r="V499" s="14" t="s">
        <v>310</v>
      </c>
      <c r="W499" s="205">
        <v>1.5507</v>
      </c>
      <c r="X499" s="14"/>
      <c r="Y499" s="14"/>
      <c r="Z499" s="14"/>
      <c r="AA499" s="14"/>
      <c r="AB499" s="165"/>
    </row>
    <row r="500" spans="21:28" x14ac:dyDescent="0.35">
      <c r="U500" s="12"/>
      <c r="V500" s="14" t="s">
        <v>311</v>
      </c>
      <c r="W500" s="205">
        <v>1.5489999999999999</v>
      </c>
      <c r="X500" s="14"/>
      <c r="Y500" s="14"/>
      <c r="Z500" s="14"/>
      <c r="AA500" s="14"/>
      <c r="AB500" s="165"/>
    </row>
    <row r="501" spans="21:28" x14ac:dyDescent="0.35">
      <c r="U501" s="12"/>
      <c r="V501" s="14" t="s">
        <v>312</v>
      </c>
      <c r="W501" s="205">
        <v>1.4834000000000001</v>
      </c>
      <c r="X501" s="14"/>
      <c r="Y501" s="14"/>
      <c r="Z501" s="14"/>
      <c r="AA501" s="14"/>
      <c r="AB501" s="165"/>
    </row>
    <row r="502" spans="21:28" x14ac:dyDescent="0.35">
      <c r="U502" s="12"/>
      <c r="V502" s="14" t="s">
        <v>313</v>
      </c>
      <c r="W502" s="205">
        <v>1.5109999999999999</v>
      </c>
      <c r="X502" s="14"/>
      <c r="Y502" s="14"/>
      <c r="Z502" s="14"/>
      <c r="AA502" s="14"/>
      <c r="AB502" s="165"/>
    </row>
    <row r="503" spans="21:28" x14ac:dyDescent="0.35">
      <c r="U503" s="12"/>
      <c r="V503" s="14" t="s">
        <v>314</v>
      </c>
      <c r="W503" s="205">
        <v>1.5091000000000001</v>
      </c>
      <c r="X503" s="14"/>
      <c r="Y503" s="14"/>
      <c r="Z503" s="14"/>
      <c r="AA503" s="14"/>
      <c r="AB503" s="165"/>
    </row>
    <row r="504" spans="21:28" x14ac:dyDescent="0.35">
      <c r="U504" s="12"/>
      <c r="V504" s="14" t="s">
        <v>315</v>
      </c>
      <c r="W504" s="205">
        <v>1.4912000000000001</v>
      </c>
      <c r="X504" s="14"/>
      <c r="Y504" s="14"/>
      <c r="Z504" s="14"/>
      <c r="AA504" s="14"/>
      <c r="AB504" s="165"/>
    </row>
    <row r="505" spans="21:28" x14ac:dyDescent="0.35">
      <c r="U505" s="12"/>
      <c r="V505" s="14" t="s">
        <v>316</v>
      </c>
      <c r="W505" s="205">
        <v>1.4617</v>
      </c>
      <c r="X505" s="14"/>
      <c r="Y505" s="14"/>
      <c r="Z505" s="14"/>
      <c r="AA505" s="14"/>
      <c r="AB505" s="165"/>
    </row>
    <row r="506" spans="21:28" x14ac:dyDescent="0.35">
      <c r="U506" s="12"/>
      <c r="V506" s="14" t="s">
        <v>317</v>
      </c>
      <c r="W506" s="205">
        <v>1.42</v>
      </c>
      <c r="X506" s="14"/>
      <c r="Y506" s="14"/>
      <c r="Z506" s="14"/>
      <c r="AA506" s="14"/>
      <c r="AB506" s="165"/>
    </row>
    <row r="507" spans="21:28" x14ac:dyDescent="0.35">
      <c r="U507" s="12"/>
      <c r="V507" s="14" t="s">
        <v>318</v>
      </c>
      <c r="W507" s="205">
        <v>1.429</v>
      </c>
      <c r="X507" s="14"/>
      <c r="Y507" s="14"/>
      <c r="Z507" s="14"/>
      <c r="AA507" s="14"/>
      <c r="AB507" s="165"/>
    </row>
    <row r="508" spans="21:28" x14ac:dyDescent="0.35">
      <c r="U508" s="12"/>
      <c r="V508" s="14" t="s">
        <v>319</v>
      </c>
      <c r="W508" s="205">
        <v>1.4254</v>
      </c>
      <c r="X508" s="14"/>
      <c r="Y508" s="14"/>
      <c r="Z508" s="14"/>
      <c r="AA508" s="14"/>
      <c r="AB508" s="165"/>
    </row>
    <row r="509" spans="21:28" x14ac:dyDescent="0.35">
      <c r="U509" s="12"/>
      <c r="V509" s="14" t="s">
        <v>320</v>
      </c>
      <c r="W509" s="205">
        <v>1.4236</v>
      </c>
      <c r="X509" s="14"/>
      <c r="Y509" s="14"/>
      <c r="Z509" s="14"/>
      <c r="AA509" s="14"/>
      <c r="AB509" s="165"/>
    </row>
    <row r="510" spans="21:28" x14ac:dyDescent="0.35">
      <c r="U510" s="12"/>
      <c r="V510" s="14" t="s">
        <v>321</v>
      </c>
      <c r="W510" s="205">
        <v>1.4534</v>
      </c>
      <c r="X510" s="14"/>
      <c r="Y510" s="14"/>
      <c r="Z510" s="14"/>
      <c r="AA510" s="14"/>
      <c r="AB510" s="165"/>
    </row>
    <row r="511" spans="21:28" x14ac:dyDescent="0.35">
      <c r="U511" s="12"/>
      <c r="V511" s="14" t="s">
        <v>322</v>
      </c>
      <c r="W511" s="205">
        <v>1.4902</v>
      </c>
      <c r="X511" s="14"/>
      <c r="Y511" s="14"/>
      <c r="Z511" s="14"/>
      <c r="AA511" s="14"/>
      <c r="AB511" s="165"/>
    </row>
    <row r="512" spans="21:28" x14ac:dyDescent="0.35">
      <c r="U512" s="12"/>
      <c r="V512" s="14" t="s">
        <v>323</v>
      </c>
      <c r="W512" s="205">
        <v>1.5051000000000001</v>
      </c>
      <c r="X512" s="14"/>
      <c r="Y512" s="14"/>
      <c r="Z512" s="14"/>
      <c r="AA512" s="14"/>
      <c r="AB512" s="165"/>
    </row>
    <row r="513" spans="21:28" x14ac:dyDescent="0.35">
      <c r="U513" s="12"/>
      <c r="V513" s="14" t="s">
        <v>324</v>
      </c>
      <c r="W513" s="205">
        <v>1.5185</v>
      </c>
      <c r="X513" s="14"/>
      <c r="Y513" s="14"/>
      <c r="Z513" s="14"/>
      <c r="AA513" s="14"/>
      <c r="AB513" s="165"/>
    </row>
    <row r="514" spans="21:28" x14ac:dyDescent="0.35">
      <c r="U514" s="12"/>
      <c r="V514" s="14" t="s">
        <v>325</v>
      </c>
      <c r="W514" s="205">
        <v>1.5374000000000001</v>
      </c>
      <c r="X514" s="14"/>
      <c r="Y514" s="14"/>
      <c r="Z514" s="14"/>
      <c r="AA514" s="14"/>
      <c r="AB514" s="165"/>
    </row>
    <row r="515" spans="21:28" x14ac:dyDescent="0.35">
      <c r="U515" s="12"/>
      <c r="V515" s="14" t="s">
        <v>326</v>
      </c>
      <c r="W515" s="205">
        <v>1.5204</v>
      </c>
      <c r="X515" s="14"/>
      <c r="Y515" s="14"/>
      <c r="Z515" s="14"/>
      <c r="AA515" s="14"/>
      <c r="AB515" s="165"/>
    </row>
    <row r="516" spans="21:28" x14ac:dyDescent="0.35">
      <c r="U516" s="12"/>
      <c r="V516" s="14" t="s">
        <v>327</v>
      </c>
      <c r="W516" s="205">
        <v>1.5145999999999999</v>
      </c>
      <c r="X516" s="14"/>
      <c r="Y516" s="14"/>
      <c r="Z516" s="14"/>
      <c r="AA516" s="14"/>
      <c r="AB516" s="165"/>
    </row>
    <row r="517" spans="21:28" x14ac:dyDescent="0.35">
      <c r="U517" s="12"/>
      <c r="V517" s="14" t="s">
        <v>328</v>
      </c>
      <c r="W517" s="205">
        <v>1.5458000000000001</v>
      </c>
      <c r="X517" s="14"/>
      <c r="Y517" s="14"/>
      <c r="Z517" s="14"/>
      <c r="AA517" s="14"/>
      <c r="AB517" s="165"/>
    </row>
    <row r="518" spans="21:28" x14ac:dyDescent="0.35">
      <c r="U518" s="12"/>
      <c r="V518" s="14" t="s">
        <v>329</v>
      </c>
      <c r="W518" s="205">
        <v>1.5490999999999999</v>
      </c>
      <c r="X518" s="14"/>
      <c r="Y518" s="14"/>
      <c r="Z518" s="14"/>
      <c r="AA518" s="14"/>
      <c r="AB518" s="165"/>
    </row>
    <row r="519" spans="21:28" x14ac:dyDescent="0.35">
      <c r="U519" s="12"/>
      <c r="V519" s="14" t="s">
        <v>330</v>
      </c>
      <c r="W519" s="205">
        <v>1.5706</v>
      </c>
      <c r="X519" s="14"/>
      <c r="Y519" s="14"/>
      <c r="Z519" s="14"/>
      <c r="AA519" s="14"/>
      <c r="AB519" s="165"/>
    </row>
    <row r="520" spans="21:28" x14ac:dyDescent="0.35">
      <c r="U520" s="12"/>
      <c r="V520" s="14" t="s">
        <v>331</v>
      </c>
      <c r="W520" s="205">
        <v>1.5952999999999999</v>
      </c>
      <c r="X520" s="14"/>
      <c r="Y520" s="14"/>
      <c r="Z520" s="14"/>
      <c r="AA520" s="14"/>
      <c r="AB520" s="165"/>
    </row>
    <row r="521" spans="21:28" x14ac:dyDescent="0.35">
      <c r="U521" s="12"/>
      <c r="V521" s="14" t="s">
        <v>332</v>
      </c>
      <c r="W521" s="205">
        <v>1.6201000000000001</v>
      </c>
      <c r="X521" s="14"/>
      <c r="Y521" s="14"/>
      <c r="Z521" s="14"/>
      <c r="AA521" s="14"/>
      <c r="AB521" s="165"/>
    </row>
    <row r="522" spans="21:28" x14ac:dyDescent="0.35">
      <c r="U522" s="12"/>
      <c r="V522" s="14" t="s">
        <v>333</v>
      </c>
      <c r="W522" s="205">
        <v>1.6266</v>
      </c>
      <c r="X522" s="14"/>
      <c r="Y522" s="14"/>
      <c r="Z522" s="14"/>
      <c r="AA522" s="14"/>
      <c r="AB522" s="165"/>
    </row>
    <row r="523" spans="21:28" x14ac:dyDescent="0.35">
      <c r="U523" s="12"/>
      <c r="V523" s="14" t="s">
        <v>334</v>
      </c>
      <c r="W523" s="205">
        <v>1.6376999999999999</v>
      </c>
      <c r="X523" s="14"/>
      <c r="Y523" s="14"/>
      <c r="Z523" s="14"/>
      <c r="AA523" s="14"/>
      <c r="AB523" s="165"/>
    </row>
    <row r="524" spans="21:28" x14ac:dyDescent="0.35">
      <c r="U524" s="12"/>
      <c r="V524" s="14" t="s">
        <v>335</v>
      </c>
      <c r="W524" s="205">
        <v>1.673</v>
      </c>
      <c r="X524" s="14"/>
      <c r="Y524" s="14"/>
      <c r="Z524" s="14"/>
      <c r="AA524" s="14"/>
      <c r="AB524" s="165"/>
    </row>
    <row r="525" spans="21:28" x14ac:dyDescent="0.35">
      <c r="U525" s="12"/>
      <c r="V525" s="14" t="s">
        <v>336</v>
      </c>
      <c r="W525" s="205">
        <v>1.6655</v>
      </c>
      <c r="X525" s="14"/>
      <c r="Y525" s="14"/>
      <c r="Z525" s="14"/>
      <c r="AA525" s="14"/>
      <c r="AB525" s="165"/>
    </row>
    <row r="526" spans="21:28" x14ac:dyDescent="0.35">
      <c r="U526" s="12"/>
      <c r="V526" s="14" t="s">
        <v>337</v>
      </c>
      <c r="W526" s="205">
        <v>1.5882000000000001</v>
      </c>
      <c r="X526" s="14"/>
      <c r="Y526" s="14"/>
      <c r="Z526" s="14"/>
      <c r="AA526" s="14"/>
      <c r="AB526" s="165"/>
    </row>
    <row r="527" spans="21:28" x14ac:dyDescent="0.35">
      <c r="U527" s="12"/>
      <c r="V527" s="14" t="s">
        <v>338</v>
      </c>
      <c r="W527" s="205">
        <v>1.6052</v>
      </c>
      <c r="X527" s="14"/>
      <c r="Y527" s="14"/>
      <c r="Z527" s="14"/>
      <c r="AA527" s="14"/>
      <c r="AB527" s="165"/>
    </row>
    <row r="528" spans="21:28" x14ac:dyDescent="0.35">
      <c r="U528" s="12"/>
      <c r="V528" s="14" t="s">
        <v>339</v>
      </c>
      <c r="W528" s="205">
        <v>1.6477999999999999</v>
      </c>
      <c r="X528" s="14"/>
      <c r="Y528" s="14"/>
      <c r="Z528" s="14"/>
      <c r="AA528" s="14"/>
      <c r="AB528" s="165"/>
    </row>
    <row r="529" spans="21:28" x14ac:dyDescent="0.35">
      <c r="U529" s="12"/>
      <c r="V529" s="14" t="s">
        <v>340</v>
      </c>
      <c r="W529" s="205">
        <v>1.6471</v>
      </c>
      <c r="X529" s="14"/>
      <c r="Y529" s="14"/>
      <c r="Z529" s="14"/>
      <c r="AA529" s="14"/>
      <c r="AB529" s="165"/>
    </row>
    <row r="530" spans="21:28" x14ac:dyDescent="0.35">
      <c r="U530" s="12"/>
      <c r="V530" s="14" t="s">
        <v>341</v>
      </c>
      <c r="W530" s="205">
        <v>1.6994</v>
      </c>
      <c r="X530" s="14"/>
      <c r="Y530" s="14"/>
      <c r="Z530" s="14"/>
      <c r="AA530" s="14"/>
      <c r="AB530" s="165"/>
    </row>
    <row r="531" spans="21:28" x14ac:dyDescent="0.35">
      <c r="U531" s="12"/>
      <c r="V531" s="14" t="s">
        <v>342</v>
      </c>
      <c r="W531" s="205">
        <v>1.6664000000000001</v>
      </c>
      <c r="X531" s="14"/>
      <c r="Y531" s="14"/>
      <c r="Z531" s="14"/>
      <c r="AA531" s="14"/>
      <c r="AB531" s="165"/>
    </row>
    <row r="532" spans="21:28" x14ac:dyDescent="0.35">
      <c r="U532" s="12"/>
      <c r="V532" s="14" t="s">
        <v>343</v>
      </c>
      <c r="W532" s="205">
        <v>1.6302000000000001</v>
      </c>
      <c r="X532" s="14"/>
      <c r="Y532" s="14"/>
      <c r="Z532" s="14"/>
      <c r="AA532" s="14"/>
      <c r="AB532" s="165"/>
    </row>
    <row r="533" spans="21:28" x14ac:dyDescent="0.35">
      <c r="U533" s="12"/>
      <c r="V533" s="14" t="s">
        <v>344</v>
      </c>
      <c r="W533" s="205">
        <v>1.5752999999999999</v>
      </c>
      <c r="X533" s="14"/>
      <c r="Y533" s="14"/>
      <c r="Z533" s="14"/>
      <c r="AA533" s="14"/>
      <c r="AB533" s="165"/>
    </row>
    <row r="534" spans="21:28" x14ac:dyDescent="0.35">
      <c r="U534" s="12"/>
      <c r="V534" s="14" t="s">
        <v>345</v>
      </c>
      <c r="W534" s="205">
        <v>1.5786</v>
      </c>
      <c r="X534" s="14"/>
      <c r="Y534" s="14"/>
      <c r="Z534" s="14"/>
      <c r="AA534" s="14"/>
      <c r="AB534" s="165"/>
    </row>
    <row r="535" spans="21:28" x14ac:dyDescent="0.35">
      <c r="U535" s="12"/>
      <c r="V535" s="14" t="s">
        <v>346</v>
      </c>
      <c r="W535" s="205">
        <v>1.5901000000000001</v>
      </c>
      <c r="X535" s="14"/>
      <c r="Y535" s="14"/>
      <c r="Z535" s="14"/>
      <c r="AA535" s="14"/>
      <c r="AB535" s="165"/>
    </row>
    <row r="536" spans="21:28" x14ac:dyDescent="0.35">
      <c r="U536" s="12"/>
      <c r="V536" s="14" t="s">
        <v>347</v>
      </c>
      <c r="W536" s="205">
        <v>1.6084000000000001</v>
      </c>
      <c r="X536" s="14"/>
      <c r="Y536" s="14"/>
      <c r="Z536" s="14"/>
      <c r="AA536" s="14"/>
      <c r="AB536" s="165"/>
    </row>
    <row r="537" spans="21:28" x14ac:dyDescent="0.35">
      <c r="U537" s="12"/>
      <c r="V537" s="14" t="s">
        <v>348</v>
      </c>
      <c r="W537" s="205">
        <v>1.6304000000000001</v>
      </c>
      <c r="X537" s="14"/>
      <c r="Y537" s="14"/>
      <c r="Z537" s="14"/>
      <c r="AA537" s="14"/>
      <c r="AB537" s="165"/>
    </row>
    <row r="538" spans="21:28" x14ac:dyDescent="0.35">
      <c r="U538" s="12"/>
      <c r="V538" s="14" t="s">
        <v>349</v>
      </c>
      <c r="W538" s="205">
        <v>1.6434</v>
      </c>
      <c r="X538" s="14"/>
      <c r="Y538" s="14"/>
      <c r="Z538" s="14"/>
      <c r="AA538" s="14"/>
      <c r="AB538" s="165"/>
    </row>
    <row r="539" spans="21:28" x14ac:dyDescent="0.35">
      <c r="U539" s="12"/>
      <c r="V539" s="14" t="s">
        <v>350</v>
      </c>
      <c r="W539" s="205">
        <v>1.6433</v>
      </c>
      <c r="X539" s="14"/>
      <c r="Y539" s="14"/>
      <c r="Z539" s="14"/>
      <c r="AA539" s="14"/>
      <c r="AB539" s="165"/>
    </row>
    <row r="540" spans="21:28" x14ac:dyDescent="0.35">
      <c r="U540" s="12"/>
      <c r="V540" s="14" t="s">
        <v>351</v>
      </c>
      <c r="W540" s="205">
        <v>1.5954999999999999</v>
      </c>
      <c r="X540" s="14"/>
      <c r="Y540" s="14"/>
      <c r="Z540" s="14"/>
      <c r="AA540" s="14"/>
      <c r="AB540" s="165"/>
    </row>
    <row r="541" spans="21:28" x14ac:dyDescent="0.35">
      <c r="U541" s="12"/>
      <c r="V541" s="14" t="s">
        <v>352</v>
      </c>
      <c r="W541" s="205">
        <v>1.6060000000000001</v>
      </c>
      <c r="X541" s="14"/>
      <c r="Y541" s="14"/>
      <c r="Z541" s="14"/>
      <c r="AA541" s="14"/>
      <c r="AB541" s="165"/>
    </row>
    <row r="542" spans="21:28" x14ac:dyDescent="0.35">
      <c r="U542" s="12"/>
      <c r="V542" s="14" t="s">
        <v>353</v>
      </c>
      <c r="W542" s="205">
        <v>1.6024</v>
      </c>
      <c r="X542" s="14"/>
      <c r="Y542" s="14"/>
      <c r="Z542" s="14"/>
      <c r="AA542" s="14"/>
      <c r="AB542" s="165"/>
    </row>
    <row r="543" spans="21:28" x14ac:dyDescent="0.35">
      <c r="U543" s="12"/>
      <c r="V543" s="14" t="s">
        <v>354</v>
      </c>
      <c r="W543" s="205">
        <v>1.6166</v>
      </c>
      <c r="X543" s="14"/>
      <c r="Y543" s="14"/>
      <c r="Z543" s="14"/>
      <c r="AA543" s="14"/>
      <c r="AB543" s="165"/>
    </row>
    <row r="544" spans="21:28" x14ac:dyDescent="0.35">
      <c r="U544" s="12"/>
      <c r="V544" s="14" t="s">
        <v>355</v>
      </c>
      <c r="W544" s="205">
        <v>1.6151</v>
      </c>
      <c r="X544" s="14"/>
      <c r="Y544" s="14"/>
      <c r="Z544" s="14"/>
      <c r="AA544" s="14"/>
      <c r="AB544" s="165"/>
    </row>
    <row r="545" spans="21:28" x14ac:dyDescent="0.35">
      <c r="U545" s="12"/>
      <c r="V545" s="14" t="s">
        <v>356</v>
      </c>
      <c r="W545" s="205">
        <v>1.6222000000000001</v>
      </c>
      <c r="X545" s="14"/>
      <c r="Y545" s="14"/>
      <c r="Z545" s="14"/>
      <c r="AA545" s="14"/>
      <c r="AB545" s="165"/>
    </row>
    <row r="546" spans="21:28" x14ac:dyDescent="0.35">
      <c r="U546" s="12"/>
      <c r="V546" s="14" t="s">
        <v>357</v>
      </c>
      <c r="W546" s="205">
        <v>1.6348</v>
      </c>
      <c r="X546" s="14"/>
      <c r="Y546" s="14"/>
      <c r="Z546" s="14"/>
      <c r="AA546" s="14"/>
      <c r="AB546" s="165"/>
    </row>
    <row r="547" spans="21:28" x14ac:dyDescent="0.35">
      <c r="U547" s="12"/>
      <c r="V547" s="14" t="s">
        <v>358</v>
      </c>
      <c r="W547" s="205">
        <v>1.6224000000000001</v>
      </c>
      <c r="X547" s="14"/>
      <c r="Y547" s="14"/>
      <c r="Z547" s="14"/>
      <c r="AA547" s="14"/>
      <c r="AB547" s="165"/>
    </row>
    <row r="548" spans="21:28" x14ac:dyDescent="0.35">
      <c r="U548" s="12"/>
      <c r="V548" s="14" t="s">
        <v>359</v>
      </c>
      <c r="W548" s="205">
        <v>1.6282000000000001</v>
      </c>
      <c r="X548" s="14"/>
      <c r="Y548" s="14"/>
      <c r="Z548" s="14"/>
      <c r="AA548" s="14"/>
      <c r="AB548" s="165"/>
    </row>
    <row r="549" spans="21:28" x14ac:dyDescent="0.35">
      <c r="U549" s="12"/>
      <c r="V549" s="14" t="s">
        <v>360</v>
      </c>
      <c r="W549" s="205">
        <v>1.5913999999999999</v>
      </c>
      <c r="X549" s="14"/>
      <c r="Y549" s="14"/>
      <c r="Z549" s="14"/>
      <c r="AA549" s="14"/>
      <c r="AB549" s="165"/>
    </row>
    <row r="550" spans="21:28" x14ac:dyDescent="0.35">
      <c r="U550" s="12"/>
      <c r="V550" s="14" t="s">
        <v>361</v>
      </c>
      <c r="W550" s="205">
        <v>1.5515000000000001</v>
      </c>
      <c r="X550" s="14"/>
      <c r="Y550" s="14"/>
      <c r="Z550" s="14"/>
      <c r="AA550" s="14"/>
      <c r="AB550" s="165"/>
    </row>
    <row r="551" spans="21:28" x14ac:dyDescent="0.35">
      <c r="U551" s="12"/>
      <c r="V551" s="14" t="s">
        <v>362</v>
      </c>
      <c r="W551" s="205">
        <v>1.5665</v>
      </c>
      <c r="X551" s="14"/>
      <c r="Y551" s="14"/>
      <c r="Z551" s="14"/>
      <c r="AA551" s="14"/>
      <c r="AB551" s="165"/>
    </row>
    <row r="552" spans="21:28" x14ac:dyDescent="0.35">
      <c r="U552" s="12"/>
      <c r="V552" s="14" t="s">
        <v>363</v>
      </c>
      <c r="W552" s="205">
        <v>1.5723</v>
      </c>
      <c r="X552" s="14"/>
      <c r="Y552" s="14"/>
      <c r="Z552" s="14"/>
      <c r="AA552" s="14"/>
      <c r="AB552" s="165"/>
    </row>
    <row r="553" spans="21:28" x14ac:dyDescent="0.35">
      <c r="U553" s="12"/>
      <c r="V553" s="14" t="s">
        <v>364</v>
      </c>
      <c r="W553" s="205">
        <v>1.5861000000000001</v>
      </c>
      <c r="X553" s="14"/>
      <c r="Y553" s="14"/>
      <c r="Z553" s="14"/>
      <c r="AA553" s="14"/>
      <c r="AB553" s="165"/>
    </row>
    <row r="554" spans="21:28" x14ac:dyDescent="0.35">
      <c r="U554" s="12"/>
      <c r="V554" s="14" t="s">
        <v>365</v>
      </c>
      <c r="W554" s="205">
        <v>1.5868</v>
      </c>
      <c r="X554" s="14"/>
      <c r="Y554" s="14"/>
      <c r="Z554" s="14"/>
      <c r="AA554" s="14"/>
      <c r="AB554" s="165"/>
    </row>
    <row r="555" spans="21:28" x14ac:dyDescent="0.35">
      <c r="U555" s="12"/>
      <c r="V555" s="14" t="s">
        <v>366</v>
      </c>
      <c r="W555" s="205">
        <v>1.5693999999999999</v>
      </c>
      <c r="X555" s="14"/>
      <c r="Y555" s="14"/>
      <c r="Z555" s="14"/>
      <c r="AA555" s="14"/>
      <c r="AB555" s="165"/>
    </row>
    <row r="556" spans="21:28" x14ac:dyDescent="0.35">
      <c r="U556" s="12"/>
      <c r="V556" s="14" t="s">
        <v>367</v>
      </c>
      <c r="W556" s="205">
        <v>1.5566</v>
      </c>
      <c r="X556" s="14"/>
      <c r="Y556" s="14"/>
      <c r="Z556" s="14"/>
      <c r="AA556" s="14"/>
      <c r="AB556" s="165"/>
    </row>
    <row r="557" spans="21:28" x14ac:dyDescent="0.35">
      <c r="U557" s="12"/>
      <c r="V557" s="14" t="s">
        <v>368</v>
      </c>
      <c r="W557" s="205">
        <v>1.5222</v>
      </c>
      <c r="X557" s="14"/>
      <c r="Y557" s="14"/>
      <c r="Z557" s="14"/>
      <c r="AA557" s="14"/>
      <c r="AB557" s="165"/>
    </row>
    <row r="558" spans="21:28" x14ac:dyDescent="0.35">
      <c r="U558" s="12"/>
      <c r="V558" s="14" t="s">
        <v>369</v>
      </c>
      <c r="W558" s="205">
        <v>1.4893000000000001</v>
      </c>
      <c r="X558" s="14"/>
      <c r="Y558" s="14"/>
      <c r="Z558" s="14"/>
      <c r="AA558" s="14"/>
      <c r="AB558" s="165"/>
    </row>
    <row r="559" spans="21:28" x14ac:dyDescent="0.35">
      <c r="U559" s="12"/>
      <c r="V559" s="14" t="s">
        <v>370</v>
      </c>
      <c r="W559" s="205">
        <v>1.4649000000000001</v>
      </c>
      <c r="X559" s="14"/>
      <c r="Y559" s="14"/>
      <c r="Z559" s="14"/>
      <c r="AA559" s="14"/>
      <c r="AB559" s="165"/>
    </row>
    <row r="560" spans="21:28" x14ac:dyDescent="0.35">
      <c r="U560" s="12"/>
      <c r="V560" s="14" t="s">
        <v>371</v>
      </c>
      <c r="W560" s="205">
        <v>1.4504999999999999</v>
      </c>
      <c r="X560" s="14"/>
      <c r="Y560" s="14"/>
      <c r="Z560" s="14"/>
      <c r="AA560" s="14"/>
      <c r="AB560" s="165"/>
    </row>
    <row r="561" spans="21:28" x14ac:dyDescent="0.35">
      <c r="U561" s="12"/>
      <c r="V561" s="14" t="s">
        <v>372</v>
      </c>
      <c r="W561" s="205">
        <v>1.403</v>
      </c>
      <c r="X561" s="14"/>
      <c r="Y561" s="14"/>
      <c r="Z561" s="14"/>
      <c r="AA561" s="14"/>
      <c r="AB561" s="165"/>
    </row>
    <row r="562" spans="21:28" x14ac:dyDescent="0.35">
      <c r="U562" s="12"/>
      <c r="V562" s="14" t="s">
        <v>373</v>
      </c>
      <c r="W562" s="205">
        <v>1.4234</v>
      </c>
      <c r="X562" s="14"/>
      <c r="Y562" s="14"/>
      <c r="Z562" s="14"/>
      <c r="AA562" s="14"/>
      <c r="AB562" s="165"/>
    </row>
    <row r="563" spans="21:28" x14ac:dyDescent="0.35">
      <c r="U563" s="12"/>
      <c r="V563" s="14" t="s">
        <v>374</v>
      </c>
      <c r="W563" s="205">
        <v>1.4277</v>
      </c>
      <c r="X563" s="14"/>
      <c r="Y563" s="14"/>
      <c r="Z563" s="14"/>
      <c r="AA563" s="14"/>
      <c r="AB563" s="165"/>
    </row>
    <row r="564" spans="21:28" x14ac:dyDescent="0.35">
      <c r="U564" s="12"/>
      <c r="V564" s="14" t="s">
        <v>375</v>
      </c>
      <c r="W564" s="205">
        <v>1.4286000000000001</v>
      </c>
      <c r="X564" s="14"/>
      <c r="Y564" s="14"/>
      <c r="Z564" s="14"/>
      <c r="AA564" s="14"/>
      <c r="AB564" s="165"/>
    </row>
    <row r="565" spans="21:28" x14ac:dyDescent="0.35">
      <c r="U565" s="12"/>
      <c r="V565" s="14" t="s">
        <v>376</v>
      </c>
      <c r="W565" s="205">
        <v>1.4338</v>
      </c>
      <c r="X565" s="14"/>
      <c r="Y565" s="14"/>
      <c r="Z565" s="14"/>
      <c r="AA565" s="14"/>
      <c r="AB565" s="165"/>
    </row>
    <row r="566" spans="21:28" x14ac:dyDescent="0.35">
      <c r="U566" s="12"/>
      <c r="V566" s="14" t="s">
        <v>377</v>
      </c>
      <c r="W566" s="205">
        <v>1.4334</v>
      </c>
      <c r="X566" s="14"/>
      <c r="Y566" s="14"/>
      <c r="Z566" s="14"/>
      <c r="AA566" s="14"/>
      <c r="AB566" s="165"/>
    </row>
    <row r="567" spans="21:28" x14ac:dyDescent="0.35">
      <c r="U567" s="12"/>
      <c r="V567" s="14" t="s">
        <v>378</v>
      </c>
      <c r="W567" s="205">
        <v>1.4426000000000001</v>
      </c>
      <c r="X567" s="14"/>
      <c r="Y567" s="14"/>
      <c r="Z567" s="14"/>
      <c r="AA567" s="14"/>
      <c r="AB567" s="165"/>
    </row>
    <row r="568" spans="21:28" x14ac:dyDescent="0.35">
      <c r="U568" s="12"/>
      <c r="V568" s="14" t="s">
        <v>379</v>
      </c>
      <c r="W568" s="205">
        <v>1.4246000000000001</v>
      </c>
      <c r="X568" s="14"/>
      <c r="Y568" s="14"/>
      <c r="Z568" s="14"/>
      <c r="AA568" s="14"/>
      <c r="AB568" s="165"/>
    </row>
    <row r="569" spans="21:28" x14ac:dyDescent="0.35">
      <c r="U569" s="12"/>
      <c r="V569" s="14" t="s">
        <v>380</v>
      </c>
      <c r="W569" s="205">
        <v>1.4447000000000001</v>
      </c>
      <c r="X569" s="14"/>
      <c r="Y569" s="14"/>
      <c r="Z569" s="14"/>
      <c r="AA569" s="14"/>
      <c r="AB569" s="165"/>
    </row>
    <row r="570" spans="21:28" x14ac:dyDescent="0.35">
      <c r="U570" s="12"/>
      <c r="V570" s="14" t="s">
        <v>381</v>
      </c>
      <c r="W570" s="205">
        <v>1.4774</v>
      </c>
      <c r="X570" s="14"/>
      <c r="Y570" s="14"/>
      <c r="Z570" s="14"/>
      <c r="AA570" s="14"/>
      <c r="AB570" s="165"/>
    </row>
    <row r="571" spans="21:28" x14ac:dyDescent="0.35">
      <c r="U571" s="12"/>
      <c r="V571" s="14" t="s">
        <v>382</v>
      </c>
      <c r="W571" s="205">
        <v>1.4890000000000001</v>
      </c>
      <c r="X571" s="14"/>
      <c r="Y571" s="14"/>
      <c r="Z571" s="14"/>
      <c r="AA571" s="14"/>
      <c r="AB571" s="165"/>
    </row>
    <row r="572" spans="21:28" x14ac:dyDescent="0.35">
      <c r="U572" s="12"/>
      <c r="V572" s="14" t="s">
        <v>383</v>
      </c>
      <c r="W572" s="205">
        <v>1.5022</v>
      </c>
      <c r="X572" s="14"/>
      <c r="Y572" s="14"/>
      <c r="Z572" s="14"/>
      <c r="AA572" s="14"/>
      <c r="AB572" s="165"/>
    </row>
    <row r="573" spans="21:28" x14ac:dyDescent="0.35">
      <c r="U573" s="12"/>
      <c r="V573" s="14" t="s">
        <v>384</v>
      </c>
      <c r="W573" s="205">
        <v>1.4894000000000001</v>
      </c>
      <c r="X573" s="14"/>
      <c r="Y573" s="14"/>
      <c r="Z573" s="14"/>
      <c r="AA573" s="14"/>
      <c r="AB573" s="165"/>
    </row>
    <row r="574" spans="21:28" x14ac:dyDescent="0.35">
      <c r="U574" s="12"/>
      <c r="V574" s="14" t="s">
        <v>385</v>
      </c>
      <c r="W574" s="205">
        <v>1.5049999999999999</v>
      </c>
      <c r="X574" s="14"/>
      <c r="Y574" s="14"/>
      <c r="Z574" s="14"/>
      <c r="AA574" s="14"/>
      <c r="AB574" s="165"/>
    </row>
    <row r="575" spans="21:28" x14ac:dyDescent="0.35">
      <c r="U575" s="12"/>
      <c r="V575" s="14" t="s">
        <v>386</v>
      </c>
      <c r="W575" s="205">
        <v>1.5023</v>
      </c>
      <c r="X575" s="14"/>
      <c r="Y575" s="14"/>
      <c r="Z575" s="14"/>
      <c r="AA575" s="14"/>
      <c r="AB575" s="165"/>
    </row>
    <row r="576" spans="21:28" x14ac:dyDescent="0.35">
      <c r="U576" s="12"/>
      <c r="V576" s="14" t="s">
        <v>387</v>
      </c>
      <c r="W576" s="205">
        <v>1.4933000000000001</v>
      </c>
      <c r="X576" s="14"/>
      <c r="Y576" s="14"/>
      <c r="Z576" s="14"/>
      <c r="AA576" s="14"/>
      <c r="AB576" s="165"/>
    </row>
    <row r="577" spans="21:28" x14ac:dyDescent="0.35">
      <c r="U577" s="12"/>
      <c r="V577" s="14" t="s">
        <v>388</v>
      </c>
      <c r="W577" s="205">
        <v>1.4676</v>
      </c>
      <c r="X577" s="14"/>
      <c r="Y577" s="14"/>
      <c r="Z577" s="14"/>
      <c r="AA577" s="14"/>
      <c r="AB577" s="165"/>
    </row>
    <row r="578" spans="21:28" x14ac:dyDescent="0.35">
      <c r="U578" s="12"/>
      <c r="V578" s="14" t="s">
        <v>389</v>
      </c>
      <c r="W578" s="205">
        <v>1.4455</v>
      </c>
      <c r="X578" s="14"/>
      <c r="Y578" s="14"/>
      <c r="Z578" s="14"/>
      <c r="AA578" s="14"/>
      <c r="AB578" s="165"/>
    </row>
    <row r="579" spans="21:28" x14ac:dyDescent="0.35">
      <c r="U579" s="12"/>
      <c r="V579" s="14" t="s">
        <v>390</v>
      </c>
      <c r="W579" s="205">
        <v>1.4311</v>
      </c>
      <c r="X579" s="14"/>
      <c r="Y579" s="14"/>
      <c r="Z579" s="14"/>
      <c r="AA579" s="14"/>
      <c r="AB579" s="165"/>
    </row>
    <row r="580" spans="21:28" x14ac:dyDescent="0.35">
      <c r="U580" s="12"/>
      <c r="V580" s="14" t="s">
        <v>391</v>
      </c>
      <c r="W580" s="205">
        <v>1.4400999999999999</v>
      </c>
      <c r="X580" s="14"/>
      <c r="Y580" s="14"/>
      <c r="Z580" s="14"/>
      <c r="AA580" s="14"/>
      <c r="AB580" s="165"/>
    </row>
    <row r="581" spans="21:28" x14ac:dyDescent="0.35">
      <c r="U581" s="12"/>
      <c r="V581" s="14" t="s">
        <v>392</v>
      </c>
      <c r="W581" s="205">
        <v>1.4331</v>
      </c>
      <c r="X581" s="14"/>
      <c r="Y581" s="14"/>
      <c r="Z581" s="14"/>
      <c r="AA581" s="14"/>
      <c r="AB581" s="165"/>
    </row>
    <row r="582" spans="21:28" x14ac:dyDescent="0.35">
      <c r="U582" s="12"/>
      <c r="V582" s="14" t="s">
        <v>393</v>
      </c>
      <c r="W582" s="205">
        <v>1.4499</v>
      </c>
      <c r="X582" s="14"/>
      <c r="Y582" s="14"/>
      <c r="Z582" s="14"/>
      <c r="AA582" s="14"/>
      <c r="AB582" s="165"/>
    </row>
    <row r="583" spans="21:28" x14ac:dyDescent="0.35">
      <c r="U583" s="12"/>
      <c r="V583" s="14" t="s">
        <v>394</v>
      </c>
      <c r="W583" s="205">
        <v>1.444</v>
      </c>
      <c r="X583" s="14"/>
      <c r="Y583" s="14"/>
      <c r="Z583" s="14"/>
      <c r="AA583" s="14"/>
      <c r="AB583" s="165"/>
    </row>
    <row r="584" spans="21:28" x14ac:dyDescent="0.35">
      <c r="U584" s="12"/>
      <c r="V584" s="14" t="s">
        <v>395</v>
      </c>
      <c r="W584" s="205">
        <v>1.4652000000000001</v>
      </c>
      <c r="X584" s="14"/>
      <c r="Y584" s="14"/>
      <c r="Z584" s="14"/>
      <c r="AA584" s="14"/>
      <c r="AB584" s="165"/>
    </row>
    <row r="585" spans="21:28" x14ac:dyDescent="0.35">
      <c r="U585" s="12"/>
      <c r="V585" s="14" t="s">
        <v>396</v>
      </c>
      <c r="W585" s="205">
        <v>1.4611000000000001</v>
      </c>
      <c r="X585" s="14"/>
      <c r="Y585" s="14"/>
      <c r="Z585" s="14"/>
      <c r="AA585" s="14"/>
      <c r="AB585" s="165"/>
    </row>
    <row r="586" spans="21:28" x14ac:dyDescent="0.35">
      <c r="U586" s="12"/>
      <c r="V586" s="14" t="s">
        <v>397</v>
      </c>
      <c r="W586" s="205">
        <v>1.4952000000000001</v>
      </c>
      <c r="X586" s="14"/>
      <c r="Y586" s="14"/>
      <c r="Z586" s="14"/>
      <c r="AA586" s="14"/>
      <c r="AB586" s="165"/>
    </row>
    <row r="587" spans="21:28" x14ac:dyDescent="0.35">
      <c r="U587" s="12"/>
      <c r="V587" s="14" t="s">
        <v>398</v>
      </c>
      <c r="W587" s="205">
        <v>1.4547000000000001</v>
      </c>
      <c r="X587" s="14"/>
      <c r="Y587" s="14"/>
      <c r="Z587" s="14"/>
      <c r="AA587" s="14"/>
      <c r="AB587" s="165"/>
    </row>
    <row r="588" spans="21:28" x14ac:dyDescent="0.35">
      <c r="U588" s="12"/>
      <c r="V588" s="14" t="s">
        <v>399</v>
      </c>
      <c r="W588" s="205">
        <v>1.4592000000000001</v>
      </c>
      <c r="X588" s="14"/>
      <c r="Y588" s="14"/>
      <c r="Z588" s="14"/>
      <c r="AA588" s="14"/>
      <c r="AB588" s="165"/>
    </row>
    <row r="589" spans="21:28" x14ac:dyDescent="0.35">
      <c r="U589" s="12"/>
      <c r="V589" s="14" t="s">
        <v>400</v>
      </c>
      <c r="W589" s="205">
        <v>1.4761</v>
      </c>
      <c r="X589" s="14"/>
      <c r="Y589" s="14"/>
      <c r="Z589" s="14"/>
      <c r="AA589" s="14"/>
      <c r="AB589" s="165"/>
    </row>
    <row r="590" spans="21:28" x14ac:dyDescent="0.35">
      <c r="U590" s="12"/>
      <c r="V590" s="14" t="s">
        <v>401</v>
      </c>
      <c r="W590" s="205">
        <v>1.4674</v>
      </c>
      <c r="X590" s="14"/>
      <c r="Y590" s="14"/>
      <c r="Z590" s="14"/>
      <c r="AA590" s="14"/>
      <c r="AB590" s="165"/>
    </row>
    <row r="591" spans="21:28" x14ac:dyDescent="0.35">
      <c r="U591" s="12"/>
      <c r="V591" s="14" t="s">
        <v>402</v>
      </c>
      <c r="W591" s="205">
        <v>1.4719</v>
      </c>
      <c r="X591" s="14"/>
      <c r="Y591" s="14"/>
      <c r="Z591" s="14"/>
      <c r="AA591" s="14"/>
      <c r="AB591" s="165"/>
    </row>
    <row r="592" spans="21:28" x14ac:dyDescent="0.35">
      <c r="U592" s="12"/>
      <c r="V592" s="14" t="s">
        <v>403</v>
      </c>
      <c r="W592" s="205">
        <v>1.4724999999999999</v>
      </c>
      <c r="X592" s="14"/>
      <c r="Y592" s="14"/>
      <c r="Z592" s="14"/>
      <c r="AA592" s="14"/>
      <c r="AB592" s="165"/>
    </row>
    <row r="593" spans="21:28" x14ac:dyDescent="0.35">
      <c r="U593" s="12"/>
      <c r="V593" s="14" t="s">
        <v>404</v>
      </c>
      <c r="W593" s="205">
        <v>1.4581999999999999</v>
      </c>
      <c r="X593" s="14"/>
      <c r="Y593" s="14"/>
      <c r="Z593" s="14"/>
      <c r="AA593" s="14"/>
      <c r="AB593" s="165"/>
    </row>
    <row r="594" spans="21:28" x14ac:dyDescent="0.35">
      <c r="U594" s="12"/>
      <c r="V594" s="14" t="s">
        <v>405</v>
      </c>
      <c r="W594" s="205">
        <v>1.4637</v>
      </c>
      <c r="X594" s="14"/>
      <c r="Y594" s="14"/>
      <c r="Z594" s="14"/>
      <c r="AA594" s="14"/>
      <c r="AB594" s="165"/>
    </row>
    <row r="595" spans="21:28" x14ac:dyDescent="0.35">
      <c r="U595" s="12"/>
      <c r="V595" s="14" t="s">
        <v>406</v>
      </c>
      <c r="W595" s="205">
        <v>1.45</v>
      </c>
      <c r="X595" s="14"/>
      <c r="Y595" s="14"/>
      <c r="Z595" s="14"/>
      <c r="AA595" s="14"/>
      <c r="AB595" s="165"/>
    </row>
    <row r="596" spans="21:28" x14ac:dyDescent="0.35">
      <c r="U596" s="12"/>
      <c r="V596" s="14" t="s">
        <v>407</v>
      </c>
      <c r="W596" s="205">
        <v>1.4401999999999999</v>
      </c>
      <c r="X596" s="14"/>
      <c r="Y596" s="14"/>
      <c r="Z596" s="14"/>
      <c r="AA596" s="14"/>
      <c r="AB596" s="165"/>
    </row>
    <row r="597" spans="21:28" x14ac:dyDescent="0.35">
      <c r="U597" s="12"/>
      <c r="V597" s="14" t="s">
        <v>408</v>
      </c>
      <c r="W597" s="205">
        <v>1.4637</v>
      </c>
      <c r="X597" s="14"/>
      <c r="Y597" s="14"/>
      <c r="Z597" s="14"/>
      <c r="AA597" s="14"/>
      <c r="AB597" s="165"/>
    </row>
    <row r="598" spans="21:28" x14ac:dyDescent="0.35">
      <c r="U598" s="12"/>
      <c r="V598" s="14" t="s">
        <v>409</v>
      </c>
      <c r="W598" s="205">
        <v>1.456</v>
      </c>
      <c r="X598" s="14"/>
      <c r="Y598" s="14"/>
      <c r="Z598" s="14"/>
      <c r="AA598" s="14"/>
      <c r="AB598" s="165"/>
    </row>
    <row r="599" spans="21:28" x14ac:dyDescent="0.35">
      <c r="U599" s="12"/>
      <c r="V599" s="14" t="s">
        <v>410</v>
      </c>
      <c r="W599" s="205">
        <v>1.454</v>
      </c>
      <c r="X599" s="14"/>
      <c r="Y599" s="14"/>
      <c r="Z599" s="14"/>
      <c r="AA599" s="14"/>
      <c r="AB599" s="165"/>
    </row>
    <row r="600" spans="21:28" x14ac:dyDescent="0.35">
      <c r="U600" s="12"/>
      <c r="V600" s="14" t="s">
        <v>411</v>
      </c>
      <c r="W600" s="205">
        <v>1.4784999999999999</v>
      </c>
      <c r="X600" s="14"/>
      <c r="Y600" s="14"/>
      <c r="Z600" s="14"/>
      <c r="AA600" s="14"/>
      <c r="AB600" s="165"/>
    </row>
    <row r="601" spans="21:28" x14ac:dyDescent="0.35">
      <c r="U601" s="12"/>
      <c r="V601" s="14" t="s">
        <v>412</v>
      </c>
      <c r="W601" s="205">
        <v>1.4811000000000001</v>
      </c>
      <c r="X601" s="14"/>
      <c r="Y601" s="14"/>
      <c r="Z601" s="14"/>
      <c r="AA601" s="14"/>
      <c r="AB601" s="165"/>
    </row>
    <row r="602" spans="21:28" x14ac:dyDescent="0.35">
      <c r="U602" s="12"/>
      <c r="V602" s="14" t="s">
        <v>413</v>
      </c>
      <c r="W602" s="205">
        <v>1.4869000000000001</v>
      </c>
      <c r="X602" s="14"/>
      <c r="Y602" s="14"/>
      <c r="Z602" s="14"/>
      <c r="AA602" s="14"/>
      <c r="AB602" s="165"/>
    </row>
    <row r="603" spans="21:28" x14ac:dyDescent="0.35">
      <c r="U603" s="12"/>
      <c r="V603" s="14" t="s">
        <v>414</v>
      </c>
      <c r="W603" s="205">
        <v>1.4834000000000001</v>
      </c>
      <c r="X603" s="14"/>
      <c r="Y603" s="14"/>
      <c r="Z603" s="14"/>
      <c r="AA603" s="14"/>
      <c r="AB603" s="165"/>
    </row>
    <row r="604" spans="21:28" x14ac:dyDescent="0.35">
      <c r="U604" s="12"/>
      <c r="V604" s="14" t="s">
        <v>415</v>
      </c>
      <c r="W604" s="205">
        <v>1.486</v>
      </c>
      <c r="X604" s="14"/>
      <c r="Y604" s="14"/>
      <c r="Z604" s="14"/>
      <c r="AA604" s="14"/>
      <c r="AB604" s="165"/>
    </row>
    <row r="605" spans="21:28" x14ac:dyDescent="0.35">
      <c r="U605" s="12"/>
      <c r="V605" s="14" t="s">
        <v>416</v>
      </c>
      <c r="W605" s="205">
        <v>1.5079</v>
      </c>
      <c r="X605" s="14"/>
      <c r="Y605" s="14"/>
      <c r="Z605" s="14"/>
      <c r="AA605" s="14"/>
      <c r="AB605" s="165"/>
    </row>
    <row r="606" spans="21:28" x14ac:dyDescent="0.35">
      <c r="U606" s="12"/>
      <c r="V606" s="14" t="s">
        <v>417</v>
      </c>
      <c r="W606" s="205">
        <v>1.4968999999999999</v>
      </c>
      <c r="X606" s="14"/>
      <c r="Y606" s="14"/>
      <c r="Z606" s="14"/>
      <c r="AA606" s="14"/>
      <c r="AB606" s="165"/>
    </row>
    <row r="607" spans="21:28" x14ac:dyDescent="0.35">
      <c r="U607" s="12"/>
      <c r="V607" s="14" t="s">
        <v>418</v>
      </c>
      <c r="W607" s="205">
        <v>1.4702999999999999</v>
      </c>
      <c r="X607" s="14"/>
      <c r="Y607" s="14"/>
      <c r="Z607" s="14"/>
      <c r="AA607" s="14"/>
      <c r="AB607" s="165"/>
    </row>
    <row r="608" spans="21:28" x14ac:dyDescent="0.35">
      <c r="U608" s="12"/>
      <c r="V608" s="14" t="s">
        <v>419</v>
      </c>
      <c r="W608" s="205">
        <v>1.4713000000000001</v>
      </c>
      <c r="X608" s="14"/>
      <c r="Y608" s="14"/>
      <c r="Z608" s="14"/>
      <c r="AA608" s="14"/>
      <c r="AB608" s="165"/>
    </row>
    <row r="609" spans="21:28" x14ac:dyDescent="0.35">
      <c r="U609" s="12"/>
      <c r="V609" s="14" t="s">
        <v>420</v>
      </c>
      <c r="W609" s="205">
        <v>1.4677</v>
      </c>
      <c r="X609" s="14"/>
      <c r="Y609" s="14"/>
      <c r="Z609" s="14"/>
      <c r="AA609" s="14"/>
      <c r="AB609" s="165"/>
    </row>
    <row r="610" spans="21:28" x14ac:dyDescent="0.35">
      <c r="U610" s="12"/>
      <c r="V610" s="14" t="s">
        <v>421</v>
      </c>
      <c r="W610" s="205">
        <v>1.4804999999999999</v>
      </c>
      <c r="X610" s="14"/>
      <c r="Y610" s="14"/>
      <c r="Z610" s="14"/>
      <c r="AA610" s="14"/>
      <c r="AB610" s="165"/>
    </row>
    <row r="611" spans="21:28" x14ac:dyDescent="0.35">
      <c r="U611" s="12"/>
      <c r="V611" s="14" t="s">
        <v>422</v>
      </c>
      <c r="W611" s="205">
        <v>1.4821</v>
      </c>
      <c r="X611" s="14"/>
      <c r="Y611" s="14"/>
      <c r="Z611" s="14"/>
      <c r="AA611" s="14"/>
      <c r="AB611" s="165"/>
    </row>
    <row r="612" spans="21:28" x14ac:dyDescent="0.35">
      <c r="U612" s="12"/>
      <c r="V612" s="14" t="s">
        <v>423</v>
      </c>
      <c r="W612" s="205">
        <v>1.4762</v>
      </c>
      <c r="X612" s="14"/>
      <c r="Y612" s="14"/>
      <c r="Z612" s="14"/>
      <c r="AA612" s="14"/>
      <c r="AB612" s="165"/>
    </row>
    <row r="613" spans="21:28" x14ac:dyDescent="0.35">
      <c r="U613" s="12"/>
      <c r="V613" s="14" t="s">
        <v>424</v>
      </c>
      <c r="W613" s="205">
        <v>1.4515</v>
      </c>
      <c r="X613" s="14"/>
      <c r="Y613" s="14"/>
      <c r="Z613" s="14"/>
      <c r="AA613" s="14"/>
      <c r="AB613" s="165"/>
    </row>
    <row r="614" spans="21:28" x14ac:dyDescent="0.35">
      <c r="U614" s="12"/>
      <c r="V614" s="14" t="s">
        <v>425</v>
      </c>
      <c r="W614" s="205">
        <v>1.4370000000000001</v>
      </c>
      <c r="X614" s="14"/>
      <c r="Y614" s="14"/>
      <c r="Z614" s="14"/>
      <c r="AA614" s="14"/>
      <c r="AB614" s="165"/>
    </row>
    <row r="615" spans="21:28" x14ac:dyDescent="0.35">
      <c r="U615" s="12"/>
      <c r="V615" s="14" t="s">
        <v>426</v>
      </c>
      <c r="W615" s="205">
        <v>1.4106000000000001</v>
      </c>
      <c r="X615" s="14"/>
      <c r="Y615" s="14"/>
      <c r="Z615" s="14"/>
      <c r="AA615" s="14"/>
      <c r="AB615" s="165"/>
    </row>
    <row r="616" spans="21:28" x14ac:dyDescent="0.35">
      <c r="U616" s="12"/>
      <c r="V616" s="14" t="s">
        <v>427</v>
      </c>
      <c r="W616" s="205">
        <v>1.3863000000000001</v>
      </c>
      <c r="X616" s="14"/>
      <c r="Y616" s="14"/>
      <c r="Z616" s="14"/>
      <c r="AA616" s="14"/>
      <c r="AB616" s="165"/>
    </row>
    <row r="617" spans="21:28" x14ac:dyDescent="0.35">
      <c r="U617" s="12"/>
      <c r="V617" s="14" t="s">
        <v>428</v>
      </c>
      <c r="W617" s="205">
        <v>1.3383</v>
      </c>
      <c r="X617" s="14"/>
      <c r="Y617" s="14"/>
      <c r="Z617" s="14"/>
      <c r="AA617" s="14"/>
      <c r="AB617" s="165"/>
    </row>
    <row r="618" spans="21:28" x14ac:dyDescent="0.35">
      <c r="U618" s="12"/>
      <c r="V618" s="14" t="s">
        <v>429</v>
      </c>
      <c r="W618" s="205">
        <v>1.3315999999999999</v>
      </c>
      <c r="X618" s="14"/>
      <c r="Y618" s="14"/>
      <c r="Z618" s="14"/>
      <c r="AA618" s="14"/>
      <c r="AB618" s="165"/>
    </row>
    <row r="619" spans="21:28" x14ac:dyDescent="0.35">
      <c r="U619" s="12"/>
      <c r="V619" s="14" t="s">
        <v>430</v>
      </c>
      <c r="W619" s="205">
        <v>1.2897000000000001</v>
      </c>
      <c r="X619" s="14"/>
      <c r="Y619" s="14"/>
      <c r="Z619" s="14"/>
      <c r="AA619" s="14"/>
      <c r="AB619" s="165"/>
    </row>
    <row r="620" spans="21:28" x14ac:dyDescent="0.35">
      <c r="U620" s="12"/>
      <c r="V620" s="14" t="s">
        <v>431</v>
      </c>
      <c r="W620" s="205">
        <v>1.258</v>
      </c>
      <c r="X620" s="14"/>
      <c r="Y620" s="14"/>
      <c r="Z620" s="14"/>
      <c r="AA620" s="14"/>
      <c r="AB620" s="165"/>
    </row>
    <row r="621" spans="21:28" x14ac:dyDescent="0.35">
      <c r="U621" s="12"/>
      <c r="V621" s="14" t="s">
        <v>432</v>
      </c>
      <c r="W621" s="205">
        <v>1.2633000000000001</v>
      </c>
      <c r="X621" s="14"/>
      <c r="Y621" s="14"/>
      <c r="Z621" s="14"/>
      <c r="AA621" s="14"/>
      <c r="AB621" s="165"/>
    </row>
    <row r="622" spans="21:28" x14ac:dyDescent="0.35">
      <c r="U622" s="12"/>
      <c r="V622" s="14" t="s">
        <v>433</v>
      </c>
      <c r="W622" s="205">
        <v>1.2636000000000001</v>
      </c>
      <c r="X622" s="14"/>
      <c r="Y622" s="14"/>
      <c r="Z622" s="14"/>
      <c r="AA622" s="14"/>
      <c r="AB622" s="165"/>
    </row>
    <row r="623" spans="21:28" x14ac:dyDescent="0.35">
      <c r="U623" s="12"/>
      <c r="V623" s="14" t="s">
        <v>434</v>
      </c>
      <c r="W623" s="205">
        <v>1.2615000000000001</v>
      </c>
      <c r="X623" s="14"/>
      <c r="Y623" s="14"/>
      <c r="Z623" s="14"/>
      <c r="AA623" s="14"/>
      <c r="AB623" s="165"/>
    </row>
    <row r="624" spans="21:28" x14ac:dyDescent="0.35">
      <c r="U624" s="12"/>
      <c r="V624" s="14" t="s">
        <v>435</v>
      </c>
      <c r="W624" s="205">
        <v>1.2614000000000001</v>
      </c>
      <c r="X624" s="14"/>
      <c r="Y624" s="14"/>
      <c r="Z624" s="14"/>
      <c r="AA624" s="14"/>
      <c r="AB624" s="165"/>
    </row>
    <row r="625" spans="21:28" x14ac:dyDescent="0.35">
      <c r="U625" s="12"/>
      <c r="V625" s="14" t="s">
        <v>436</v>
      </c>
      <c r="W625" s="205">
        <v>1.2531000000000001</v>
      </c>
      <c r="X625" s="14"/>
      <c r="Y625" s="14"/>
      <c r="Z625" s="14"/>
      <c r="AA625" s="14"/>
      <c r="AB625" s="165"/>
    </row>
    <row r="626" spans="21:28" x14ac:dyDescent="0.35">
      <c r="U626" s="12"/>
      <c r="V626" s="14" t="s">
        <v>437</v>
      </c>
      <c r="W626" s="205">
        <v>1.2718</v>
      </c>
      <c r="X626" s="14"/>
      <c r="Y626" s="14"/>
      <c r="Z626" s="14"/>
      <c r="AA626" s="14"/>
      <c r="AB626" s="165"/>
    </row>
    <row r="627" spans="21:28" x14ac:dyDescent="0.35">
      <c r="U627" s="12"/>
      <c r="V627" s="14" t="s">
        <v>438</v>
      </c>
      <c r="W627" s="205">
        <v>1.2040999999999999</v>
      </c>
      <c r="X627" s="14"/>
      <c r="Y627" s="14"/>
      <c r="Z627" s="14"/>
      <c r="AA627" s="14"/>
      <c r="AB627" s="165"/>
    </row>
    <row r="628" spans="21:28" x14ac:dyDescent="0.35">
      <c r="U628" s="12"/>
      <c r="V628" s="14" t="s">
        <v>439</v>
      </c>
      <c r="W628" s="205">
        <v>1.1043000000000001</v>
      </c>
      <c r="X628" s="14"/>
      <c r="Y628" s="14"/>
      <c r="Z628" s="14"/>
      <c r="AA628" s="14"/>
      <c r="AB628" s="165"/>
    </row>
    <row r="629" spans="21:28" x14ac:dyDescent="0.35">
      <c r="U629" s="12"/>
      <c r="V629" s="14" t="s">
        <v>440</v>
      </c>
      <c r="W629" s="205">
        <v>1.0919000000000001</v>
      </c>
      <c r="X629" s="14"/>
      <c r="Y629" s="14"/>
      <c r="Z629" s="14"/>
      <c r="AA629" s="14"/>
      <c r="AB629" s="165"/>
    </row>
    <row r="630" spans="21:28" x14ac:dyDescent="0.35">
      <c r="U630" s="12"/>
      <c r="V630" s="14" t="s">
        <v>441</v>
      </c>
      <c r="W630" s="205">
        <v>1.1264000000000001</v>
      </c>
      <c r="X630" s="14"/>
      <c r="Y630" s="14"/>
      <c r="Z630" s="14"/>
      <c r="AA630" s="14"/>
      <c r="AB630" s="165"/>
    </row>
    <row r="631" spans="21:28" x14ac:dyDescent="0.35">
      <c r="U631" s="12"/>
      <c r="V631" s="14" t="s">
        <v>442</v>
      </c>
      <c r="W631" s="205">
        <v>1.0867</v>
      </c>
      <c r="X631" s="14"/>
      <c r="Y631" s="14"/>
      <c r="Z631" s="14"/>
      <c r="AA631" s="14"/>
      <c r="AB631" s="165"/>
    </row>
    <row r="632" spans="21:28" x14ac:dyDescent="0.35">
      <c r="U632" s="12"/>
      <c r="V632" s="14" t="s">
        <v>443</v>
      </c>
      <c r="W632" s="205">
        <v>1.1156999999999999</v>
      </c>
      <c r="X632" s="14"/>
      <c r="Y632" s="14"/>
      <c r="Z632" s="14"/>
      <c r="AA632" s="14"/>
      <c r="AB632" s="165"/>
    </row>
    <row r="633" spans="21:28" x14ac:dyDescent="0.35">
      <c r="U633" s="12"/>
      <c r="V633" s="14" t="s">
        <v>444</v>
      </c>
      <c r="W633" s="205">
        <v>1.1294999999999999</v>
      </c>
      <c r="X633" s="14"/>
      <c r="Y633" s="14"/>
      <c r="Z633" s="14"/>
      <c r="AA633" s="14"/>
      <c r="AB633" s="165"/>
    </row>
    <row r="634" spans="21:28" x14ac:dyDescent="0.35">
      <c r="U634" s="12"/>
      <c r="V634" s="14" t="s">
        <v>445</v>
      </c>
      <c r="W634" s="205">
        <v>1.1681999999999999</v>
      </c>
      <c r="X634" s="14"/>
      <c r="Y634" s="14"/>
      <c r="Z634" s="14"/>
      <c r="AA634" s="14"/>
      <c r="AB634" s="165"/>
    </row>
    <row r="635" spans="21:28" x14ac:dyDescent="0.35">
      <c r="U635" s="12"/>
      <c r="V635" s="14" t="s">
        <v>446</v>
      </c>
      <c r="W635" s="205">
        <v>1.1621999999999999</v>
      </c>
      <c r="X635" s="14"/>
      <c r="Y635" s="14"/>
      <c r="Z635" s="14"/>
      <c r="AA635" s="14"/>
      <c r="AB635" s="165"/>
    </row>
    <row r="636" spans="21:28" x14ac:dyDescent="0.35">
      <c r="U636" s="12"/>
      <c r="V636" s="14" t="s">
        <v>447</v>
      </c>
      <c r="W636" s="205">
        <v>1.1597</v>
      </c>
      <c r="X636" s="14"/>
      <c r="Y636" s="14"/>
      <c r="Z636" s="14"/>
      <c r="AA636" s="14"/>
      <c r="AB636" s="165"/>
    </row>
    <row r="637" spans="21:28" x14ac:dyDescent="0.35">
      <c r="U637" s="12"/>
      <c r="V637" s="14" t="s">
        <v>448</v>
      </c>
      <c r="W637" s="205">
        <v>1.1212</v>
      </c>
      <c r="X637" s="14"/>
      <c r="Y637" s="14"/>
      <c r="Z637" s="14"/>
      <c r="AA637" s="14"/>
      <c r="AB637" s="165"/>
    </row>
    <row r="638" spans="21:28" x14ac:dyDescent="0.35">
      <c r="U638" s="12"/>
      <c r="V638" s="14" t="s">
        <v>449</v>
      </c>
      <c r="W638" s="205">
        <v>1.0928</v>
      </c>
      <c r="X638" s="14"/>
      <c r="Y638" s="14"/>
      <c r="Z638" s="14"/>
      <c r="AA638" s="14"/>
      <c r="AB638" s="165"/>
    </row>
    <row r="639" spans="21:28" x14ac:dyDescent="0.35">
      <c r="U639" s="12"/>
      <c r="V639" s="14" t="s">
        <v>450</v>
      </c>
      <c r="W639" s="205">
        <v>1.1126</v>
      </c>
      <c r="X639" s="14"/>
      <c r="Y639" s="14"/>
      <c r="Z639" s="14"/>
      <c r="AA639" s="14"/>
      <c r="AB639" s="165"/>
    </row>
    <row r="640" spans="21:28" x14ac:dyDescent="0.35">
      <c r="U640" s="12"/>
      <c r="V640" s="14" t="s">
        <v>451</v>
      </c>
      <c r="W640" s="205">
        <v>1.1127</v>
      </c>
      <c r="X640" s="14"/>
      <c r="Y640" s="14"/>
      <c r="Z640" s="14"/>
      <c r="AA640" s="14"/>
      <c r="AB640" s="165"/>
    </row>
    <row r="641" spans="21:28" x14ac:dyDescent="0.35">
      <c r="U641" s="12"/>
      <c r="V641" s="14" t="s">
        <v>452</v>
      </c>
      <c r="W641" s="205">
        <v>1.1327</v>
      </c>
      <c r="X641" s="14"/>
      <c r="Y641" s="14"/>
      <c r="Z641" s="14"/>
      <c r="AA641" s="14"/>
      <c r="AB641" s="165"/>
    </row>
    <row r="642" spans="21:28" x14ac:dyDescent="0.35">
      <c r="U642" s="12"/>
      <c r="V642" s="14" t="s">
        <v>453</v>
      </c>
      <c r="W642" s="205">
        <v>1.1415</v>
      </c>
      <c r="X642" s="14"/>
      <c r="Y642" s="14"/>
      <c r="Z642" s="14"/>
      <c r="AA642" s="14"/>
      <c r="AB642" s="165"/>
    </row>
    <row r="643" spans="21:28" x14ac:dyDescent="0.35">
      <c r="U643" s="12"/>
      <c r="V643" s="14" t="s">
        <v>454</v>
      </c>
      <c r="W643" s="205">
        <v>1.1092</v>
      </c>
      <c r="X643" s="14"/>
      <c r="Y643" s="14"/>
      <c r="Z643" s="14"/>
      <c r="AA643" s="14"/>
      <c r="AB643" s="165"/>
    </row>
    <row r="644" spans="21:28" x14ac:dyDescent="0.35">
      <c r="U644" s="12"/>
      <c r="V644" s="14" t="s">
        <v>455</v>
      </c>
      <c r="W644" s="205">
        <v>1.1435999999999999</v>
      </c>
      <c r="X644" s="14"/>
      <c r="Y644" s="14"/>
      <c r="Z644" s="14"/>
      <c r="AA644" s="14"/>
      <c r="AB644" s="165"/>
    </row>
    <row r="645" spans="21:28" x14ac:dyDescent="0.35">
      <c r="U645" s="12"/>
      <c r="V645" s="14" t="s">
        <v>456</v>
      </c>
      <c r="W645" s="205">
        <v>1.1685000000000001</v>
      </c>
      <c r="X645" s="14"/>
      <c r="Y645" s="14"/>
      <c r="Z645" s="14"/>
      <c r="AA645" s="14"/>
      <c r="AB645" s="165"/>
    </row>
    <row r="646" spans="21:28" x14ac:dyDescent="0.35">
      <c r="U646" s="12"/>
      <c r="V646" s="14" t="s">
        <v>457</v>
      </c>
      <c r="W646" s="205">
        <v>1.2081999999999999</v>
      </c>
      <c r="X646" s="14"/>
      <c r="Y646" s="14"/>
      <c r="Z646" s="14"/>
      <c r="AA646" s="14"/>
      <c r="AB646" s="165"/>
    </row>
    <row r="647" spans="21:28" x14ac:dyDescent="0.35">
      <c r="U647" s="12"/>
      <c r="V647" s="14" t="s">
        <v>458</v>
      </c>
      <c r="W647" s="205">
        <v>1.1959</v>
      </c>
      <c r="X647" s="14"/>
      <c r="Y647" s="14"/>
      <c r="Z647" s="14"/>
      <c r="AA647" s="14"/>
      <c r="AB647" s="165"/>
    </row>
    <row r="648" spans="21:28" x14ac:dyDescent="0.35">
      <c r="U648" s="12"/>
      <c r="V648" s="14" t="s">
        <v>459</v>
      </c>
      <c r="W648" s="205">
        <v>1.2132000000000001</v>
      </c>
      <c r="X648" s="14"/>
      <c r="Y648" s="14"/>
      <c r="Z648" s="14"/>
      <c r="AA648" s="14"/>
      <c r="AB648" s="165"/>
    </row>
    <row r="649" spans="21:28" x14ac:dyDescent="0.35">
      <c r="U649" s="12"/>
      <c r="V649" s="14" t="s">
        <v>460</v>
      </c>
      <c r="W649" s="205">
        <v>1.1900999999999999</v>
      </c>
      <c r="X649" s="14"/>
      <c r="Y649" s="14"/>
      <c r="Z649" s="14"/>
      <c r="AA649" s="14"/>
      <c r="AB649" s="165"/>
    </row>
    <row r="650" spans="21:28" x14ac:dyDescent="0.35">
      <c r="U650" s="12"/>
      <c r="V650" s="14" t="s">
        <v>461</v>
      </c>
      <c r="W650" s="205">
        <v>1.1412</v>
      </c>
      <c r="X650" s="14"/>
      <c r="Y650" s="14"/>
      <c r="Z650" s="14"/>
      <c r="AA650" s="14"/>
      <c r="AB650" s="165"/>
    </row>
    <row r="651" spans="21:28" x14ac:dyDescent="0.35">
      <c r="U651" s="12"/>
      <c r="V651" s="14" t="s">
        <v>462</v>
      </c>
      <c r="W651" s="205">
        <v>1.1700999999999999</v>
      </c>
      <c r="X651" s="14"/>
      <c r="Y651" s="14"/>
      <c r="Z651" s="14"/>
      <c r="AA651" s="14"/>
      <c r="AB651" s="165"/>
    </row>
    <row r="652" spans="21:28" x14ac:dyDescent="0.35">
      <c r="U652" s="12"/>
      <c r="V652" s="14" t="s">
        <v>463</v>
      </c>
      <c r="W652" s="205">
        <v>1.1801999999999999</v>
      </c>
      <c r="X652" s="14"/>
      <c r="Y652" s="14"/>
      <c r="Z652" s="14"/>
      <c r="AA652" s="14"/>
      <c r="AB652" s="165"/>
    </row>
    <row r="653" spans="21:28" x14ac:dyDescent="0.35">
      <c r="U653" s="12"/>
      <c r="V653" s="14" t="s">
        <v>464</v>
      </c>
      <c r="W653" s="205">
        <v>1.1817</v>
      </c>
      <c r="X653" s="14"/>
      <c r="Y653" s="14"/>
      <c r="Z653" s="14"/>
      <c r="AA653" s="14"/>
      <c r="AB653" s="165"/>
    </row>
    <row r="654" spans="21:28" x14ac:dyDescent="0.35">
      <c r="U654" s="12"/>
      <c r="V654" s="14" t="s">
        <v>465</v>
      </c>
      <c r="W654" s="205">
        <v>1.1815</v>
      </c>
      <c r="X654" s="14"/>
      <c r="Y654" s="14"/>
      <c r="Z654" s="14"/>
      <c r="AA654" s="14"/>
      <c r="AB654" s="165"/>
    </row>
    <row r="655" spans="21:28" x14ac:dyDescent="0.35">
      <c r="U655" s="12"/>
      <c r="V655" s="14" t="s">
        <v>466</v>
      </c>
      <c r="W655" s="205">
        <v>1.1527000000000001</v>
      </c>
      <c r="X655" s="14"/>
      <c r="Y655" s="14"/>
      <c r="Z655" s="14"/>
      <c r="AA655" s="14"/>
      <c r="AB655" s="165"/>
    </row>
    <row r="656" spans="21:28" x14ac:dyDescent="0.35">
      <c r="U656" s="12"/>
      <c r="V656" s="14" t="s">
        <v>467</v>
      </c>
      <c r="W656" s="205">
        <v>1.1331</v>
      </c>
      <c r="X656" s="14"/>
      <c r="Y656" s="14"/>
      <c r="Z656" s="14"/>
      <c r="AA656" s="14"/>
      <c r="AB656" s="165"/>
    </row>
    <row r="657" spans="21:28" x14ac:dyDescent="0.35">
      <c r="U657" s="12"/>
      <c r="V657" s="14" t="s">
        <v>468</v>
      </c>
      <c r="W657" s="205">
        <v>1.1403000000000001</v>
      </c>
      <c r="X657" s="14"/>
      <c r="Y657" s="14"/>
      <c r="Z657" s="14"/>
      <c r="AA657" s="14"/>
      <c r="AB657" s="165"/>
    </row>
    <row r="658" spans="21:28" x14ac:dyDescent="0.35">
      <c r="U658" s="12"/>
      <c r="V658" s="14" t="s">
        <v>469</v>
      </c>
      <c r="W658" s="205">
        <v>1.1261000000000001</v>
      </c>
      <c r="X658" s="14"/>
      <c r="Y658" s="14"/>
      <c r="Z658" s="14"/>
      <c r="AA658" s="14"/>
      <c r="AB658" s="165"/>
    </row>
    <row r="659" spans="21:28" x14ac:dyDescent="0.35">
      <c r="U659" s="12"/>
      <c r="V659" s="14" t="s">
        <v>470</v>
      </c>
      <c r="W659" s="205">
        <v>1.1308</v>
      </c>
      <c r="X659" s="14"/>
      <c r="Y659" s="14"/>
      <c r="Z659" s="14"/>
      <c r="AA659" s="14"/>
      <c r="AB659" s="165"/>
    </row>
    <row r="660" spans="21:28" x14ac:dyDescent="0.35">
      <c r="U660" s="12"/>
      <c r="V660" s="14" t="s">
        <v>471</v>
      </c>
      <c r="W660" s="205">
        <v>1.1422000000000001</v>
      </c>
      <c r="X660" s="14"/>
      <c r="Y660" s="14"/>
      <c r="Z660" s="14"/>
      <c r="AA660" s="14"/>
      <c r="AB660" s="165"/>
    </row>
    <row r="661" spans="21:28" x14ac:dyDescent="0.35">
      <c r="U661" s="12"/>
      <c r="V661" s="14" t="s">
        <v>472</v>
      </c>
      <c r="W661" s="205">
        <v>1.147</v>
      </c>
      <c r="X661" s="14"/>
      <c r="Y661" s="14"/>
      <c r="Z661" s="14"/>
      <c r="AA661" s="14"/>
      <c r="AB661" s="165"/>
    </row>
    <row r="662" spans="21:28" x14ac:dyDescent="0.35">
      <c r="U662" s="12"/>
      <c r="V662" s="14" t="s">
        <v>473</v>
      </c>
      <c r="W662" s="205">
        <v>1.1487000000000001</v>
      </c>
      <c r="X662" s="14"/>
      <c r="Y662" s="14"/>
      <c r="Z662" s="14"/>
      <c r="AA662" s="14"/>
      <c r="AB662" s="165"/>
    </row>
    <row r="663" spans="21:28" x14ac:dyDescent="0.35">
      <c r="U663" s="12"/>
      <c r="V663" s="14" t="s">
        <v>474</v>
      </c>
      <c r="W663" s="205">
        <v>1.1658999999999999</v>
      </c>
      <c r="X663" s="14"/>
      <c r="Y663" s="14"/>
      <c r="Z663" s="14"/>
      <c r="AA663" s="14"/>
      <c r="AB663" s="165"/>
    </row>
    <row r="664" spans="21:28" x14ac:dyDescent="0.35">
      <c r="U664" s="12"/>
      <c r="V664" s="14" t="s">
        <v>475</v>
      </c>
      <c r="W664" s="205">
        <v>1.1842999999999999</v>
      </c>
      <c r="X664" s="14"/>
      <c r="Y664" s="14"/>
      <c r="Z664" s="14"/>
      <c r="AA664" s="14"/>
      <c r="AB664" s="165"/>
    </row>
    <row r="665" spans="21:28" x14ac:dyDescent="0.35">
      <c r="U665" s="12"/>
      <c r="V665" s="14" t="s">
        <v>476</v>
      </c>
      <c r="W665" s="205">
        <v>1.2034</v>
      </c>
      <c r="X665" s="14"/>
      <c r="Y665" s="14"/>
      <c r="Z665" s="14"/>
      <c r="AA665" s="14"/>
      <c r="AB665" s="165"/>
    </row>
    <row r="666" spans="21:28" x14ac:dyDescent="0.35">
      <c r="U666" s="12"/>
      <c r="V666" s="14" t="s">
        <v>477</v>
      </c>
      <c r="W666" s="205">
        <v>1.1940999999999999</v>
      </c>
      <c r="X666" s="14"/>
      <c r="Y666" s="14"/>
      <c r="Z666" s="14"/>
      <c r="AA666" s="14"/>
      <c r="AB666" s="165"/>
    </row>
    <row r="667" spans="21:28" x14ac:dyDescent="0.35">
      <c r="U667" s="12"/>
      <c r="V667" s="14" t="s">
        <v>478</v>
      </c>
      <c r="W667" s="205">
        <v>1.1980999999999999</v>
      </c>
      <c r="X667" s="14"/>
      <c r="Y667" s="14"/>
      <c r="Z667" s="14"/>
      <c r="AA667" s="14"/>
      <c r="AB667" s="165"/>
    </row>
    <row r="668" spans="21:28" x14ac:dyDescent="0.35">
      <c r="U668" s="12"/>
      <c r="V668" s="14" t="s">
        <v>479</v>
      </c>
      <c r="W668" s="205">
        <v>1.2161</v>
      </c>
      <c r="X668" s="14"/>
      <c r="Y668" s="14"/>
      <c r="Z668" s="14"/>
      <c r="AA668" s="14"/>
      <c r="AB668" s="165"/>
    </row>
    <row r="669" spans="21:28" x14ac:dyDescent="0.35">
      <c r="U669" s="12"/>
      <c r="V669" s="14" t="s">
        <v>480</v>
      </c>
      <c r="W669" s="205">
        <v>1.244</v>
      </c>
      <c r="X669" s="14"/>
      <c r="Y669" s="14"/>
      <c r="Z669" s="14"/>
      <c r="AA669" s="14"/>
      <c r="AB669" s="165"/>
    </row>
    <row r="670" spans="21:28" x14ac:dyDescent="0.35">
      <c r="U670" s="12"/>
      <c r="V670" s="14" t="s">
        <v>481</v>
      </c>
      <c r="W670" s="205">
        <v>1.2416</v>
      </c>
      <c r="X670" s="14"/>
      <c r="Y670" s="14"/>
      <c r="Z670" s="14"/>
      <c r="AA670" s="14"/>
      <c r="AB670" s="165"/>
    </row>
    <row r="671" spans="21:28" x14ac:dyDescent="0.35">
      <c r="U671" s="12"/>
      <c r="V671" s="14" t="s">
        <v>482</v>
      </c>
      <c r="W671" s="205">
        <v>1.2687999999999999</v>
      </c>
      <c r="X671" s="14"/>
      <c r="Y671" s="14"/>
      <c r="Z671" s="14"/>
      <c r="AA671" s="14"/>
      <c r="AB671" s="165"/>
    </row>
    <row r="672" spans="21:28" x14ac:dyDescent="0.35">
      <c r="U672" s="12"/>
      <c r="V672" s="14" t="s">
        <v>483</v>
      </c>
      <c r="W672" s="205">
        <v>1.2676000000000001</v>
      </c>
      <c r="X672" s="14"/>
      <c r="Y672" s="14"/>
      <c r="Z672" s="14"/>
      <c r="AA672" s="14"/>
      <c r="AB672" s="165"/>
    </row>
    <row r="673" spans="21:28" x14ac:dyDescent="0.35">
      <c r="U673" s="12"/>
      <c r="V673" s="14" t="s">
        <v>484</v>
      </c>
      <c r="W673" s="205">
        <v>1.2524</v>
      </c>
      <c r="X673" s="14"/>
      <c r="Y673" s="14"/>
      <c r="Z673" s="14"/>
      <c r="AA673" s="14"/>
      <c r="AB673" s="165"/>
    </row>
    <row r="674" spans="21:28" x14ac:dyDescent="0.35">
      <c r="U674" s="12"/>
      <c r="V674" s="14" t="s">
        <v>485</v>
      </c>
      <c r="W674" s="205">
        <v>1.2393000000000001</v>
      </c>
      <c r="X674" s="14"/>
      <c r="Y674" s="14"/>
      <c r="Z674" s="14"/>
      <c r="AA674" s="14"/>
      <c r="AB674" s="165"/>
    </row>
    <row r="675" spans="21:28" x14ac:dyDescent="0.35">
      <c r="U675" s="12"/>
      <c r="V675" s="14" t="s">
        <v>486</v>
      </c>
      <c r="W675" s="205">
        <v>1.244</v>
      </c>
      <c r="X675" s="14"/>
      <c r="Y675" s="14"/>
      <c r="Z675" s="14"/>
      <c r="AA675" s="14"/>
      <c r="AB675" s="165"/>
    </row>
    <row r="676" spans="21:28" x14ac:dyDescent="0.35">
      <c r="U676" s="12"/>
      <c r="V676" s="14" t="s">
        <v>487</v>
      </c>
      <c r="W676" s="205">
        <v>1.2310000000000001</v>
      </c>
      <c r="X676" s="14"/>
      <c r="Y676" s="14"/>
      <c r="Z676" s="14"/>
      <c r="AA676" s="14"/>
      <c r="AB676" s="165"/>
    </row>
    <row r="677" spans="21:28" x14ac:dyDescent="0.35">
      <c r="U677" s="12"/>
      <c r="V677" s="14" t="s">
        <v>488</v>
      </c>
      <c r="W677" s="205">
        <v>1.2</v>
      </c>
      <c r="X677" s="14"/>
      <c r="Y677" s="14"/>
      <c r="Z677" s="14"/>
      <c r="AA677" s="14"/>
      <c r="AB677" s="165"/>
    </row>
    <row r="678" spans="21:28" x14ac:dyDescent="0.35">
      <c r="U678" s="12"/>
      <c r="V678" s="14" t="s">
        <v>489</v>
      </c>
      <c r="W678" s="205">
        <v>1.1594</v>
      </c>
      <c r="X678" s="14"/>
      <c r="Y678" s="14"/>
      <c r="Z678" s="14"/>
      <c r="AA678" s="14"/>
      <c r="AB678" s="165"/>
    </row>
    <row r="679" spans="21:28" x14ac:dyDescent="0.35">
      <c r="U679" s="12"/>
      <c r="V679" s="14" t="s">
        <v>490</v>
      </c>
      <c r="W679" s="205">
        <v>1.1634</v>
      </c>
      <c r="X679" s="14"/>
      <c r="Y679" s="14"/>
      <c r="Z679" s="14"/>
      <c r="AA679" s="14"/>
      <c r="AB679" s="165"/>
    </row>
    <row r="680" spans="21:28" x14ac:dyDescent="0.35">
      <c r="U680" s="12"/>
      <c r="V680" s="14" t="s">
        <v>491</v>
      </c>
      <c r="W680" s="205">
        <v>1.175</v>
      </c>
      <c r="X680" s="14"/>
      <c r="Y680" s="14"/>
      <c r="Z680" s="14"/>
      <c r="AA680" s="14"/>
      <c r="AB680" s="165"/>
    </row>
    <row r="681" spans="21:28" x14ac:dyDescent="0.35">
      <c r="U681" s="12"/>
      <c r="V681" s="14" t="s">
        <v>492</v>
      </c>
      <c r="W681" s="205">
        <v>1.1777</v>
      </c>
      <c r="X681" s="14"/>
      <c r="Y681" s="14"/>
      <c r="Z681" s="14"/>
      <c r="AA681" s="14"/>
      <c r="AB681" s="165"/>
    </row>
    <row r="682" spans="21:28" x14ac:dyDescent="0.35">
      <c r="U682" s="12"/>
      <c r="V682" s="14" t="s">
        <v>493</v>
      </c>
      <c r="W682" s="205">
        <v>1.1739999999999999</v>
      </c>
      <c r="X682" s="14"/>
      <c r="Y682" s="14"/>
      <c r="Z682" s="14"/>
      <c r="AA682" s="14"/>
      <c r="AB682" s="165"/>
    </row>
    <row r="683" spans="21:28" x14ac:dyDescent="0.35">
      <c r="U683" s="12"/>
      <c r="V683" s="14" t="s">
        <v>494</v>
      </c>
      <c r="W683" s="205">
        <v>1.1599999999999999</v>
      </c>
      <c r="X683" s="14"/>
      <c r="Y683" s="14"/>
      <c r="Z683" s="14"/>
      <c r="AA683" s="14"/>
      <c r="AB683" s="165"/>
    </row>
    <row r="684" spans="21:28" x14ac:dyDescent="0.35">
      <c r="U684" s="12"/>
      <c r="V684" s="14" t="s">
        <v>495</v>
      </c>
      <c r="W684" s="205">
        <v>1.1649</v>
      </c>
      <c r="X684" s="14"/>
      <c r="Y684" s="14"/>
      <c r="Z684" s="14"/>
      <c r="AA684" s="14"/>
      <c r="AB684" s="165"/>
    </row>
    <row r="685" spans="21:28" x14ac:dyDescent="0.35">
      <c r="U685" s="12"/>
      <c r="V685" s="14" t="s">
        <v>496</v>
      </c>
      <c r="W685" s="205">
        <v>1.1882999999999999</v>
      </c>
      <c r="X685" s="14"/>
      <c r="Y685" s="14"/>
      <c r="Z685" s="14"/>
      <c r="AA685" s="14"/>
      <c r="AB685" s="165"/>
    </row>
    <row r="686" spans="21:28" x14ac:dyDescent="0.35">
      <c r="U686" s="12"/>
      <c r="V686" s="14" t="s">
        <v>497</v>
      </c>
      <c r="W686" s="205">
        <v>1.1797</v>
      </c>
      <c r="X686" s="14"/>
      <c r="Y686" s="14"/>
      <c r="Z686" s="14"/>
      <c r="AA686" s="14"/>
      <c r="AB686" s="165"/>
    </row>
    <row r="687" spans="21:28" x14ac:dyDescent="0.35">
      <c r="U687" s="12"/>
      <c r="V687" s="14" t="s">
        <v>498</v>
      </c>
      <c r="W687" s="205">
        <v>1.1938</v>
      </c>
      <c r="X687" s="14"/>
      <c r="Y687" s="14"/>
      <c r="Z687" s="14"/>
      <c r="AA687" s="14"/>
      <c r="AB687" s="165"/>
    </row>
    <row r="688" spans="21:28" x14ac:dyDescent="0.35">
      <c r="U688" s="12"/>
      <c r="V688" s="14" t="s">
        <v>499</v>
      </c>
      <c r="W688" s="205">
        <v>1.1947000000000001</v>
      </c>
      <c r="X688" s="14"/>
      <c r="Y688" s="14"/>
      <c r="Z688" s="14"/>
      <c r="AA688" s="14"/>
      <c r="AB688" s="165"/>
    </row>
    <row r="689" spans="21:28" x14ac:dyDescent="0.35">
      <c r="U689" s="12"/>
      <c r="V689" s="14" t="s">
        <v>500</v>
      </c>
      <c r="W689" s="205">
        <v>1.2097</v>
      </c>
      <c r="X689" s="14"/>
      <c r="Y689" s="14"/>
      <c r="Z689" s="14"/>
      <c r="AA689" s="14"/>
      <c r="AB689" s="165"/>
    </row>
    <row r="690" spans="21:28" x14ac:dyDescent="0.35">
      <c r="U690" s="12"/>
      <c r="V690" s="14" t="s">
        <v>501</v>
      </c>
      <c r="W690" s="205">
        <v>1.2121999999999999</v>
      </c>
      <c r="X690" s="14"/>
      <c r="Y690" s="14"/>
      <c r="Z690" s="14"/>
      <c r="AA690" s="14"/>
      <c r="AB690" s="165"/>
    </row>
    <row r="691" spans="21:28" x14ac:dyDescent="0.35">
      <c r="U691" s="12"/>
      <c r="V691" s="14" t="s">
        <v>502</v>
      </c>
      <c r="W691" s="205">
        <v>1.2020999999999999</v>
      </c>
      <c r="X691" s="14"/>
      <c r="Y691" s="14"/>
      <c r="Z691" s="14"/>
      <c r="AA691" s="14"/>
      <c r="AB691" s="165"/>
    </row>
    <row r="692" spans="21:28" x14ac:dyDescent="0.35">
      <c r="U692" s="12"/>
      <c r="V692" s="14" t="s">
        <v>503</v>
      </c>
      <c r="W692" s="205">
        <v>1.2124999999999999</v>
      </c>
      <c r="X692" s="14"/>
      <c r="Y692" s="14"/>
      <c r="Z692" s="14"/>
      <c r="AA692" s="14"/>
      <c r="AB692" s="165"/>
    </row>
    <row r="693" spans="21:28" x14ac:dyDescent="0.35">
      <c r="U693" s="12"/>
      <c r="V693" s="14" t="s">
        <v>504</v>
      </c>
      <c r="W693" s="205">
        <v>1.2266999999999999</v>
      </c>
      <c r="X693" s="14"/>
      <c r="Y693" s="14"/>
      <c r="Z693" s="14"/>
      <c r="AA693" s="14"/>
      <c r="AB693" s="165"/>
    </row>
    <row r="694" spans="21:28" x14ac:dyDescent="0.35">
      <c r="U694" s="12"/>
      <c r="V694" s="14" t="s">
        <v>505</v>
      </c>
      <c r="W694" s="205">
        <v>1.2436</v>
      </c>
      <c r="X694" s="14"/>
      <c r="Y694" s="14"/>
      <c r="Z694" s="14"/>
      <c r="AA694" s="14"/>
      <c r="AB694" s="165"/>
    </row>
    <row r="695" spans="21:28" x14ac:dyDescent="0.35">
      <c r="U695" s="12"/>
      <c r="V695" s="14" t="s">
        <v>506</v>
      </c>
      <c r="W695" s="205">
        <v>1.2611000000000001</v>
      </c>
      <c r="X695" s="14"/>
      <c r="Y695" s="14"/>
      <c r="Z695" s="14"/>
      <c r="AA695" s="14"/>
      <c r="AB695" s="165"/>
    </row>
    <row r="696" spans="21:28" x14ac:dyDescent="0.35">
      <c r="U696" s="12"/>
      <c r="V696" s="14" t="s">
        <v>507</v>
      </c>
      <c r="W696" s="205">
        <v>1.2542</v>
      </c>
      <c r="X696" s="14"/>
      <c r="Y696" s="14"/>
      <c r="Z696" s="14"/>
      <c r="AA696" s="14"/>
      <c r="AB696" s="165"/>
    </row>
    <row r="697" spans="21:28" x14ac:dyDescent="0.35">
      <c r="U697" s="12"/>
      <c r="V697" s="14" t="s">
        <v>508</v>
      </c>
      <c r="W697" s="205">
        <v>1.2639</v>
      </c>
      <c r="X697" s="14"/>
      <c r="Y697" s="14"/>
      <c r="Z697" s="14"/>
      <c r="AA697" s="14"/>
      <c r="AB697" s="165"/>
    </row>
    <row r="698" spans="21:28" x14ac:dyDescent="0.35">
      <c r="U698" s="12"/>
      <c r="V698" s="14" t="s">
        <v>509</v>
      </c>
      <c r="W698" s="205">
        <v>1.2678</v>
      </c>
      <c r="X698" s="14"/>
      <c r="Y698" s="14"/>
      <c r="Z698" s="14"/>
      <c r="AA698" s="14"/>
      <c r="AB698" s="165"/>
    </row>
    <row r="699" spans="21:28" x14ac:dyDescent="0.35">
      <c r="U699" s="12"/>
      <c r="V699" s="14" t="s">
        <v>510</v>
      </c>
      <c r="W699" s="205">
        <v>1.2645999999999999</v>
      </c>
      <c r="X699" s="14"/>
      <c r="Y699" s="14"/>
      <c r="Z699" s="14"/>
      <c r="AA699" s="14"/>
      <c r="AB699" s="165"/>
    </row>
    <row r="700" spans="21:28" x14ac:dyDescent="0.35">
      <c r="U700" s="12"/>
      <c r="V700" s="14" t="s">
        <v>511</v>
      </c>
      <c r="W700" s="205">
        <v>1.2685999999999999</v>
      </c>
      <c r="X700" s="14"/>
      <c r="Y700" s="14"/>
      <c r="Z700" s="14"/>
      <c r="AA700" s="14"/>
      <c r="AB700" s="165"/>
    </row>
    <row r="701" spans="21:28" x14ac:dyDescent="0.35">
      <c r="U701" s="12"/>
      <c r="V701" s="14" t="s">
        <v>512</v>
      </c>
      <c r="W701" s="205">
        <v>1.3045</v>
      </c>
      <c r="X701" s="14"/>
      <c r="Y701" s="14"/>
      <c r="Z701" s="14"/>
      <c r="AA701" s="14"/>
      <c r="AB701" s="165"/>
    </row>
    <row r="702" spans="21:28" x14ac:dyDescent="0.35">
      <c r="U702" s="12"/>
      <c r="V702" s="14" t="s">
        <v>513</v>
      </c>
      <c r="W702" s="205">
        <v>1.3503000000000001</v>
      </c>
      <c r="X702" s="14"/>
      <c r="Y702" s="14"/>
      <c r="Z702" s="14"/>
      <c r="AA702" s="14"/>
      <c r="AB702" s="165"/>
    </row>
    <row r="703" spans="21:28" x14ac:dyDescent="0.35">
      <c r="U703" s="12"/>
      <c r="V703" s="14" t="s">
        <v>514</v>
      </c>
      <c r="W703" s="205">
        <v>1.3825000000000001</v>
      </c>
      <c r="X703" s="14"/>
      <c r="Y703" s="14"/>
      <c r="Z703" s="14"/>
      <c r="AA703" s="14"/>
      <c r="AB703" s="165"/>
    </row>
    <row r="704" spans="21:28" x14ac:dyDescent="0.35">
      <c r="U704" s="12"/>
      <c r="V704" s="14" t="s">
        <v>515</v>
      </c>
      <c r="W704" s="205">
        <v>1.3855999999999999</v>
      </c>
      <c r="X704" s="14"/>
      <c r="Y704" s="14"/>
      <c r="Z704" s="14"/>
      <c r="AA704" s="14"/>
      <c r="AB704" s="165"/>
    </row>
    <row r="705" spans="21:28" x14ac:dyDescent="0.35">
      <c r="U705" s="12"/>
      <c r="V705" s="14" t="s">
        <v>516</v>
      </c>
      <c r="W705" s="205">
        <v>1.3852</v>
      </c>
      <c r="X705" s="14"/>
      <c r="Y705" s="14"/>
      <c r="Z705" s="14"/>
      <c r="AA705" s="14"/>
      <c r="AB705" s="165"/>
    </row>
    <row r="706" spans="21:28" x14ac:dyDescent="0.35">
      <c r="U706" s="12"/>
      <c r="V706" s="14" t="s">
        <v>517</v>
      </c>
      <c r="W706" s="205">
        <v>1.3878999999999999</v>
      </c>
      <c r="X706" s="14"/>
      <c r="Y706" s="14"/>
      <c r="Z706" s="14"/>
      <c r="AA706" s="14"/>
      <c r="AB706" s="165"/>
    </row>
    <row r="707" spans="21:28" x14ac:dyDescent="0.35">
      <c r="U707" s="12"/>
      <c r="V707" s="14" t="s">
        <v>518</v>
      </c>
      <c r="W707" s="205">
        <v>1.4138999999999999</v>
      </c>
      <c r="X707" s="14"/>
      <c r="Y707" s="14"/>
      <c r="Z707" s="14"/>
      <c r="AA707" s="14"/>
      <c r="AB707" s="165"/>
    </row>
    <row r="708" spans="21:28" x14ac:dyDescent="0.35">
      <c r="U708" s="12"/>
      <c r="V708" s="14" t="s">
        <v>519</v>
      </c>
      <c r="W708" s="205">
        <v>1.4004000000000001</v>
      </c>
      <c r="X708" s="14"/>
      <c r="Y708" s="14"/>
      <c r="Z708" s="14"/>
      <c r="AA708" s="14"/>
      <c r="AB708" s="165"/>
    </row>
    <row r="709" spans="21:28" x14ac:dyDescent="0.35">
      <c r="U709" s="12"/>
      <c r="V709" s="14" t="s">
        <v>520</v>
      </c>
      <c r="W709" s="205">
        <v>1.3665</v>
      </c>
      <c r="X709" s="14"/>
      <c r="Y709" s="14"/>
      <c r="Z709" s="14"/>
      <c r="AA709" s="14"/>
      <c r="AB709" s="165"/>
    </row>
    <row r="710" spans="21:28" x14ac:dyDescent="0.35">
      <c r="U710" s="12"/>
      <c r="V710" s="14" t="s">
        <v>521</v>
      </c>
      <c r="W710" s="205">
        <v>1.3656999999999999</v>
      </c>
      <c r="X710" s="14"/>
      <c r="Y710" s="14"/>
      <c r="Z710" s="14"/>
      <c r="AA710" s="14"/>
      <c r="AB710" s="165"/>
    </row>
    <row r="711" spans="21:28" x14ac:dyDescent="0.35">
      <c r="U711" s="12"/>
      <c r="V711" s="14" t="s">
        <v>522</v>
      </c>
      <c r="W711" s="205">
        <v>1.4168000000000001</v>
      </c>
      <c r="X711" s="14"/>
      <c r="Y711" s="14"/>
      <c r="Z711" s="14"/>
      <c r="AA711" s="14"/>
      <c r="AB711" s="165"/>
    </row>
    <row r="712" spans="21:28" x14ac:dyDescent="0.35">
      <c r="U712" s="12"/>
      <c r="V712" s="14" t="s">
        <v>523</v>
      </c>
      <c r="W712" s="205">
        <v>1.3769</v>
      </c>
      <c r="X712" s="14"/>
      <c r="Y712" s="14"/>
      <c r="Z712" s="14"/>
      <c r="AA712" s="14"/>
      <c r="AB712" s="165"/>
    </row>
    <row r="713" spans="21:28" x14ac:dyDescent="0.35">
      <c r="U713" s="12"/>
      <c r="V713" s="14" t="s">
        <v>524</v>
      </c>
      <c r="W713" s="205">
        <v>1.3257000000000001</v>
      </c>
      <c r="X713" s="14"/>
      <c r="Y713" s="14"/>
      <c r="Z713" s="14"/>
      <c r="AA713" s="14"/>
      <c r="AB713" s="165"/>
    </row>
    <row r="714" spans="21:28" x14ac:dyDescent="0.35">
      <c r="U714" s="12"/>
      <c r="V714" s="14" t="s">
        <v>525</v>
      </c>
      <c r="W714" s="205">
        <v>1.2889999999999999</v>
      </c>
      <c r="X714" s="14"/>
      <c r="Y714" s="14"/>
      <c r="Z714" s="14"/>
      <c r="AA714" s="14"/>
      <c r="AB714" s="165"/>
    </row>
    <row r="715" spans="21:28" x14ac:dyDescent="0.35">
      <c r="U715" s="12"/>
      <c r="V715" s="14" t="s">
        <v>526</v>
      </c>
      <c r="W715" s="205">
        <v>1.2808999999999999</v>
      </c>
      <c r="X715" s="14"/>
      <c r="Y715" s="14"/>
      <c r="Z715" s="14"/>
      <c r="AA715" s="14"/>
      <c r="AB715" s="165"/>
    </row>
    <row r="716" spans="21:28" x14ac:dyDescent="0.35">
      <c r="U716" s="12"/>
      <c r="V716" s="14" t="s">
        <v>527</v>
      </c>
      <c r="W716" s="205">
        <v>1.2622</v>
      </c>
      <c r="X716" s="14"/>
      <c r="Y716" s="14"/>
      <c r="Z716" s="14"/>
      <c r="AA716" s="14"/>
      <c r="AB716" s="165"/>
    </row>
    <row r="717" spans="21:28" x14ac:dyDescent="0.35">
      <c r="U717" s="12"/>
      <c r="V717" s="14" t="s">
        <v>528</v>
      </c>
      <c r="W717" s="205">
        <v>1.2846</v>
      </c>
      <c r="X717" s="14"/>
      <c r="Y717" s="14"/>
      <c r="Z717" s="14"/>
      <c r="AA717" s="14"/>
      <c r="AB717" s="165"/>
    </row>
    <row r="718" spans="21:28" x14ac:dyDescent="0.35">
      <c r="U718" s="12"/>
      <c r="V718" s="14" t="s">
        <v>529</v>
      </c>
      <c r="W718" s="205">
        <v>1.2645999999999999</v>
      </c>
      <c r="X718" s="14"/>
      <c r="Y718" s="14"/>
      <c r="Z718" s="14"/>
      <c r="AA718" s="14"/>
      <c r="AB718" s="165"/>
    </row>
    <row r="719" spans="21:28" x14ac:dyDescent="0.35">
      <c r="U719" s="12"/>
      <c r="V719" s="14" t="s">
        <v>530</v>
      </c>
      <c r="W719" s="205">
        <v>1.1883999999999999</v>
      </c>
      <c r="X719" s="14"/>
      <c r="Y719" s="14"/>
      <c r="Z719" s="14"/>
      <c r="AA719" s="14"/>
      <c r="AB719" s="165"/>
    </row>
    <row r="720" spans="21:28" x14ac:dyDescent="0.35">
      <c r="U720" s="12"/>
      <c r="V720" s="14" t="s">
        <v>531</v>
      </c>
      <c r="W720" s="205">
        <v>1.1687000000000001</v>
      </c>
      <c r="X720" s="14"/>
      <c r="Y720" s="14"/>
      <c r="Z720" s="14"/>
      <c r="AA720" s="14"/>
      <c r="AB720" s="165"/>
    </row>
    <row r="721" spans="21:28" x14ac:dyDescent="0.35">
      <c r="U721" s="12"/>
      <c r="V721" s="14" t="s">
        <v>532</v>
      </c>
      <c r="W721" s="205">
        <v>1.1721999999999999</v>
      </c>
      <c r="X721" s="14"/>
      <c r="Y721" s="14"/>
      <c r="Z721" s="14"/>
      <c r="AA721" s="14"/>
      <c r="AB721" s="165"/>
    </row>
    <row r="722" spans="21:28" x14ac:dyDescent="0.35">
      <c r="U722" s="12"/>
      <c r="V722" s="14" t="s">
        <v>533</v>
      </c>
      <c r="W722" s="205">
        <v>1.119</v>
      </c>
      <c r="X722" s="14"/>
      <c r="Y722" s="14"/>
      <c r="Z722" s="14"/>
      <c r="AA722" s="14"/>
      <c r="AB722" s="165"/>
    </row>
    <row r="723" spans="21:28" x14ac:dyDescent="0.35">
      <c r="U723" s="12"/>
      <c r="V723" s="14" t="s">
        <v>534</v>
      </c>
      <c r="W723" s="205">
        <v>1.1533</v>
      </c>
      <c r="X723" s="14"/>
      <c r="Y723" s="14"/>
      <c r="Z723" s="14"/>
      <c r="AA723" s="14"/>
      <c r="AB723" s="165"/>
    </row>
    <row r="724" spans="21:28" x14ac:dyDescent="0.35">
      <c r="U724" s="12"/>
      <c r="V724" s="14" t="s">
        <v>535</v>
      </c>
      <c r="W724" s="205">
        <v>1.1838</v>
      </c>
      <c r="X724" s="14"/>
      <c r="Y724" s="14"/>
      <c r="Z724" s="14"/>
      <c r="AA724" s="14"/>
      <c r="AB724" s="165"/>
    </row>
    <row r="725" spans="21:28" x14ac:dyDescent="0.35">
      <c r="U725" s="12"/>
      <c r="V725" s="14" t="s">
        <v>536</v>
      </c>
      <c r="W725" s="205">
        <v>1.1613</v>
      </c>
      <c r="X725" s="14"/>
      <c r="Y725" s="14"/>
      <c r="Z725" s="14"/>
      <c r="AA725" s="14"/>
      <c r="AB725" s="165"/>
    </row>
    <row r="726" spans="21:28" x14ac:dyDescent="0.35">
      <c r="U726" s="12"/>
      <c r="V726" s="14" t="s">
        <v>537</v>
      </c>
      <c r="W726" s="205">
        <v>1.1732</v>
      </c>
      <c r="X726" s="14"/>
      <c r="Y726" s="14"/>
      <c r="Z726" s="14"/>
      <c r="AA726" s="14"/>
      <c r="AB726" s="165"/>
    </row>
    <row r="727" spans="21:28" ht="15" thickBot="1" x14ac:dyDescent="0.4">
      <c r="U727" s="16"/>
      <c r="V727" s="18" t="s">
        <v>538</v>
      </c>
      <c r="W727" s="206">
        <v>1.1548</v>
      </c>
      <c r="X727" s="18"/>
      <c r="Y727" s="18"/>
      <c r="Z727" s="18"/>
      <c r="AA727" s="18"/>
      <c r="AB727" s="162"/>
    </row>
  </sheetData>
  <mergeCells count="1">
    <mergeCell ref="F1:H1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1"/>
  <sheetViews>
    <sheetView workbookViewId="0">
      <selection activeCell="D2" sqref="D2"/>
    </sheetView>
  </sheetViews>
  <sheetFormatPr defaultRowHeight="14.5" x14ac:dyDescent="0.35"/>
  <cols>
    <col min="1" max="16384" width="8.7265625" style="1"/>
  </cols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79998168889431442"/>
  </sheetPr>
  <dimension ref="A1:BK86"/>
  <sheetViews>
    <sheetView zoomScale="60" zoomScaleNormal="60" workbookViewId="0">
      <selection activeCell="A28" sqref="A28"/>
    </sheetView>
  </sheetViews>
  <sheetFormatPr defaultRowHeight="14.5" x14ac:dyDescent="0.35"/>
  <cols>
    <col min="1" max="1" width="8.7265625" style="1"/>
    <col min="2" max="2" width="12" style="1" bestFit="1" customWidth="1"/>
    <col min="3" max="3" width="6.26953125" style="1" customWidth="1"/>
    <col min="4" max="4" width="5.1796875" style="3" bestFit="1" customWidth="1"/>
    <col min="5" max="24" width="8.7265625" style="1" customWidth="1"/>
    <col min="25" max="25" width="6.1796875" style="1" customWidth="1"/>
    <col min="26" max="27" width="8.7265625" style="1"/>
    <col min="28" max="29" width="7.36328125" style="1" bestFit="1" customWidth="1"/>
    <col min="30" max="30" width="7.36328125" style="1" customWidth="1"/>
    <col min="31" max="32" width="7.36328125" style="1" bestFit="1" customWidth="1"/>
    <col min="33" max="33" width="27.6328125" style="1" customWidth="1"/>
    <col min="34" max="34" width="12" style="1" bestFit="1" customWidth="1"/>
    <col min="35" max="35" width="28.81640625" style="1" bestFit="1" customWidth="1"/>
    <col min="36" max="36" width="30.08984375" style="1" bestFit="1" customWidth="1"/>
    <col min="37" max="38" width="12.81640625" style="1" bestFit="1" customWidth="1"/>
    <col min="39" max="39" width="8.7265625" style="1"/>
    <col min="40" max="40" width="11" style="1" bestFit="1" customWidth="1"/>
    <col min="41" max="43" width="8.7265625" style="1"/>
    <col min="44" max="44" width="60.36328125" style="1" bestFit="1" customWidth="1"/>
    <col min="45" max="45" width="18.90625" style="1" bestFit="1" customWidth="1"/>
    <col min="46" max="46" width="9.453125" style="1" bestFit="1" customWidth="1"/>
    <col min="47" max="47" width="37.81640625" style="1" bestFit="1" customWidth="1"/>
    <col min="48" max="53" width="8.7265625" style="1"/>
    <col min="54" max="54" width="50.7265625" style="1" bestFit="1" customWidth="1"/>
    <col min="55" max="55" width="6.6328125" style="1" bestFit="1" customWidth="1"/>
    <col min="56" max="56" width="27.6328125" style="1" bestFit="1" customWidth="1"/>
    <col min="57" max="57" width="30" style="1" bestFit="1" customWidth="1"/>
    <col min="58" max="59" width="8.7265625" style="1"/>
    <col min="60" max="60" width="50.7265625" style="1" bestFit="1" customWidth="1"/>
    <col min="61" max="61" width="8.7265625" style="1"/>
    <col min="62" max="62" width="27.6328125" style="1" bestFit="1" customWidth="1"/>
    <col min="63" max="65" width="8.7265625" style="1"/>
    <col min="66" max="66" width="35.54296875" style="1" bestFit="1" customWidth="1"/>
    <col min="67" max="68" width="8.7265625" style="1"/>
    <col min="69" max="69" width="50.7265625" style="1" bestFit="1" customWidth="1"/>
    <col min="70" max="70" width="6.6328125" style="1" bestFit="1" customWidth="1"/>
    <col min="71" max="71" width="27.6328125" style="1" bestFit="1" customWidth="1"/>
    <col min="72" max="73" width="8.7265625" style="1"/>
    <col min="74" max="74" width="35.54296875" style="1" bestFit="1" customWidth="1"/>
    <col min="75" max="76" width="9.453125" style="1" bestFit="1" customWidth="1"/>
    <col min="77" max="77" width="50.7265625" style="1" bestFit="1" customWidth="1"/>
    <col min="78" max="78" width="8.7265625" style="1"/>
    <col min="79" max="79" width="27.6328125" style="1" bestFit="1" customWidth="1"/>
    <col min="80" max="16384" width="8.7265625" style="1"/>
  </cols>
  <sheetData>
    <row r="1" spans="1:63" ht="21.5" thickBot="1" x14ac:dyDescent="0.55000000000000004">
      <c r="A1" s="136" t="s">
        <v>115</v>
      </c>
      <c r="B1" s="137"/>
      <c r="C1" s="137"/>
      <c r="D1" s="138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9"/>
      <c r="X1" s="48" t="s">
        <v>90</v>
      </c>
      <c r="Y1" s="60"/>
      <c r="Z1" s="60"/>
      <c r="AA1" s="60"/>
      <c r="AB1" s="60"/>
      <c r="AC1" s="60"/>
      <c r="AD1" s="60"/>
      <c r="AE1" s="60"/>
      <c r="AF1" s="60"/>
      <c r="AG1" s="49"/>
      <c r="AH1" s="2"/>
      <c r="AI1" s="48" t="s">
        <v>93</v>
      </c>
      <c r="AJ1" s="152" t="s">
        <v>42</v>
      </c>
      <c r="AK1" s="152" t="s">
        <v>43</v>
      </c>
      <c r="AL1" s="152" t="s">
        <v>137</v>
      </c>
      <c r="AM1" s="2"/>
      <c r="AR1" s="2"/>
      <c r="AS1" s="2"/>
    </row>
    <row r="2" spans="1:63" ht="15" thickBot="1" x14ac:dyDescent="0.4">
      <c r="A2" s="48" t="s">
        <v>85</v>
      </c>
      <c r="B2" s="50" t="s">
        <v>8</v>
      </c>
      <c r="C2" s="50" t="s">
        <v>4</v>
      </c>
      <c r="D2" s="51" t="s">
        <v>5</v>
      </c>
      <c r="E2" s="51">
        <f t="shared" ref="E2:N2" si="0">F2-1</f>
        <v>2000</v>
      </c>
      <c r="F2" s="51">
        <f t="shared" si="0"/>
        <v>2001</v>
      </c>
      <c r="G2" s="51">
        <f t="shared" si="0"/>
        <v>2002</v>
      </c>
      <c r="H2" s="51">
        <f t="shared" si="0"/>
        <v>2003</v>
      </c>
      <c r="I2" s="51">
        <f t="shared" si="0"/>
        <v>2004</v>
      </c>
      <c r="J2" s="51">
        <f t="shared" si="0"/>
        <v>2005</v>
      </c>
      <c r="K2" s="51">
        <f t="shared" si="0"/>
        <v>2006</v>
      </c>
      <c r="L2" s="51">
        <f t="shared" si="0"/>
        <v>2007</v>
      </c>
      <c r="M2" s="51">
        <f t="shared" si="0"/>
        <v>2008</v>
      </c>
      <c r="N2" s="51">
        <f t="shared" si="0"/>
        <v>2009</v>
      </c>
      <c r="O2" s="51">
        <f>P2-1</f>
        <v>2010</v>
      </c>
      <c r="P2" s="51">
        <v>2011</v>
      </c>
      <c r="Q2" s="51">
        <v>2012</v>
      </c>
      <c r="R2" s="51">
        <v>2013</v>
      </c>
      <c r="S2" s="51">
        <v>2014</v>
      </c>
      <c r="T2" s="51">
        <v>2015</v>
      </c>
      <c r="U2" s="51">
        <v>2016</v>
      </c>
      <c r="V2" s="52">
        <v>2017</v>
      </c>
      <c r="X2" s="141" t="s">
        <v>8</v>
      </c>
      <c r="Y2" s="142" t="s">
        <v>4</v>
      </c>
      <c r="Z2" s="143" t="s">
        <v>5</v>
      </c>
      <c r="AA2" s="143">
        <v>2011</v>
      </c>
      <c r="AB2" s="143">
        <v>2012</v>
      </c>
      <c r="AC2" s="143">
        <v>2013</v>
      </c>
      <c r="AD2" s="143">
        <v>2014</v>
      </c>
      <c r="AE2" s="143">
        <v>2015</v>
      </c>
      <c r="AF2" s="143">
        <v>2016</v>
      </c>
      <c r="AG2" s="144">
        <v>2017</v>
      </c>
      <c r="AH2" s="4"/>
      <c r="AI2" s="12" t="s">
        <v>16</v>
      </c>
      <c r="AJ2" s="150">
        <f t="shared" ref="AJ2:AJ16" si="1">AVERAGE(AA3:AE3)</f>
        <v>31.181999999999999</v>
      </c>
      <c r="AK2" s="150">
        <f t="shared" ref="AK2:AL16" si="2">AVERAGE(AB3:AF3)</f>
        <v>25.573999999999995</v>
      </c>
      <c r="AL2" s="150" t="e">
        <f t="shared" si="2"/>
        <v>#N/A</v>
      </c>
      <c r="AM2" s="4"/>
      <c r="AR2" s="4"/>
      <c r="AS2" s="4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</row>
    <row r="3" spans="1:63" ht="15" thickBot="1" x14ac:dyDescent="0.4">
      <c r="A3" s="10" t="str">
        <f>B3&amp;"_"&amp;C3</f>
        <v>EMID_Unplanned customer interruptions (unweighted, including exceptional events)</v>
      </c>
      <c r="B3" s="11" t="str">
        <f>GB!A2</f>
        <v>EMID</v>
      </c>
      <c r="C3" s="11" t="str">
        <f>GB!B2</f>
        <v>Unplanned customer interruptions (unweighted, including exceptional events)</v>
      </c>
      <c r="D3" s="53" t="str">
        <f>GB!C2</f>
        <v>CI</v>
      </c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>
        <f>GB!D2</f>
        <v>59</v>
      </c>
      <c r="Q3" s="54">
        <f>GB!E2</f>
        <v>51.12</v>
      </c>
      <c r="R3" s="54">
        <f>GB!F2</f>
        <v>48.8</v>
      </c>
      <c r="S3" s="54">
        <f>GB!G2</f>
        <v>56.13</v>
      </c>
      <c r="T3" s="54">
        <f>GB!H2</f>
        <v>46.48</v>
      </c>
      <c r="U3" s="54">
        <f>GB!I2</f>
        <v>43.55</v>
      </c>
      <c r="V3" s="55"/>
      <c r="X3" s="145" t="s">
        <v>16</v>
      </c>
      <c r="Y3" s="146" t="s">
        <v>3</v>
      </c>
      <c r="Z3" s="147" t="s">
        <v>7</v>
      </c>
      <c r="AA3" s="148">
        <f t="shared" ref="AA3:AG17" si="3">IF(INDEX($E$3:$V$62,MATCH($X3&amp;"_"&amp;$Y3,$A$3:$A$62,0),MATCH(AA$2,$E$2:$V$2,0))="",#N/A,INDEX($E$3:$V$62,MATCH($X3&amp;"_"&amp;$Y3,$A$3:$A$62,0),MATCH(AA$2,$E$2:$V$2,0)))</f>
        <v>47.94</v>
      </c>
      <c r="AB3" s="148">
        <f t="shared" si="3"/>
        <v>32.82</v>
      </c>
      <c r="AC3" s="148">
        <f t="shared" si="3"/>
        <v>28.58</v>
      </c>
      <c r="AD3" s="148">
        <f t="shared" si="3"/>
        <v>25.08</v>
      </c>
      <c r="AE3" s="148">
        <f t="shared" si="3"/>
        <v>21.49</v>
      </c>
      <c r="AF3" s="148">
        <f t="shared" si="3"/>
        <v>19.899999999999999</v>
      </c>
      <c r="AG3" s="149" t="e">
        <f t="shared" si="3"/>
        <v>#N/A</v>
      </c>
      <c r="AH3" s="4"/>
      <c r="AI3" s="12" t="s">
        <v>17</v>
      </c>
      <c r="AJ3" s="150">
        <f t="shared" si="1"/>
        <v>37.779999999999994</v>
      </c>
      <c r="AK3" s="150">
        <f t="shared" si="2"/>
        <v>35.415999999999997</v>
      </c>
      <c r="AL3" s="150" t="e">
        <f t="shared" si="2"/>
        <v>#N/A</v>
      </c>
      <c r="AM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</row>
    <row r="4" spans="1:63" ht="15" thickBot="1" x14ac:dyDescent="0.4">
      <c r="A4" s="12" t="str">
        <f t="shared" ref="A4:A63" si="4">B4&amp;"_"&amp;C4</f>
        <v>EMID_Unplanned customer minutes lost (unweighted, including exceptional events)</v>
      </c>
      <c r="B4" s="14" t="str">
        <f>GB!A3</f>
        <v>EMID</v>
      </c>
      <c r="C4" s="14" t="str">
        <f>GB!B3</f>
        <v>Unplanned customer minutes lost (unweighted, including exceptional events)</v>
      </c>
      <c r="D4" s="56" t="str">
        <f>GB!C3</f>
        <v>CML</v>
      </c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>
        <f>GB!D3</f>
        <v>47.94</v>
      </c>
      <c r="Q4" s="13">
        <f>GB!E3</f>
        <v>35.69</v>
      </c>
      <c r="R4" s="13">
        <f>GB!F3</f>
        <v>29.73</v>
      </c>
      <c r="S4" s="13">
        <f>GB!G3</f>
        <v>27</v>
      </c>
      <c r="T4" s="13">
        <f>GB!H3</f>
        <v>22.74</v>
      </c>
      <c r="U4" s="13">
        <f>GB!I3</f>
        <v>21.11</v>
      </c>
      <c r="V4" s="19"/>
      <c r="X4" s="145" t="s">
        <v>17</v>
      </c>
      <c r="Y4" s="146" t="s">
        <v>3</v>
      </c>
      <c r="Z4" s="147" t="s">
        <v>7</v>
      </c>
      <c r="AA4" s="148">
        <f t="shared" si="3"/>
        <v>40.44</v>
      </c>
      <c r="AB4" s="148">
        <f t="shared" si="3"/>
        <v>39.65</v>
      </c>
      <c r="AC4" s="148">
        <f t="shared" si="3"/>
        <v>42.5</v>
      </c>
      <c r="AD4" s="148">
        <f t="shared" si="3"/>
        <v>37.229999999999997</v>
      </c>
      <c r="AE4" s="148">
        <f t="shared" si="3"/>
        <v>29.08</v>
      </c>
      <c r="AF4" s="148">
        <f t="shared" si="3"/>
        <v>28.62</v>
      </c>
      <c r="AG4" s="149" t="e">
        <f t="shared" si="3"/>
        <v>#N/A</v>
      </c>
      <c r="AH4" s="4"/>
      <c r="AI4" s="12" t="s">
        <v>18</v>
      </c>
      <c r="AJ4" s="150">
        <f t="shared" si="1"/>
        <v>52.184000000000005</v>
      </c>
      <c r="AK4" s="150">
        <f t="shared" si="2"/>
        <v>43.673780000000001</v>
      </c>
      <c r="AL4" s="150" t="e">
        <f t="shared" si="2"/>
        <v>#N/A</v>
      </c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</row>
    <row r="5" spans="1:63" ht="15" thickBot="1" x14ac:dyDescent="0.4">
      <c r="A5" s="12" t="str">
        <f t="shared" si="4"/>
        <v>EMID_Unplanned customer interruptions (unweighted, excluding exceptional events)</v>
      </c>
      <c r="B5" s="14" t="str">
        <f>GB!A4</f>
        <v>EMID</v>
      </c>
      <c r="C5" s="14" t="str">
        <f>GB!B4</f>
        <v>Unplanned customer interruptions (unweighted, excluding exceptional events)</v>
      </c>
      <c r="D5" s="56" t="str">
        <f>GB!C4</f>
        <v>CI</v>
      </c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>
        <f>GB!D4</f>
        <v>59</v>
      </c>
      <c r="Q5" s="13">
        <f>GB!E4</f>
        <v>51.05</v>
      </c>
      <c r="R5" s="13">
        <f>GB!F4</f>
        <v>47.12</v>
      </c>
      <c r="S5" s="13">
        <f>GB!G4</f>
        <v>52.38</v>
      </c>
      <c r="T5" s="13">
        <f>GB!H4</f>
        <v>45.01</v>
      </c>
      <c r="U5" s="13">
        <f>GB!I4</f>
        <v>41.68</v>
      </c>
      <c r="V5" s="19"/>
      <c r="X5" s="145" t="s">
        <v>18</v>
      </c>
      <c r="Y5" s="146" t="s">
        <v>3</v>
      </c>
      <c r="Z5" s="147" t="s">
        <v>7</v>
      </c>
      <c r="AA5" s="148">
        <f t="shared" si="3"/>
        <v>72.400000000000006</v>
      </c>
      <c r="AB5" s="148">
        <f t="shared" si="3"/>
        <v>47.5</v>
      </c>
      <c r="AC5" s="148">
        <f t="shared" si="3"/>
        <v>49.64</v>
      </c>
      <c r="AD5" s="148">
        <f t="shared" si="3"/>
        <v>51.18</v>
      </c>
      <c r="AE5" s="148">
        <f t="shared" si="3"/>
        <v>40.200000000000003</v>
      </c>
      <c r="AF5" s="148">
        <f t="shared" si="3"/>
        <v>29.8489</v>
      </c>
      <c r="AG5" s="149" t="e">
        <f t="shared" si="3"/>
        <v>#N/A</v>
      </c>
      <c r="AH5" s="4"/>
      <c r="AI5" s="12" t="s">
        <v>19</v>
      </c>
      <c r="AJ5" s="150">
        <f t="shared" si="1"/>
        <v>32.245999999999995</v>
      </c>
      <c r="AK5" s="150">
        <f t="shared" si="2"/>
        <v>27.51</v>
      </c>
      <c r="AL5" s="150" t="e">
        <f t="shared" si="2"/>
        <v>#N/A</v>
      </c>
      <c r="AM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</row>
    <row r="6" spans="1:63" ht="15" thickBot="1" x14ac:dyDescent="0.4">
      <c r="A6" s="16" t="str">
        <f t="shared" si="4"/>
        <v>EMID_Unplanned customer minutes lost (unweighted, excluding exceptional events)</v>
      </c>
      <c r="B6" s="18" t="str">
        <f>GB!A5</f>
        <v>EMID</v>
      </c>
      <c r="C6" s="18" t="str">
        <f>GB!B5</f>
        <v>Unplanned customer minutes lost (unweighted, excluding exceptional events)</v>
      </c>
      <c r="D6" s="57" t="str">
        <f>GB!C5</f>
        <v>CML</v>
      </c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>
        <f>GB!D5</f>
        <v>47.94</v>
      </c>
      <c r="Q6" s="17">
        <f>GB!E5</f>
        <v>32.82</v>
      </c>
      <c r="R6" s="17">
        <f>GB!F5</f>
        <v>28.58</v>
      </c>
      <c r="S6" s="17">
        <f>GB!G5</f>
        <v>25.08</v>
      </c>
      <c r="T6" s="17">
        <f>GB!H5</f>
        <v>21.49</v>
      </c>
      <c r="U6" s="17">
        <f>GB!I5</f>
        <v>19.899999999999999</v>
      </c>
      <c r="V6" s="20"/>
      <c r="X6" s="145" t="s">
        <v>19</v>
      </c>
      <c r="Y6" s="146" t="s">
        <v>3</v>
      </c>
      <c r="Z6" s="147" t="s">
        <v>7</v>
      </c>
      <c r="AA6" s="148">
        <f t="shared" si="3"/>
        <v>42.4</v>
      </c>
      <c r="AB6" s="148">
        <f t="shared" si="3"/>
        <v>31.2</v>
      </c>
      <c r="AC6" s="148">
        <f t="shared" si="3"/>
        <v>33.82</v>
      </c>
      <c r="AD6" s="148">
        <f t="shared" si="3"/>
        <v>29.78</v>
      </c>
      <c r="AE6" s="148">
        <f t="shared" si="3"/>
        <v>24.03</v>
      </c>
      <c r="AF6" s="148">
        <f t="shared" si="3"/>
        <v>18.72</v>
      </c>
      <c r="AG6" s="149" t="e">
        <f t="shared" si="3"/>
        <v>#N/A</v>
      </c>
      <c r="AH6" s="4"/>
      <c r="AI6" s="12" t="s">
        <v>20</v>
      </c>
      <c r="AJ6" s="150">
        <f t="shared" si="1"/>
        <v>56.104506710295347</v>
      </c>
      <c r="AK6" s="150">
        <f t="shared" si="2"/>
        <v>52.277083113969297</v>
      </c>
      <c r="AL6" s="150" t="e">
        <f t="shared" si="2"/>
        <v>#N/A</v>
      </c>
      <c r="AM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</row>
    <row r="7" spans="1:63" ht="15" thickBot="1" x14ac:dyDescent="0.4">
      <c r="A7" s="10" t="str">
        <f t="shared" si="4"/>
        <v>ENWL_Unplanned customer interruptions (unweighted, including exceptional events)</v>
      </c>
      <c r="B7" s="11" t="str">
        <f>GB!A6</f>
        <v>ENWL</v>
      </c>
      <c r="C7" s="11" t="str">
        <f>GB!B6</f>
        <v>Unplanned customer interruptions (unweighted, including exceptional events)</v>
      </c>
      <c r="D7" s="53" t="str">
        <f>GB!C6</f>
        <v>CI</v>
      </c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>
        <f>GB!D6</f>
        <v>47.82</v>
      </c>
      <c r="Q7" s="54">
        <f>GB!E6</f>
        <v>43.25</v>
      </c>
      <c r="R7" s="54">
        <f>GB!F6</f>
        <v>44.77</v>
      </c>
      <c r="S7" s="54">
        <f>GB!G6</f>
        <v>47.78</v>
      </c>
      <c r="T7" s="54">
        <f>GB!H6</f>
        <v>34.44</v>
      </c>
      <c r="U7" s="54">
        <f>GB!I6</f>
        <v>45.62</v>
      </c>
      <c r="V7" s="55"/>
      <c r="X7" s="145" t="s">
        <v>20</v>
      </c>
      <c r="Y7" s="146" t="s">
        <v>3</v>
      </c>
      <c r="Z7" s="147" t="s">
        <v>7</v>
      </c>
      <c r="AA7" s="148">
        <f t="shared" si="3"/>
        <v>62.447362761362356</v>
      </c>
      <c r="AB7" s="148">
        <f t="shared" si="3"/>
        <v>58.48287893159312</v>
      </c>
      <c r="AC7" s="148">
        <f t="shared" si="3"/>
        <v>59.663835120265055</v>
      </c>
      <c r="AD7" s="148">
        <f t="shared" si="3"/>
        <v>51.920197396219734</v>
      </c>
      <c r="AE7" s="148">
        <f t="shared" si="3"/>
        <v>48.008259342036467</v>
      </c>
      <c r="AF7" s="148">
        <f t="shared" si="3"/>
        <v>43.310244779732074</v>
      </c>
      <c r="AG7" s="149" t="e">
        <f t="shared" si="3"/>
        <v>#N/A</v>
      </c>
      <c r="AH7" s="4"/>
      <c r="AI7" s="12" t="s">
        <v>21</v>
      </c>
      <c r="AJ7" s="150">
        <f t="shared" si="1"/>
        <v>55.735920928886955</v>
      </c>
      <c r="AK7" s="150">
        <f t="shared" si="2"/>
        <v>50.735166479510383</v>
      </c>
      <c r="AL7" s="150" t="e">
        <f t="shared" si="2"/>
        <v>#N/A</v>
      </c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</row>
    <row r="8" spans="1:63" ht="15" thickBot="1" x14ac:dyDescent="0.4">
      <c r="A8" s="12" t="str">
        <f t="shared" si="4"/>
        <v>ENWL_Unplanned customer minutes lost (unweighted, including exceptional events)</v>
      </c>
      <c r="B8" s="14" t="str">
        <f>GB!A7</f>
        <v>ENWL</v>
      </c>
      <c r="C8" s="14" t="str">
        <f>GB!B7</f>
        <v>Unplanned customer minutes lost (unweighted, including exceptional events)</v>
      </c>
      <c r="D8" s="56" t="str">
        <f>GB!C7</f>
        <v>CML</v>
      </c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>
        <f>GB!D7</f>
        <v>42.22</v>
      </c>
      <c r="Q8" s="13">
        <f>GB!E7</f>
        <v>39.65</v>
      </c>
      <c r="R8" s="13">
        <f>GB!F7</f>
        <v>44.46</v>
      </c>
      <c r="S8" s="13">
        <f>GB!G7</f>
        <v>46.56</v>
      </c>
      <c r="T8" s="13">
        <f>GB!H7</f>
        <v>29.08</v>
      </c>
      <c r="U8" s="13">
        <f>GB!I7</f>
        <v>78.81</v>
      </c>
      <c r="V8" s="19"/>
      <c r="X8" s="145" t="s">
        <v>21</v>
      </c>
      <c r="Y8" s="146" t="s">
        <v>3</v>
      </c>
      <c r="Z8" s="147" t="s">
        <v>7</v>
      </c>
      <c r="AA8" s="148">
        <f t="shared" si="3"/>
        <v>63.015871934339472</v>
      </c>
      <c r="AB8" s="148">
        <f t="shared" si="3"/>
        <v>59.517198278904942</v>
      </c>
      <c r="AC8" s="148">
        <f t="shared" si="3"/>
        <v>57.795214932674284</v>
      </c>
      <c r="AD8" s="148">
        <f t="shared" si="3"/>
        <v>52.508274771706965</v>
      </c>
      <c r="AE8" s="148">
        <f t="shared" si="3"/>
        <v>45.843044726809111</v>
      </c>
      <c r="AF8" s="148">
        <f t="shared" si="3"/>
        <v>38.012099687456619</v>
      </c>
      <c r="AG8" s="149" t="e">
        <f t="shared" si="3"/>
        <v>#N/A</v>
      </c>
      <c r="AH8" s="4"/>
      <c r="AI8" s="12" t="s">
        <v>22</v>
      </c>
      <c r="AJ8" s="150">
        <f t="shared" si="1"/>
        <v>44.232386160415579</v>
      </c>
      <c r="AK8" s="150">
        <f t="shared" si="2"/>
        <v>40.375726435210069</v>
      </c>
      <c r="AL8" s="150" t="e">
        <f t="shared" si="2"/>
        <v>#N/A</v>
      </c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</row>
    <row r="9" spans="1:63" ht="15" thickBot="1" x14ac:dyDescent="0.4">
      <c r="A9" s="12" t="str">
        <f t="shared" si="4"/>
        <v>ENWL_Unplanned customer interruptions (unweighted, excluding exceptional events)</v>
      </c>
      <c r="B9" s="14" t="str">
        <f>GB!A8</f>
        <v>ENWL</v>
      </c>
      <c r="C9" s="14" t="str">
        <f>GB!B8</f>
        <v>Unplanned customer interruptions (unweighted, excluding exceptional events)</v>
      </c>
      <c r="D9" s="56" t="str">
        <f>GB!C8</f>
        <v>CI</v>
      </c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>
        <f>GB!D8</f>
        <v>45.65</v>
      </c>
      <c r="Q9" s="13">
        <f>GB!E8</f>
        <v>43.25</v>
      </c>
      <c r="R9" s="13">
        <f>GB!F8</f>
        <v>44.08</v>
      </c>
      <c r="S9" s="13">
        <f>GB!G8</f>
        <v>42.59</v>
      </c>
      <c r="T9" s="13">
        <f>GB!H8</f>
        <v>34.44</v>
      </c>
      <c r="U9" s="13">
        <f>GB!I8</f>
        <v>35.54</v>
      </c>
      <c r="V9" s="19"/>
      <c r="X9" s="145" t="s">
        <v>22</v>
      </c>
      <c r="Y9" s="146" t="s">
        <v>3</v>
      </c>
      <c r="Z9" s="147" t="s">
        <v>7</v>
      </c>
      <c r="AA9" s="148">
        <f t="shared" si="3"/>
        <v>48.774421574317088</v>
      </c>
      <c r="AB9" s="148">
        <f t="shared" si="3"/>
        <v>46.565132779862296</v>
      </c>
      <c r="AC9" s="148">
        <f t="shared" si="3"/>
        <v>45.160689806297242</v>
      </c>
      <c r="AD9" s="148">
        <f t="shared" si="3"/>
        <v>41.396052819175125</v>
      </c>
      <c r="AE9" s="148">
        <f t="shared" si="3"/>
        <v>39.265633822426153</v>
      </c>
      <c r="AF9" s="148">
        <f t="shared" si="3"/>
        <v>29.491122948289565</v>
      </c>
      <c r="AG9" s="149" t="e">
        <f t="shared" si="3"/>
        <v>#N/A</v>
      </c>
      <c r="AH9" s="4"/>
      <c r="AI9" s="12" t="s">
        <v>23</v>
      </c>
      <c r="AJ9" s="150">
        <f t="shared" si="1"/>
        <v>35.712141819786858</v>
      </c>
      <c r="AK9" s="150">
        <f t="shared" si="2"/>
        <v>33.090745231802842</v>
      </c>
      <c r="AL9" s="150" t="e">
        <f t="shared" si="2"/>
        <v>#N/A</v>
      </c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</row>
    <row r="10" spans="1:63" ht="15" thickBot="1" x14ac:dyDescent="0.4">
      <c r="A10" s="16" t="str">
        <f t="shared" si="4"/>
        <v>ENWL_Unplanned customer minutes lost (unweighted, excluding exceptional events)</v>
      </c>
      <c r="B10" s="18" t="str">
        <f>GB!A9</f>
        <v>ENWL</v>
      </c>
      <c r="C10" s="18" t="str">
        <f>GB!B9</f>
        <v>Unplanned customer minutes lost (unweighted, excluding exceptional events)</v>
      </c>
      <c r="D10" s="57" t="str">
        <f>GB!C9</f>
        <v>CML</v>
      </c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>
        <f>GB!D9</f>
        <v>40.44</v>
      </c>
      <c r="Q10" s="17">
        <f>GB!E9</f>
        <v>39.65</v>
      </c>
      <c r="R10" s="17">
        <f>GB!F9</f>
        <v>42.5</v>
      </c>
      <c r="S10" s="17">
        <f>GB!G9</f>
        <v>37.229999999999997</v>
      </c>
      <c r="T10" s="17">
        <f>GB!H9</f>
        <v>29.08</v>
      </c>
      <c r="U10" s="17">
        <f>GB!I9</f>
        <v>28.62</v>
      </c>
      <c r="V10" s="20"/>
      <c r="X10" s="145" t="s">
        <v>23</v>
      </c>
      <c r="Y10" s="146" t="s">
        <v>3</v>
      </c>
      <c r="Z10" s="147" t="s">
        <v>7</v>
      </c>
      <c r="AA10" s="148">
        <f t="shared" si="3"/>
        <v>39.656660832550997</v>
      </c>
      <c r="AB10" s="148">
        <f t="shared" si="3"/>
        <v>39.365719356860865</v>
      </c>
      <c r="AC10" s="148">
        <f t="shared" si="3"/>
        <v>32.248726001941627</v>
      </c>
      <c r="AD10" s="148">
        <f t="shared" si="3"/>
        <v>32.609582737210097</v>
      </c>
      <c r="AE10" s="148">
        <f t="shared" si="3"/>
        <v>34.680020170370696</v>
      </c>
      <c r="AF10" s="148">
        <f t="shared" si="3"/>
        <v>26.549677892630879</v>
      </c>
      <c r="AG10" s="149" t="e">
        <f t="shared" si="3"/>
        <v>#N/A</v>
      </c>
      <c r="AH10" s="4"/>
      <c r="AI10" s="12" t="s">
        <v>24</v>
      </c>
      <c r="AJ10" s="150">
        <f t="shared" si="1"/>
        <v>50.281999999999996</v>
      </c>
      <c r="AK10" s="150">
        <f t="shared" si="2"/>
        <v>42.435440000000007</v>
      </c>
      <c r="AL10" s="150" t="e">
        <f t="shared" si="2"/>
        <v>#N/A</v>
      </c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</row>
    <row r="11" spans="1:63" ht="15" thickBot="1" x14ac:dyDescent="0.4">
      <c r="A11" s="10" t="str">
        <f t="shared" si="4"/>
        <v>EPN_Unplanned customer interruptions (unweighted, including exceptional events)</v>
      </c>
      <c r="B11" s="11" t="str">
        <f>GB!A10</f>
        <v>EPN</v>
      </c>
      <c r="C11" s="11" t="str">
        <f>GB!B10</f>
        <v>Unplanned customer interruptions (unweighted, including exceptional events)</v>
      </c>
      <c r="D11" s="53" t="str">
        <f>GB!C10</f>
        <v>CI</v>
      </c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>
        <f>GB!D10</f>
        <v>86.664478160767899</v>
      </c>
      <c r="Q11" s="54">
        <f>GB!E10</f>
        <v>66.2</v>
      </c>
      <c r="R11" s="54">
        <f>GB!F10</f>
        <v>56.699999999999996</v>
      </c>
      <c r="S11" s="54">
        <f>GB!G10</f>
        <v>80.387491006601465</v>
      </c>
      <c r="T11" s="54">
        <f>GB!H10</f>
        <v>53.879999999999995</v>
      </c>
      <c r="U11" s="54">
        <f>GB!I10</f>
        <v>51.53</v>
      </c>
      <c r="V11" s="55"/>
      <c r="X11" s="145" t="s">
        <v>24</v>
      </c>
      <c r="Y11" s="146" t="s">
        <v>3</v>
      </c>
      <c r="Z11" s="147" t="s">
        <v>7</v>
      </c>
      <c r="AA11" s="148">
        <f t="shared" si="3"/>
        <v>73.2</v>
      </c>
      <c r="AB11" s="148">
        <f t="shared" si="3"/>
        <v>43</v>
      </c>
      <c r="AC11" s="148">
        <f t="shared" si="3"/>
        <v>47.02</v>
      </c>
      <c r="AD11" s="148">
        <f t="shared" si="3"/>
        <v>53.15</v>
      </c>
      <c r="AE11" s="148">
        <f t="shared" si="3"/>
        <v>35.04</v>
      </c>
      <c r="AF11" s="148">
        <f t="shared" si="3"/>
        <v>33.967200000000005</v>
      </c>
      <c r="AG11" s="149" t="e">
        <f t="shared" si="3"/>
        <v>#N/A</v>
      </c>
      <c r="AH11" s="4"/>
      <c r="AI11" s="12" t="s">
        <v>9</v>
      </c>
      <c r="AJ11" s="150">
        <f t="shared" si="1"/>
        <v>74</v>
      </c>
      <c r="AK11" s="150">
        <f t="shared" si="2"/>
        <v>70.781999999999996</v>
      </c>
      <c r="AL11" s="150" t="e">
        <f t="shared" si="2"/>
        <v>#N/A</v>
      </c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</row>
    <row r="12" spans="1:63" ht="15" thickBot="1" x14ac:dyDescent="0.4">
      <c r="A12" s="12" t="str">
        <f t="shared" si="4"/>
        <v>EPN_Unplanned customer minutes lost (unweighted, including exceptional events)</v>
      </c>
      <c r="B12" s="14" t="str">
        <f>GB!A11</f>
        <v>EPN</v>
      </c>
      <c r="C12" s="14" t="str">
        <f>GB!B11</f>
        <v>Unplanned customer minutes lost (unweighted, including exceptional events)</v>
      </c>
      <c r="D12" s="56" t="str">
        <f>GB!C11</f>
        <v>CML</v>
      </c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>
        <f>GB!D11</f>
        <v>72.830115878988678</v>
      </c>
      <c r="Q12" s="13">
        <f>GB!E11</f>
        <v>50.085999999999999</v>
      </c>
      <c r="R12" s="13">
        <f>GB!F11</f>
        <v>49.64</v>
      </c>
      <c r="S12" s="13">
        <f>GB!G11</f>
        <v>116.21954438962798</v>
      </c>
      <c r="T12" s="13">
        <f>GB!H11</f>
        <v>40.199999999999996</v>
      </c>
      <c r="U12" s="13">
        <f>GB!I11</f>
        <v>34.32</v>
      </c>
      <c r="V12" s="19"/>
      <c r="X12" s="145" t="s">
        <v>9</v>
      </c>
      <c r="Y12" s="146" t="s">
        <v>3</v>
      </c>
      <c r="Z12" s="147" t="s">
        <v>7</v>
      </c>
      <c r="AA12" s="148">
        <f t="shared" si="3"/>
        <v>78</v>
      </c>
      <c r="AB12" s="148">
        <f t="shared" si="3"/>
        <v>73</v>
      </c>
      <c r="AC12" s="148">
        <f t="shared" si="3"/>
        <v>73</v>
      </c>
      <c r="AD12" s="148">
        <f t="shared" si="3"/>
        <v>77</v>
      </c>
      <c r="AE12" s="148">
        <f t="shared" si="3"/>
        <v>69</v>
      </c>
      <c r="AF12" s="148">
        <f t="shared" si="3"/>
        <v>61.91</v>
      </c>
      <c r="AG12" s="149" t="e">
        <f t="shared" si="3"/>
        <v>#N/A</v>
      </c>
      <c r="AH12" s="4"/>
      <c r="AI12" s="12" t="s">
        <v>25</v>
      </c>
      <c r="AJ12" s="150">
        <f t="shared" si="1"/>
        <v>56.8</v>
      </c>
      <c r="AK12" s="150">
        <f t="shared" si="2"/>
        <v>52.8</v>
      </c>
      <c r="AL12" s="150" t="e">
        <f t="shared" si="2"/>
        <v>#N/A</v>
      </c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</row>
    <row r="13" spans="1:63" ht="15" thickBot="1" x14ac:dyDescent="0.4">
      <c r="A13" s="12" t="str">
        <f t="shared" si="4"/>
        <v>EPN_Unplanned customer interruptions (unweighted, excluding exceptional events)</v>
      </c>
      <c r="B13" s="14" t="str">
        <f>GB!A12</f>
        <v>EPN</v>
      </c>
      <c r="C13" s="14" t="str">
        <f>GB!B12</f>
        <v>Unplanned customer interruptions (unweighted, excluding exceptional events)</v>
      </c>
      <c r="D13" s="56" t="str">
        <f>GB!C12</f>
        <v>CI</v>
      </c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>
        <f>GB!D12</f>
        <v>86</v>
      </c>
      <c r="Q13" s="13">
        <f>GB!E12</f>
        <v>63.2</v>
      </c>
      <c r="R13" s="13">
        <f>GB!F12</f>
        <v>56.7</v>
      </c>
      <c r="S13" s="13">
        <f>GB!G12</f>
        <v>59.84</v>
      </c>
      <c r="T13" s="13">
        <f>GB!H12</f>
        <v>52.78</v>
      </c>
      <c r="U13" s="13">
        <f>GB!I12</f>
        <v>43.3309</v>
      </c>
      <c r="V13" s="19"/>
      <c r="X13" s="145" t="s">
        <v>25</v>
      </c>
      <c r="Y13" s="146" t="s">
        <v>3</v>
      </c>
      <c r="Z13" s="147" t="s">
        <v>7</v>
      </c>
      <c r="AA13" s="148">
        <f t="shared" si="3"/>
        <v>58</v>
      </c>
      <c r="AB13" s="148">
        <f t="shared" si="3"/>
        <v>54</v>
      </c>
      <c r="AC13" s="148">
        <f t="shared" si="3"/>
        <v>59</v>
      </c>
      <c r="AD13" s="148">
        <f t="shared" si="3"/>
        <v>62</v>
      </c>
      <c r="AE13" s="148">
        <f t="shared" si="3"/>
        <v>51</v>
      </c>
      <c r="AF13" s="148">
        <f t="shared" si="3"/>
        <v>38</v>
      </c>
      <c r="AG13" s="149" t="e">
        <f t="shared" si="3"/>
        <v>#N/A</v>
      </c>
      <c r="AH13" s="4"/>
      <c r="AI13" s="12" t="s">
        <v>26</v>
      </c>
      <c r="AJ13" s="150">
        <f t="shared" si="1"/>
        <v>25.099999999999998</v>
      </c>
      <c r="AK13" s="150">
        <f t="shared" si="2"/>
        <v>23.832000000000001</v>
      </c>
      <c r="AL13" s="150" t="e">
        <f t="shared" si="2"/>
        <v>#N/A</v>
      </c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</row>
    <row r="14" spans="1:63" ht="15" thickBot="1" x14ac:dyDescent="0.4">
      <c r="A14" s="16" t="str">
        <f t="shared" si="4"/>
        <v>EPN_Unplanned customer minutes lost (unweighted, excluding exceptional events)</v>
      </c>
      <c r="B14" s="18" t="str">
        <f>GB!A13</f>
        <v>EPN</v>
      </c>
      <c r="C14" s="18" t="str">
        <f>GB!B13</f>
        <v>Unplanned customer minutes lost (unweighted, excluding exceptional events)</v>
      </c>
      <c r="D14" s="57" t="str">
        <f>GB!C13</f>
        <v>CML</v>
      </c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>
        <f>GB!D13</f>
        <v>72.400000000000006</v>
      </c>
      <c r="Q14" s="17">
        <f>GB!E13</f>
        <v>47.5</v>
      </c>
      <c r="R14" s="17">
        <f>GB!F13</f>
        <v>49.64</v>
      </c>
      <c r="S14" s="17">
        <f>GB!G13</f>
        <v>51.18</v>
      </c>
      <c r="T14" s="17">
        <f>GB!H13</f>
        <v>40.200000000000003</v>
      </c>
      <c r="U14" s="17">
        <f>GB!I13</f>
        <v>29.8489</v>
      </c>
      <c r="V14" s="20"/>
      <c r="X14" s="145" t="s">
        <v>26</v>
      </c>
      <c r="Y14" s="146" t="s">
        <v>3</v>
      </c>
      <c r="Z14" s="147" t="s">
        <v>7</v>
      </c>
      <c r="AA14" s="148">
        <f t="shared" si="3"/>
        <v>27.06</v>
      </c>
      <c r="AB14" s="148">
        <f t="shared" si="3"/>
        <v>25.29</v>
      </c>
      <c r="AC14" s="148">
        <f t="shared" si="3"/>
        <v>23.86</v>
      </c>
      <c r="AD14" s="148">
        <f t="shared" si="3"/>
        <v>25.13</v>
      </c>
      <c r="AE14" s="148">
        <f t="shared" si="3"/>
        <v>24.16</v>
      </c>
      <c r="AF14" s="148">
        <f t="shared" si="3"/>
        <v>20.72</v>
      </c>
      <c r="AG14" s="149" t="e">
        <f t="shared" si="3"/>
        <v>#N/A</v>
      </c>
      <c r="AH14" s="4"/>
      <c r="AI14" s="12" t="s">
        <v>27</v>
      </c>
      <c r="AJ14" s="150">
        <f t="shared" si="1"/>
        <v>33.776000000000003</v>
      </c>
      <c r="AK14" s="150">
        <f t="shared" si="2"/>
        <v>32.461999999999996</v>
      </c>
      <c r="AL14" s="150" t="e">
        <f t="shared" si="2"/>
        <v>#N/A</v>
      </c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</row>
    <row r="15" spans="1:63" ht="15" thickBot="1" x14ac:dyDescent="0.4">
      <c r="A15" s="10" t="str">
        <f t="shared" si="4"/>
        <v>LPN_Unplanned customer interruptions (unweighted, including exceptional events)</v>
      </c>
      <c r="B15" s="11" t="str">
        <f>GB!A14</f>
        <v>LPN</v>
      </c>
      <c r="C15" s="11" t="str">
        <f>GB!B14</f>
        <v>Unplanned customer interruptions (unweighted, including exceptional events)</v>
      </c>
      <c r="D15" s="53" t="str">
        <f>GB!C14</f>
        <v>CI</v>
      </c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>
        <f>GB!D14</f>
        <v>24.434919614262139</v>
      </c>
      <c r="Q15" s="54">
        <f>GB!E14</f>
        <v>27.625</v>
      </c>
      <c r="R15" s="54">
        <f>GB!F14</f>
        <v>26.97</v>
      </c>
      <c r="S15" s="54">
        <f>GB!G14</f>
        <v>21.610560542215836</v>
      </c>
      <c r="T15" s="54">
        <f>GB!H14</f>
        <v>21.164999999999999</v>
      </c>
      <c r="U15" s="54">
        <f>GB!I14</f>
        <v>18.899999999999999</v>
      </c>
      <c r="V15" s="55"/>
      <c r="X15" s="145" t="s">
        <v>27</v>
      </c>
      <c r="Y15" s="146" t="s">
        <v>3</v>
      </c>
      <c r="Z15" s="147" t="s">
        <v>7</v>
      </c>
      <c r="AA15" s="148">
        <f t="shared" si="3"/>
        <v>35.549999999999997</v>
      </c>
      <c r="AB15" s="148">
        <f t="shared" si="3"/>
        <v>31.61</v>
      </c>
      <c r="AC15" s="148">
        <f t="shared" si="3"/>
        <v>37.65</v>
      </c>
      <c r="AD15" s="148">
        <f t="shared" si="3"/>
        <v>32.92</v>
      </c>
      <c r="AE15" s="148">
        <f t="shared" si="3"/>
        <v>31.15</v>
      </c>
      <c r="AF15" s="148">
        <f t="shared" si="3"/>
        <v>28.98</v>
      </c>
      <c r="AG15" s="149" t="e">
        <f t="shared" si="3"/>
        <v>#N/A</v>
      </c>
      <c r="AH15" s="4"/>
      <c r="AI15" s="12" t="s">
        <v>28</v>
      </c>
      <c r="AJ15" s="150">
        <f t="shared" si="1"/>
        <v>45.456000000000003</v>
      </c>
      <c r="AK15" s="150">
        <f t="shared" si="2"/>
        <v>35.695999999999998</v>
      </c>
      <c r="AL15" s="150" t="e">
        <f t="shared" si="2"/>
        <v>#N/A</v>
      </c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</row>
    <row r="16" spans="1:63" ht="15" thickBot="1" x14ac:dyDescent="0.4">
      <c r="A16" s="12" t="str">
        <f t="shared" si="4"/>
        <v>LPN_Unplanned customer minutes lost (unweighted, including exceptional events)</v>
      </c>
      <c r="B16" s="14" t="str">
        <f>GB!A15</f>
        <v>LPN</v>
      </c>
      <c r="C16" s="14" t="str">
        <f>GB!B15</f>
        <v>Unplanned customer minutes lost (unweighted, including exceptional events)</v>
      </c>
      <c r="D16" s="56" t="str">
        <f>GB!C15</f>
        <v>CML</v>
      </c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>
        <f>GB!D15</f>
        <v>42.419544409779917</v>
      </c>
      <c r="Q16" s="13">
        <f>GB!E15</f>
        <v>31.164999999999999</v>
      </c>
      <c r="R16" s="13">
        <f>GB!F15</f>
        <v>33.964999999999996</v>
      </c>
      <c r="S16" s="13">
        <f>GB!G15</f>
        <v>29.784493340564008</v>
      </c>
      <c r="T16" s="13">
        <f>GB!H15</f>
        <v>24.025000000000002</v>
      </c>
      <c r="U16" s="13">
        <f>GB!I15</f>
        <v>18.72</v>
      </c>
      <c r="V16" s="19"/>
      <c r="X16" s="145" t="s">
        <v>28</v>
      </c>
      <c r="Y16" s="146" t="s">
        <v>3</v>
      </c>
      <c r="Z16" s="147" t="s">
        <v>7</v>
      </c>
      <c r="AA16" s="148">
        <f t="shared" si="3"/>
        <v>77.239999999999995</v>
      </c>
      <c r="AB16" s="148">
        <f t="shared" si="3"/>
        <v>41.62</v>
      </c>
      <c r="AC16" s="148">
        <f t="shared" si="3"/>
        <v>42.07</v>
      </c>
      <c r="AD16" s="148">
        <f t="shared" si="3"/>
        <v>35.700000000000003</v>
      </c>
      <c r="AE16" s="148">
        <f t="shared" si="3"/>
        <v>30.65</v>
      </c>
      <c r="AF16" s="148">
        <f t="shared" si="3"/>
        <v>28.44</v>
      </c>
      <c r="AG16" s="149" t="e">
        <f t="shared" si="3"/>
        <v>#N/A</v>
      </c>
      <c r="AH16" s="4"/>
      <c r="AI16" s="16" t="s">
        <v>33</v>
      </c>
      <c r="AJ16" s="151">
        <f t="shared" si="1"/>
        <v>57.820000000000007</v>
      </c>
      <c r="AK16" s="151">
        <f t="shared" si="2"/>
        <v>57.04</v>
      </c>
      <c r="AL16" s="151">
        <f t="shared" si="2"/>
        <v>57.5</v>
      </c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</row>
    <row r="17" spans="1:63" ht="15" thickBot="1" x14ac:dyDescent="0.4">
      <c r="A17" s="12" t="str">
        <f t="shared" si="4"/>
        <v>LPN_Unplanned customer interruptions (unweighted, excluding exceptional events)</v>
      </c>
      <c r="B17" s="14" t="str">
        <f>GB!A16</f>
        <v>LPN</v>
      </c>
      <c r="C17" s="14" t="str">
        <f>GB!B16</f>
        <v>Unplanned customer interruptions (unweighted, excluding exceptional events)</v>
      </c>
      <c r="D17" s="56" t="str">
        <f>GB!C16</f>
        <v>CI</v>
      </c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>
        <f>GB!D16</f>
        <v>24.4</v>
      </c>
      <c r="Q17" s="13">
        <f>GB!E16</f>
        <v>27.6</v>
      </c>
      <c r="R17" s="13">
        <f>GB!F16</f>
        <v>25.04</v>
      </c>
      <c r="S17" s="13">
        <f>GB!G16</f>
        <v>21.61</v>
      </c>
      <c r="T17" s="13">
        <f>GB!H16</f>
        <v>20.89</v>
      </c>
      <c r="U17" s="13">
        <f>GB!I16</f>
        <v>18.649999999999999</v>
      </c>
      <c r="V17" s="19"/>
      <c r="X17" s="12" t="s">
        <v>33</v>
      </c>
      <c r="Y17" s="14" t="s">
        <v>3</v>
      </c>
      <c r="Z17" s="56" t="s">
        <v>7</v>
      </c>
      <c r="AA17" s="13">
        <f t="shared" si="3"/>
        <v>66.3</v>
      </c>
      <c r="AB17" s="13">
        <f t="shared" si="3"/>
        <v>53.1</v>
      </c>
      <c r="AC17" s="13">
        <f t="shared" si="3"/>
        <v>53.099999999999994</v>
      </c>
      <c r="AD17" s="13">
        <f t="shared" si="3"/>
        <v>52.5</v>
      </c>
      <c r="AE17" s="13">
        <f t="shared" si="3"/>
        <v>64.099999999999994</v>
      </c>
      <c r="AF17" s="13">
        <f t="shared" si="3"/>
        <v>62.4</v>
      </c>
      <c r="AG17" s="19">
        <f t="shared" si="3"/>
        <v>55.4</v>
      </c>
      <c r="AK17" s="5"/>
      <c r="AL17" s="5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</row>
    <row r="18" spans="1:63" ht="15" thickBot="1" x14ac:dyDescent="0.4">
      <c r="A18" s="16" t="str">
        <f t="shared" si="4"/>
        <v>LPN_Unplanned customer minutes lost (unweighted, excluding exceptional events)</v>
      </c>
      <c r="B18" s="18" t="str">
        <f>GB!A17</f>
        <v>LPN</v>
      </c>
      <c r="C18" s="18" t="str">
        <f>GB!B17</f>
        <v>Unplanned customer minutes lost (unweighted, excluding exceptional events)</v>
      </c>
      <c r="D18" s="57" t="str">
        <f>GB!C17</f>
        <v>CML</v>
      </c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>
        <f>GB!D17</f>
        <v>42.4</v>
      </c>
      <c r="Q18" s="17">
        <f>GB!E17</f>
        <v>31.2</v>
      </c>
      <c r="R18" s="17">
        <f>GB!F17</f>
        <v>33.82</v>
      </c>
      <c r="S18" s="17">
        <f>GB!G17</f>
        <v>29.78</v>
      </c>
      <c r="T18" s="17">
        <f>GB!H17</f>
        <v>24.03</v>
      </c>
      <c r="U18" s="17">
        <f>GB!I17</f>
        <v>18.72</v>
      </c>
      <c r="V18" s="20"/>
      <c r="X18" s="48" t="s">
        <v>91</v>
      </c>
      <c r="Y18" s="60"/>
      <c r="Z18" s="60"/>
      <c r="AA18" s="60"/>
      <c r="AB18" s="60"/>
      <c r="AC18" s="60"/>
      <c r="AD18" s="60"/>
      <c r="AE18" s="60"/>
      <c r="AF18" s="60"/>
      <c r="AG18" s="49"/>
      <c r="AH18" s="2"/>
      <c r="AI18" s="48" t="s">
        <v>94</v>
      </c>
      <c r="AJ18" s="153" t="s">
        <v>42</v>
      </c>
      <c r="AK18" s="52" t="s">
        <v>43</v>
      </c>
      <c r="AL18" s="153" t="s">
        <v>137</v>
      </c>
      <c r="AM18" s="2"/>
      <c r="AN18" s="2"/>
      <c r="AO18" s="2"/>
      <c r="AP18" s="2"/>
      <c r="AQ18" s="2"/>
      <c r="AR18" s="2"/>
      <c r="AS18" s="2"/>
    </row>
    <row r="19" spans="1:63" ht="15" thickBot="1" x14ac:dyDescent="0.4">
      <c r="A19" s="10" t="str">
        <f t="shared" si="4"/>
        <v>NPGN_Unplanned customer interruptions (unweighted, including exceptional events)</v>
      </c>
      <c r="B19" s="11" t="str">
        <f>GB!A18</f>
        <v>NPGN</v>
      </c>
      <c r="C19" s="11" t="str">
        <f>GB!B18</f>
        <v>Unplanned customer interruptions (unweighted, including exceptional events)</v>
      </c>
      <c r="D19" s="53" t="str">
        <f>GB!C18</f>
        <v>CI</v>
      </c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>
        <f>GB!D18</f>
        <v>63.073924627114792</v>
      </c>
      <c r="Q19" s="54">
        <f>GB!E18</f>
        <v>64.97799446067458</v>
      </c>
      <c r="R19" s="54">
        <f>GB!F18</f>
        <v>69.769017578002902</v>
      </c>
      <c r="S19" s="54">
        <f>GB!G18</f>
        <v>63.8834066527697</v>
      </c>
      <c r="T19" s="54">
        <f>GB!H18</f>
        <v>61.950377684103316</v>
      </c>
      <c r="U19" s="54">
        <f>GB!I18</f>
        <v>63.771021076514657</v>
      </c>
      <c r="V19" s="55"/>
      <c r="X19" s="141" t="s">
        <v>8</v>
      </c>
      <c r="Y19" s="142" t="s">
        <v>4</v>
      </c>
      <c r="Z19" s="143" t="s">
        <v>5</v>
      </c>
      <c r="AA19" s="143">
        <v>2011</v>
      </c>
      <c r="AB19" s="143">
        <v>2012</v>
      </c>
      <c r="AC19" s="143">
        <v>2013</v>
      </c>
      <c r="AD19" s="143">
        <v>2014</v>
      </c>
      <c r="AE19" s="143">
        <v>2015</v>
      </c>
      <c r="AF19" s="143">
        <v>2016</v>
      </c>
      <c r="AG19" s="144">
        <v>2017</v>
      </c>
      <c r="AH19" s="4"/>
      <c r="AI19" s="12" t="s">
        <v>16</v>
      </c>
      <c r="AJ19" s="150">
        <f t="shared" ref="AJ19:AJ33" si="5">AVERAGE(AA20:AE20)</f>
        <v>50.911999999999992</v>
      </c>
      <c r="AK19" s="19">
        <f t="shared" ref="AK19:AL33" si="6">AVERAGE(AB20:AF20)</f>
        <v>47.447999999999993</v>
      </c>
      <c r="AL19" s="150" t="e">
        <f t="shared" si="6"/>
        <v>#N/A</v>
      </c>
      <c r="AM19" s="4"/>
      <c r="AN19" s="4"/>
      <c r="AO19" s="4"/>
      <c r="AP19" s="4"/>
      <c r="AQ19" s="4"/>
      <c r="AR19" s="4"/>
      <c r="AS19" s="4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</row>
    <row r="20" spans="1:63" ht="15" thickBot="1" x14ac:dyDescent="0.4">
      <c r="A20" s="12" t="str">
        <f t="shared" si="4"/>
        <v>NPGN_Unplanned customer minutes lost (unweighted, including exceptional events)</v>
      </c>
      <c r="B20" s="14" t="str">
        <f>GB!A19</f>
        <v>NPGN</v>
      </c>
      <c r="C20" s="14" t="str">
        <f>GB!B19</f>
        <v>Unplanned customer minutes lost (unweighted, including exceptional events)</v>
      </c>
      <c r="D20" s="56" t="str">
        <f>GB!C19</f>
        <v>CML</v>
      </c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>
        <f>GB!D19</f>
        <v>64.607362761362353</v>
      </c>
      <c r="Q20" s="13">
        <f>GB!E19</f>
        <v>60.112878931593123</v>
      </c>
      <c r="R20" s="13">
        <f>GB!F19</f>
        <v>83.036468183480068</v>
      </c>
      <c r="S20" s="13">
        <f>GB!G19</f>
        <v>58.26911507779171</v>
      </c>
      <c r="T20" s="13">
        <f>GB!H19</f>
        <v>48.008259342036467</v>
      </c>
      <c r="U20" s="13">
        <f>GB!I19</f>
        <v>56.760244779732069</v>
      </c>
      <c r="V20" s="19"/>
      <c r="X20" s="145" t="s">
        <v>16</v>
      </c>
      <c r="Y20" s="146" t="s">
        <v>2</v>
      </c>
      <c r="Z20" s="147" t="s">
        <v>6</v>
      </c>
      <c r="AA20" s="148">
        <f t="shared" ref="AA20:AG34" si="7">IF(INDEX($E$3:$V$62,MATCH($X20&amp;"_"&amp;$Y20,$A$3:$A$62,0),MATCH(AA$2,$E$2:$V$2,0))="",#N/A,INDEX($E$3:$V$62,MATCH($X20&amp;"_"&amp;$Y20,$A$3:$A$62,0),MATCH(AA$2,$E$2:$V$2,0)))</f>
        <v>59</v>
      </c>
      <c r="AB20" s="148">
        <f t="shared" si="7"/>
        <v>51.05</v>
      </c>
      <c r="AC20" s="148">
        <f t="shared" si="7"/>
        <v>47.12</v>
      </c>
      <c r="AD20" s="148">
        <f t="shared" si="7"/>
        <v>52.38</v>
      </c>
      <c r="AE20" s="148">
        <f t="shared" si="7"/>
        <v>45.01</v>
      </c>
      <c r="AF20" s="148">
        <f t="shared" si="7"/>
        <v>41.68</v>
      </c>
      <c r="AG20" s="149" t="e">
        <f t="shared" si="7"/>
        <v>#N/A</v>
      </c>
      <c r="AH20" s="4"/>
      <c r="AI20" s="12" t="s">
        <v>17</v>
      </c>
      <c r="AJ20" s="150">
        <f t="shared" si="5"/>
        <v>42.002000000000002</v>
      </c>
      <c r="AK20" s="19">
        <f t="shared" si="6"/>
        <v>39.980000000000004</v>
      </c>
      <c r="AL20" s="150" t="e">
        <f t="shared" si="6"/>
        <v>#N/A</v>
      </c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</row>
    <row r="21" spans="1:63" ht="15" thickBot="1" x14ac:dyDescent="0.4">
      <c r="A21" s="12" t="str">
        <f t="shared" si="4"/>
        <v>NPGN_Unplanned customer interruptions (unweighted, excluding exceptional events)</v>
      </c>
      <c r="B21" s="14" t="str">
        <f>GB!A20</f>
        <v>NPGN</v>
      </c>
      <c r="C21" s="14" t="str">
        <f>GB!B20</f>
        <v>Unplanned customer interruptions (unweighted, excluding exceptional events)</v>
      </c>
      <c r="D21" s="56" t="str">
        <f>GB!C20</f>
        <v>CI</v>
      </c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>
        <f>GB!D20</f>
        <v>61.943924627114789</v>
      </c>
      <c r="Q21" s="13">
        <f>GB!E20</f>
        <v>64.127994460674586</v>
      </c>
      <c r="R21" s="13">
        <f>GB!F20</f>
        <v>61.169903506318093</v>
      </c>
      <c r="S21" s="13">
        <f>GB!G20</f>
        <v>58.51717228922422</v>
      </c>
      <c r="T21" s="13">
        <f>GB!H20</f>
        <v>61.950377684103316</v>
      </c>
      <c r="U21" s="13">
        <f>GB!I20</f>
        <v>55.381021076514656</v>
      </c>
      <c r="V21" s="19"/>
      <c r="X21" s="145" t="s">
        <v>17</v>
      </c>
      <c r="Y21" s="146" t="s">
        <v>2</v>
      </c>
      <c r="Z21" s="147" t="s">
        <v>6</v>
      </c>
      <c r="AA21" s="148">
        <f t="shared" si="7"/>
        <v>45.65</v>
      </c>
      <c r="AB21" s="148">
        <f t="shared" si="7"/>
        <v>43.25</v>
      </c>
      <c r="AC21" s="148">
        <f t="shared" si="7"/>
        <v>44.08</v>
      </c>
      <c r="AD21" s="148">
        <f t="shared" si="7"/>
        <v>42.59</v>
      </c>
      <c r="AE21" s="148">
        <f t="shared" si="7"/>
        <v>34.44</v>
      </c>
      <c r="AF21" s="148">
        <f t="shared" si="7"/>
        <v>35.54</v>
      </c>
      <c r="AG21" s="149" t="e">
        <f t="shared" si="7"/>
        <v>#N/A</v>
      </c>
      <c r="AH21" s="4"/>
      <c r="AI21" s="12" t="s">
        <v>18</v>
      </c>
      <c r="AJ21" s="150">
        <f t="shared" si="5"/>
        <v>63.703999999999994</v>
      </c>
      <c r="AK21" s="19">
        <f t="shared" si="6"/>
        <v>55.170180000000002</v>
      </c>
      <c r="AL21" s="150" t="e">
        <f t="shared" si="6"/>
        <v>#N/A</v>
      </c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</row>
    <row r="22" spans="1:63" ht="15" thickBot="1" x14ac:dyDescent="0.4">
      <c r="A22" s="16" t="str">
        <f t="shared" si="4"/>
        <v>NPGN_Unplanned customer minutes lost (unweighted, excluding exceptional events)</v>
      </c>
      <c r="B22" s="18" t="str">
        <f>GB!A21</f>
        <v>NPGN</v>
      </c>
      <c r="C22" s="18" t="str">
        <f>GB!B21</f>
        <v>Unplanned customer minutes lost (unweighted, excluding exceptional events)</v>
      </c>
      <c r="D22" s="57" t="str">
        <f>GB!C21</f>
        <v>CML</v>
      </c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>
        <f>GB!D21</f>
        <v>62.447362761362356</v>
      </c>
      <c r="Q22" s="17">
        <f>GB!E21</f>
        <v>58.48287893159312</v>
      </c>
      <c r="R22" s="17">
        <f>GB!F21</f>
        <v>59.663835120265055</v>
      </c>
      <c r="S22" s="17">
        <f>GB!G21</f>
        <v>51.920197396219734</v>
      </c>
      <c r="T22" s="17">
        <f>GB!H21</f>
        <v>48.008259342036467</v>
      </c>
      <c r="U22" s="17">
        <f>GB!I21</f>
        <v>43.310244779732074</v>
      </c>
      <c r="V22" s="20"/>
      <c r="X22" s="145" t="s">
        <v>18</v>
      </c>
      <c r="Y22" s="146" t="s">
        <v>2</v>
      </c>
      <c r="Z22" s="147" t="s">
        <v>6</v>
      </c>
      <c r="AA22" s="148">
        <f t="shared" si="7"/>
        <v>86</v>
      </c>
      <c r="AB22" s="148">
        <f t="shared" si="7"/>
        <v>63.2</v>
      </c>
      <c r="AC22" s="148">
        <f t="shared" si="7"/>
        <v>56.7</v>
      </c>
      <c r="AD22" s="148">
        <f t="shared" si="7"/>
        <v>59.84</v>
      </c>
      <c r="AE22" s="148">
        <f t="shared" si="7"/>
        <v>52.78</v>
      </c>
      <c r="AF22" s="148">
        <f t="shared" si="7"/>
        <v>43.3309</v>
      </c>
      <c r="AG22" s="149" t="e">
        <f t="shared" si="7"/>
        <v>#N/A</v>
      </c>
      <c r="AH22" s="4"/>
      <c r="AI22" s="12" t="s">
        <v>19</v>
      </c>
      <c r="AJ22" s="150">
        <f t="shared" si="5"/>
        <v>23.907999999999998</v>
      </c>
      <c r="AK22" s="19">
        <f t="shared" si="6"/>
        <v>22.757999999999999</v>
      </c>
      <c r="AL22" s="150" t="e">
        <f t="shared" si="6"/>
        <v>#N/A</v>
      </c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</row>
    <row r="23" spans="1:63" ht="15" thickBot="1" x14ac:dyDescent="0.4">
      <c r="A23" s="10" t="str">
        <f t="shared" si="4"/>
        <v>NPgY_Unplanned customer interruptions (unweighted, including exceptional events)</v>
      </c>
      <c r="B23" s="11" t="str">
        <f>GB!A22</f>
        <v>NPgY</v>
      </c>
      <c r="C23" s="11" t="str">
        <f>GB!B22</f>
        <v>Unplanned customer interruptions (unweighted, including exceptional events)</v>
      </c>
      <c r="D23" s="53" t="str">
        <f>GB!C22</f>
        <v>CI</v>
      </c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>
        <f>GB!D22</f>
        <v>68.416368373417697</v>
      </c>
      <c r="Q23" s="54">
        <f>GB!E22</f>
        <v>69.669229248732819</v>
      </c>
      <c r="R23" s="54">
        <f>GB!F22</f>
        <v>71.358783234890552</v>
      </c>
      <c r="S23" s="54">
        <f>GB!G22</f>
        <v>67.905301415271012</v>
      </c>
      <c r="T23" s="54">
        <f>GB!H22</f>
        <v>59.184236380735221</v>
      </c>
      <c r="U23" s="54">
        <f>GB!I22</f>
        <v>52.795434649983719</v>
      </c>
      <c r="V23" s="55"/>
      <c r="X23" s="145" t="s">
        <v>19</v>
      </c>
      <c r="Y23" s="146" t="s">
        <v>2</v>
      </c>
      <c r="Z23" s="147" t="s">
        <v>6</v>
      </c>
      <c r="AA23" s="148">
        <f t="shared" si="7"/>
        <v>24.4</v>
      </c>
      <c r="AB23" s="148">
        <f t="shared" si="7"/>
        <v>27.6</v>
      </c>
      <c r="AC23" s="148">
        <f t="shared" si="7"/>
        <v>25.04</v>
      </c>
      <c r="AD23" s="148">
        <f t="shared" si="7"/>
        <v>21.61</v>
      </c>
      <c r="AE23" s="148">
        <f t="shared" si="7"/>
        <v>20.89</v>
      </c>
      <c r="AF23" s="148">
        <f t="shared" si="7"/>
        <v>18.649999999999999</v>
      </c>
      <c r="AG23" s="149" t="e">
        <f t="shared" si="7"/>
        <v>#N/A</v>
      </c>
      <c r="AH23" s="4"/>
      <c r="AI23" s="12" t="s">
        <v>20</v>
      </c>
      <c r="AJ23" s="150">
        <f t="shared" si="5"/>
        <v>61.541874513487002</v>
      </c>
      <c r="AK23" s="19">
        <f t="shared" si="6"/>
        <v>60.229293803366978</v>
      </c>
      <c r="AL23" s="150" t="e">
        <f t="shared" si="6"/>
        <v>#N/A</v>
      </c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</row>
    <row r="24" spans="1:63" ht="15" thickBot="1" x14ac:dyDescent="0.4">
      <c r="A24" s="12" t="str">
        <f t="shared" si="4"/>
        <v>NPgY_Unplanned customer minutes lost (unweighted, including exceptional events)</v>
      </c>
      <c r="B24" s="14" t="str">
        <f>GB!A23</f>
        <v>NPgY</v>
      </c>
      <c r="C24" s="14" t="str">
        <f>GB!B23</f>
        <v>Unplanned customer minutes lost (unweighted, including exceptional events)</v>
      </c>
      <c r="D24" s="56" t="str">
        <f>GB!C23</f>
        <v>CML</v>
      </c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>
        <f>GB!D23</f>
        <v>64.95587193433947</v>
      </c>
      <c r="Q24" s="13">
        <f>GB!E23</f>
        <v>60.747198278904939</v>
      </c>
      <c r="R24" s="13">
        <f>GB!F23</f>
        <v>58.815214932674287</v>
      </c>
      <c r="S24" s="13">
        <f>GB!G23</f>
        <v>63.833274771706968</v>
      </c>
      <c r="T24" s="13">
        <f>GB!H23</f>
        <v>45.843044726809111</v>
      </c>
      <c r="U24" s="13">
        <f>GB!I23</f>
        <v>42.812099687456616</v>
      </c>
      <c r="V24" s="19"/>
      <c r="X24" s="145" t="s">
        <v>20</v>
      </c>
      <c r="Y24" s="146" t="s">
        <v>2</v>
      </c>
      <c r="Z24" s="147" t="s">
        <v>6</v>
      </c>
      <c r="AA24" s="148">
        <f t="shared" si="7"/>
        <v>61.943924627114789</v>
      </c>
      <c r="AB24" s="148">
        <f t="shared" si="7"/>
        <v>64.127994460674586</v>
      </c>
      <c r="AC24" s="148">
        <f t="shared" si="7"/>
        <v>61.169903506318093</v>
      </c>
      <c r="AD24" s="148">
        <f t="shared" si="7"/>
        <v>58.51717228922422</v>
      </c>
      <c r="AE24" s="148">
        <f t="shared" si="7"/>
        <v>61.950377684103316</v>
      </c>
      <c r="AF24" s="148">
        <f t="shared" si="7"/>
        <v>55.381021076514656</v>
      </c>
      <c r="AG24" s="149" t="e">
        <f t="shared" si="7"/>
        <v>#N/A</v>
      </c>
      <c r="AH24" s="4"/>
      <c r="AI24" s="12" t="s">
        <v>21</v>
      </c>
      <c r="AJ24" s="150">
        <f t="shared" si="5"/>
        <v>65.519983730609468</v>
      </c>
      <c r="AK24" s="19">
        <f t="shared" si="6"/>
        <v>62.14859698592268</v>
      </c>
      <c r="AL24" s="150" t="e">
        <f t="shared" si="6"/>
        <v>#N/A</v>
      </c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</row>
    <row r="25" spans="1:63" ht="15" thickBot="1" x14ac:dyDescent="0.4">
      <c r="A25" s="12" t="str">
        <f t="shared" si="4"/>
        <v>NPgY_Unplanned customer interruptions (unweighted, excluding exceptional events)</v>
      </c>
      <c r="B25" s="14" t="str">
        <f>GB!A24</f>
        <v>NPgY</v>
      </c>
      <c r="C25" s="14" t="str">
        <f>GB!B24</f>
        <v>Unplanned customer interruptions (unweighted, excluding exceptional events)</v>
      </c>
      <c r="D25" s="56" t="str">
        <f>GB!C24</f>
        <v>CI</v>
      </c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>
        <f>GB!D24</f>
        <v>68.092368373417699</v>
      </c>
      <c r="Q25" s="13">
        <f>GB!E24</f>
        <v>67.399229248732823</v>
      </c>
      <c r="R25" s="13">
        <f>GB!F24</f>
        <v>70.448783234890556</v>
      </c>
      <c r="S25" s="13">
        <f>GB!G24</f>
        <v>62.475301415271012</v>
      </c>
      <c r="T25" s="13">
        <f>GB!H24</f>
        <v>59.184236380735221</v>
      </c>
      <c r="U25" s="13">
        <f>GB!I24</f>
        <v>51.235434649983716</v>
      </c>
      <c r="V25" s="19"/>
      <c r="X25" s="145" t="s">
        <v>21</v>
      </c>
      <c r="Y25" s="146" t="s">
        <v>2</v>
      </c>
      <c r="Z25" s="147" t="s">
        <v>6</v>
      </c>
      <c r="AA25" s="148">
        <f t="shared" si="7"/>
        <v>68.092368373417699</v>
      </c>
      <c r="AB25" s="148">
        <f t="shared" si="7"/>
        <v>67.399229248732823</v>
      </c>
      <c r="AC25" s="148">
        <f t="shared" si="7"/>
        <v>70.448783234890556</v>
      </c>
      <c r="AD25" s="148">
        <f t="shared" si="7"/>
        <v>62.475301415271012</v>
      </c>
      <c r="AE25" s="148">
        <f t="shared" si="7"/>
        <v>59.184236380735221</v>
      </c>
      <c r="AF25" s="148">
        <f t="shared" si="7"/>
        <v>51.235434649983716</v>
      </c>
      <c r="AG25" s="149" t="e">
        <f t="shared" si="7"/>
        <v>#N/A</v>
      </c>
      <c r="AH25" s="4"/>
      <c r="AI25" s="12" t="s">
        <v>22</v>
      </c>
      <c r="AJ25" s="150">
        <f t="shared" si="5"/>
        <v>50.430304016902511</v>
      </c>
      <c r="AK25" s="19">
        <f t="shared" si="6"/>
        <v>49.262345783807305</v>
      </c>
      <c r="AL25" s="150" t="e">
        <f t="shared" si="6"/>
        <v>#N/A</v>
      </c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</row>
    <row r="26" spans="1:63" ht="15" thickBot="1" x14ac:dyDescent="0.4">
      <c r="A26" s="16" t="str">
        <f t="shared" si="4"/>
        <v>NPgY_Unplanned customer minutes lost (unweighted, excluding exceptional events)</v>
      </c>
      <c r="B26" s="18" t="str">
        <f>GB!A25</f>
        <v>NPgY</v>
      </c>
      <c r="C26" s="18" t="str">
        <f>GB!B25</f>
        <v>Unplanned customer minutes lost (unweighted, excluding exceptional events)</v>
      </c>
      <c r="D26" s="57" t="str">
        <f>GB!C25</f>
        <v>CML</v>
      </c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>
        <f>GB!D25</f>
        <v>63.015871934339472</v>
      </c>
      <c r="Q26" s="17">
        <f>GB!E25</f>
        <v>59.517198278904942</v>
      </c>
      <c r="R26" s="17">
        <f>GB!F25</f>
        <v>57.795214932674284</v>
      </c>
      <c r="S26" s="17">
        <f>GB!G25</f>
        <v>52.508274771706965</v>
      </c>
      <c r="T26" s="17">
        <f>GB!H25</f>
        <v>45.843044726809111</v>
      </c>
      <c r="U26" s="17">
        <f>GB!I25</f>
        <v>38.012099687456619</v>
      </c>
      <c r="V26" s="20"/>
      <c r="X26" s="145" t="s">
        <v>22</v>
      </c>
      <c r="Y26" s="146" t="s">
        <v>2</v>
      </c>
      <c r="Z26" s="147" t="s">
        <v>6</v>
      </c>
      <c r="AA26" s="148">
        <f t="shared" si="7"/>
        <v>50.591869288185691</v>
      </c>
      <c r="AB26" s="148">
        <f t="shared" si="7"/>
        <v>49.46399446462064</v>
      </c>
      <c r="AC26" s="148">
        <f t="shared" si="7"/>
        <v>51.109401065367727</v>
      </c>
      <c r="AD26" s="148">
        <f t="shared" si="7"/>
        <v>49.87817165280093</v>
      </c>
      <c r="AE26" s="148">
        <f t="shared" si="7"/>
        <v>51.108083613537552</v>
      </c>
      <c r="AF26" s="148">
        <f t="shared" si="7"/>
        <v>44.752078122709655</v>
      </c>
      <c r="AG26" s="149" t="e">
        <f t="shared" si="7"/>
        <v>#N/A</v>
      </c>
      <c r="AH26" s="4"/>
      <c r="AI26" s="12" t="s">
        <v>23</v>
      </c>
      <c r="AJ26" s="150">
        <f t="shared" si="5"/>
        <v>35.159217189675459</v>
      </c>
      <c r="AK26" s="19">
        <f t="shared" si="6"/>
        <v>33.668412802839683</v>
      </c>
      <c r="AL26" s="150" t="e">
        <f t="shared" si="6"/>
        <v>#N/A</v>
      </c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</row>
    <row r="27" spans="1:63" ht="15" thickBot="1" x14ac:dyDescent="0.4">
      <c r="A27" s="10" t="str">
        <f t="shared" si="4"/>
        <v>SPD_Unplanned customer interruptions (unweighted, including exceptional events)</v>
      </c>
      <c r="B27" s="11" t="str">
        <f>GB!A26</f>
        <v>SPD</v>
      </c>
      <c r="C27" s="11" t="str">
        <f>GB!B26</f>
        <v>Unplanned customer interruptions (unweighted, including exceptional events)</v>
      </c>
      <c r="D27" s="53" t="str">
        <f>GB!C26</f>
        <v>CI</v>
      </c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>
        <f>GB!D26</f>
        <v>53.731869288185692</v>
      </c>
      <c r="Q27" s="54">
        <f>GB!E26</f>
        <v>50.483994464620643</v>
      </c>
      <c r="R27" s="54">
        <f>GB!F26</f>
        <v>65.619401065367725</v>
      </c>
      <c r="S27" s="54">
        <f>GB!G26</f>
        <v>52.008171652800932</v>
      </c>
      <c r="T27" s="54">
        <f>GB!H26</f>
        <v>58.318083613537553</v>
      </c>
      <c r="U27" s="54">
        <f>GB!I26</f>
        <v>47.682078122709655</v>
      </c>
      <c r="V27" s="55"/>
      <c r="X27" s="145" t="s">
        <v>23</v>
      </c>
      <c r="Y27" s="146" t="s">
        <v>2</v>
      </c>
      <c r="Z27" s="147" t="s">
        <v>6</v>
      </c>
      <c r="AA27" s="148">
        <f t="shared" si="7"/>
        <v>37.274405395332664</v>
      </c>
      <c r="AB27" s="148">
        <f t="shared" si="7"/>
        <v>36.803740045638392</v>
      </c>
      <c r="AC27" s="148">
        <f t="shared" si="7"/>
        <v>32.674866977004356</v>
      </c>
      <c r="AD27" s="148">
        <f t="shared" si="7"/>
        <v>31.111271353956013</v>
      </c>
      <c r="AE27" s="148">
        <f t="shared" si="7"/>
        <v>37.931802176445913</v>
      </c>
      <c r="AF27" s="148">
        <f t="shared" si="7"/>
        <v>29.820383461153721</v>
      </c>
      <c r="AG27" s="149" t="e">
        <f t="shared" si="7"/>
        <v>#N/A</v>
      </c>
      <c r="AH27" s="4"/>
      <c r="AI27" s="12" t="s">
        <v>24</v>
      </c>
      <c r="AJ27" s="150">
        <f t="shared" si="5"/>
        <v>58.256000000000007</v>
      </c>
      <c r="AK27" s="19">
        <f t="shared" si="6"/>
        <v>52.410240000000002</v>
      </c>
      <c r="AL27" s="150" t="e">
        <f t="shared" si="6"/>
        <v>#N/A</v>
      </c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</row>
    <row r="28" spans="1:63" ht="15" thickBot="1" x14ac:dyDescent="0.4">
      <c r="A28" s="12" t="str">
        <f t="shared" si="4"/>
        <v>SPD_Unplanned customer minutes lost (unweighted, including exceptional events)</v>
      </c>
      <c r="B28" s="14" t="str">
        <f>GB!A27</f>
        <v>SPD</v>
      </c>
      <c r="C28" s="14" t="str">
        <f>GB!B27</f>
        <v>Unplanned customer minutes lost (unweighted, including exceptional events)</v>
      </c>
      <c r="D28" s="56" t="str">
        <f>GB!C27</f>
        <v>CML</v>
      </c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>
        <f>GB!D27</f>
        <v>64.44442157431709</v>
      </c>
      <c r="Q28" s="13">
        <f>GB!E27</f>
        <v>48.315132779862296</v>
      </c>
      <c r="R28" s="13">
        <f>GB!F27</f>
        <v>94.960689806297239</v>
      </c>
      <c r="S28" s="13">
        <f>GB!G27</f>
        <v>52.956052819175127</v>
      </c>
      <c r="T28" s="13">
        <f>GB!H27</f>
        <v>53.895633822426156</v>
      </c>
      <c r="U28" s="13">
        <f>GB!I27</f>
        <v>34.561122948289565</v>
      </c>
      <c r="V28" s="19"/>
      <c r="X28" s="145" t="s">
        <v>24</v>
      </c>
      <c r="Y28" s="146" t="s">
        <v>2</v>
      </c>
      <c r="Z28" s="147" t="s">
        <v>6</v>
      </c>
      <c r="AA28" s="148">
        <f t="shared" si="7"/>
        <v>76.900000000000006</v>
      </c>
      <c r="AB28" s="148">
        <f t="shared" si="7"/>
        <v>53.5</v>
      </c>
      <c r="AC28" s="148">
        <f t="shared" si="7"/>
        <v>54.95</v>
      </c>
      <c r="AD28" s="148">
        <f t="shared" si="7"/>
        <v>55.83</v>
      </c>
      <c r="AE28" s="148">
        <f t="shared" si="7"/>
        <v>50.1</v>
      </c>
      <c r="AF28" s="148">
        <f t="shared" si="7"/>
        <v>47.671199999999999</v>
      </c>
      <c r="AG28" s="149" t="e">
        <f t="shared" si="7"/>
        <v>#N/A</v>
      </c>
      <c r="AH28" s="4"/>
      <c r="AI28" s="12" t="s">
        <v>9</v>
      </c>
      <c r="AJ28" s="150">
        <f t="shared" si="5"/>
        <v>71.8</v>
      </c>
      <c r="AK28" s="19">
        <f t="shared" si="6"/>
        <v>71.441999999999993</v>
      </c>
      <c r="AL28" s="150" t="e">
        <f t="shared" si="6"/>
        <v>#N/A</v>
      </c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</row>
    <row r="29" spans="1:63" ht="15" thickBot="1" x14ac:dyDescent="0.4">
      <c r="A29" s="12" t="str">
        <f t="shared" si="4"/>
        <v>SPD_Unplanned customer interruptions (unweighted, excluding exceptional events)</v>
      </c>
      <c r="B29" s="14" t="str">
        <f>GB!A28</f>
        <v>SPD</v>
      </c>
      <c r="C29" s="14" t="str">
        <f>GB!B28</f>
        <v>Unplanned customer interruptions (unweighted, excluding exceptional events)</v>
      </c>
      <c r="D29" s="56" t="str">
        <f>GB!C28</f>
        <v>CI</v>
      </c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>
        <f>GB!D28</f>
        <v>50.591869288185691</v>
      </c>
      <c r="Q29" s="13">
        <f>GB!E28</f>
        <v>49.46399446462064</v>
      </c>
      <c r="R29" s="13">
        <f>GB!F28</f>
        <v>51.109401065367727</v>
      </c>
      <c r="S29" s="13">
        <f>GB!G28</f>
        <v>49.87817165280093</v>
      </c>
      <c r="T29" s="13">
        <f>GB!H28</f>
        <v>51.108083613537552</v>
      </c>
      <c r="U29" s="13">
        <f>GB!I28</f>
        <v>44.752078122709655</v>
      </c>
      <c r="V29" s="19"/>
      <c r="X29" s="145" t="s">
        <v>9</v>
      </c>
      <c r="Y29" s="146" t="s">
        <v>2</v>
      </c>
      <c r="Z29" s="147" t="s">
        <v>6</v>
      </c>
      <c r="AA29" s="148">
        <f t="shared" si="7"/>
        <v>74</v>
      </c>
      <c r="AB29" s="148">
        <f t="shared" si="7"/>
        <v>71</v>
      </c>
      <c r="AC29" s="148">
        <f t="shared" si="7"/>
        <v>69</v>
      </c>
      <c r="AD29" s="148">
        <f t="shared" si="7"/>
        <v>75</v>
      </c>
      <c r="AE29" s="148">
        <f t="shared" si="7"/>
        <v>70</v>
      </c>
      <c r="AF29" s="148">
        <f t="shared" si="7"/>
        <v>72.209999999999994</v>
      </c>
      <c r="AG29" s="149" t="e">
        <f t="shared" si="7"/>
        <v>#N/A</v>
      </c>
      <c r="AH29" s="4"/>
      <c r="AI29" s="12" t="s">
        <v>25</v>
      </c>
      <c r="AJ29" s="150">
        <f t="shared" si="5"/>
        <v>62.6</v>
      </c>
      <c r="AK29" s="19">
        <f t="shared" si="6"/>
        <v>59.6</v>
      </c>
      <c r="AL29" s="150" t="e">
        <f t="shared" si="6"/>
        <v>#N/A</v>
      </c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</row>
    <row r="30" spans="1:63" ht="15" thickBot="1" x14ac:dyDescent="0.4">
      <c r="A30" s="16" t="str">
        <f t="shared" si="4"/>
        <v>SPD_Unplanned customer minutes lost (unweighted, excluding exceptional events)</v>
      </c>
      <c r="B30" s="18" t="str">
        <f>GB!A29</f>
        <v>SPD</v>
      </c>
      <c r="C30" s="18" t="str">
        <f>GB!B29</f>
        <v>Unplanned customer minutes lost (unweighted, excluding exceptional events)</v>
      </c>
      <c r="D30" s="57" t="str">
        <f>GB!C29</f>
        <v>CML</v>
      </c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>
        <f>GB!D29</f>
        <v>48.774421574317088</v>
      </c>
      <c r="Q30" s="17">
        <f>GB!E29</f>
        <v>46.565132779862296</v>
      </c>
      <c r="R30" s="17">
        <f>GB!F29</f>
        <v>45.160689806297242</v>
      </c>
      <c r="S30" s="17">
        <f>GB!G29</f>
        <v>41.396052819175125</v>
      </c>
      <c r="T30" s="17">
        <f>GB!H29</f>
        <v>39.265633822426153</v>
      </c>
      <c r="U30" s="17">
        <f>GB!I29</f>
        <v>29.491122948289565</v>
      </c>
      <c r="V30" s="20"/>
      <c r="X30" s="145" t="s">
        <v>25</v>
      </c>
      <c r="Y30" s="146" t="s">
        <v>2</v>
      </c>
      <c r="Z30" s="147" t="s">
        <v>6</v>
      </c>
      <c r="AA30" s="148">
        <f t="shared" si="7"/>
        <v>61</v>
      </c>
      <c r="AB30" s="148">
        <f t="shared" si="7"/>
        <v>68</v>
      </c>
      <c r="AC30" s="148">
        <f t="shared" si="7"/>
        <v>59</v>
      </c>
      <c r="AD30" s="148">
        <f t="shared" si="7"/>
        <v>67</v>
      </c>
      <c r="AE30" s="148">
        <f t="shared" si="7"/>
        <v>58</v>
      </c>
      <c r="AF30" s="148">
        <f t="shared" si="7"/>
        <v>46</v>
      </c>
      <c r="AG30" s="149" t="e">
        <f t="shared" si="7"/>
        <v>#N/A</v>
      </c>
      <c r="AH30" s="4"/>
      <c r="AI30" s="12" t="s">
        <v>26</v>
      </c>
      <c r="AJ30" s="150">
        <f t="shared" si="5"/>
        <v>49.42</v>
      </c>
      <c r="AK30" s="19">
        <f t="shared" si="6"/>
        <v>47.16</v>
      </c>
      <c r="AL30" s="150" t="e">
        <f t="shared" si="6"/>
        <v>#N/A</v>
      </c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</row>
    <row r="31" spans="1:63" ht="15" thickBot="1" x14ac:dyDescent="0.4">
      <c r="A31" s="10" t="str">
        <f t="shared" si="4"/>
        <v>SPMW_Unplanned customer interruptions (unweighted, including exceptional events)</v>
      </c>
      <c r="B31" s="11" t="str">
        <f>GB!A30</f>
        <v>SPMW</v>
      </c>
      <c r="C31" s="11" t="str">
        <f>GB!B30</f>
        <v>Unplanned customer interruptions (unweighted, including exceptional events)</v>
      </c>
      <c r="D31" s="53" t="str">
        <f>GB!C30</f>
        <v>CI</v>
      </c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>
        <f>GB!D30</f>
        <v>37.274405395332664</v>
      </c>
      <c r="Q31" s="54">
        <f>GB!E30</f>
        <v>40.823740045638395</v>
      </c>
      <c r="R31" s="54">
        <f>GB!F30</f>
        <v>33.404866977004353</v>
      </c>
      <c r="S31" s="54">
        <f>GB!G30</f>
        <v>34.321271353956014</v>
      </c>
      <c r="T31" s="54">
        <f>GB!H30</f>
        <v>54.861802176445913</v>
      </c>
      <c r="U31" s="54">
        <f>GB!I30</f>
        <v>30.550383461153721</v>
      </c>
      <c r="V31" s="55"/>
      <c r="X31" s="145" t="s">
        <v>26</v>
      </c>
      <c r="Y31" s="146" t="s">
        <v>2</v>
      </c>
      <c r="Z31" s="147" t="s">
        <v>6</v>
      </c>
      <c r="AA31" s="148">
        <f t="shared" si="7"/>
        <v>55.09</v>
      </c>
      <c r="AB31" s="148">
        <f t="shared" si="7"/>
        <v>49.21</v>
      </c>
      <c r="AC31" s="148">
        <f t="shared" si="7"/>
        <v>44.4</v>
      </c>
      <c r="AD31" s="148">
        <f t="shared" si="7"/>
        <v>45.76</v>
      </c>
      <c r="AE31" s="148">
        <f t="shared" si="7"/>
        <v>52.64</v>
      </c>
      <c r="AF31" s="148">
        <f t="shared" si="7"/>
        <v>43.79</v>
      </c>
      <c r="AG31" s="149" t="e">
        <f t="shared" si="7"/>
        <v>#N/A</v>
      </c>
      <c r="AH31" s="4"/>
      <c r="AI31" s="12" t="s">
        <v>27</v>
      </c>
      <c r="AJ31" s="150">
        <f t="shared" si="5"/>
        <v>52.748000000000005</v>
      </c>
      <c r="AK31" s="19">
        <f t="shared" si="6"/>
        <v>50.653999999999996</v>
      </c>
      <c r="AL31" s="150" t="e">
        <f t="shared" si="6"/>
        <v>#N/A</v>
      </c>
      <c r="AM31" s="4"/>
      <c r="AN31" s="4"/>
      <c r="AO31" s="4"/>
      <c r="AP31" s="4"/>
      <c r="AQ31" s="4"/>
      <c r="AR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</row>
    <row r="32" spans="1:63" ht="15" thickBot="1" x14ac:dyDescent="0.4">
      <c r="A32" s="12" t="str">
        <f t="shared" si="4"/>
        <v>SPMW_Unplanned customer minutes lost (unweighted, including exceptional events)</v>
      </c>
      <c r="B32" s="14" t="str">
        <f>GB!A31</f>
        <v>SPMW</v>
      </c>
      <c r="C32" s="14" t="str">
        <f>GB!B31</f>
        <v>Unplanned customer minutes lost (unweighted, including exceptional events)</v>
      </c>
      <c r="D32" s="56" t="str">
        <f>GB!C31</f>
        <v>CML</v>
      </c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>
        <f>GB!D31</f>
        <v>39.656660832550997</v>
      </c>
      <c r="Q32" s="13">
        <f>GB!E31</f>
        <v>46.965719356860866</v>
      </c>
      <c r="R32" s="13">
        <f>GB!F31</f>
        <v>33.078726001941625</v>
      </c>
      <c r="S32" s="13">
        <f>GB!G31</f>
        <v>43.229582737210094</v>
      </c>
      <c r="T32" s="13">
        <f>GB!H31</f>
        <v>129.6600201703707</v>
      </c>
      <c r="U32" s="13">
        <f>GB!I31</f>
        <v>27.209677892630879</v>
      </c>
      <c r="V32" s="19"/>
      <c r="X32" s="145" t="s">
        <v>27</v>
      </c>
      <c r="Y32" s="146" t="s">
        <v>2</v>
      </c>
      <c r="Z32" s="147" t="s">
        <v>6</v>
      </c>
      <c r="AA32" s="148">
        <f t="shared" si="7"/>
        <v>58.33</v>
      </c>
      <c r="AB32" s="148">
        <f t="shared" si="7"/>
        <v>50.43</v>
      </c>
      <c r="AC32" s="148">
        <f t="shared" si="7"/>
        <v>56.74</v>
      </c>
      <c r="AD32" s="148">
        <f t="shared" si="7"/>
        <v>50.01</v>
      </c>
      <c r="AE32" s="148">
        <f t="shared" si="7"/>
        <v>48.23</v>
      </c>
      <c r="AF32" s="148">
        <f t="shared" si="7"/>
        <v>47.86</v>
      </c>
      <c r="AG32" s="149" t="e">
        <f t="shared" si="7"/>
        <v>#N/A</v>
      </c>
      <c r="AH32" s="4"/>
      <c r="AI32" s="12" t="s">
        <v>28</v>
      </c>
      <c r="AJ32" s="150">
        <f t="shared" si="5"/>
        <v>79.083999999999989</v>
      </c>
      <c r="AK32" s="19">
        <f t="shared" si="6"/>
        <v>72.281999999999996</v>
      </c>
      <c r="AL32" s="150" t="e">
        <f t="shared" si="6"/>
        <v>#N/A</v>
      </c>
      <c r="AM32" s="4"/>
      <c r="AN32" s="4"/>
      <c r="AO32" s="4"/>
      <c r="AP32" s="4"/>
      <c r="AQ32" s="4"/>
      <c r="AR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</row>
    <row r="33" spans="1:63" ht="15" thickBot="1" x14ac:dyDescent="0.4">
      <c r="A33" s="12" t="str">
        <f t="shared" si="4"/>
        <v>SPMW_Unplanned customer interruptions (unweighted, excluding exceptional events)</v>
      </c>
      <c r="B33" s="14" t="str">
        <f>GB!A32</f>
        <v>SPMW</v>
      </c>
      <c r="C33" s="14" t="str">
        <f>GB!B32</f>
        <v>Unplanned customer interruptions (unweighted, excluding exceptional events)</v>
      </c>
      <c r="D33" s="56" t="str">
        <f>GB!C32</f>
        <v>CI</v>
      </c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>
        <f>GB!D32</f>
        <v>37.274405395332664</v>
      </c>
      <c r="Q33" s="13">
        <f>GB!E32</f>
        <v>36.803740045638392</v>
      </c>
      <c r="R33" s="13">
        <f>GB!F32</f>
        <v>32.674866977004356</v>
      </c>
      <c r="S33" s="13">
        <f>GB!G32</f>
        <v>31.111271353956013</v>
      </c>
      <c r="T33" s="13">
        <f>GB!H32</f>
        <v>37.931802176445913</v>
      </c>
      <c r="U33" s="13">
        <f>GB!I32</f>
        <v>29.820383461153721</v>
      </c>
      <c r="V33" s="19"/>
      <c r="X33" s="145" t="s">
        <v>28</v>
      </c>
      <c r="Y33" s="146" t="s">
        <v>2</v>
      </c>
      <c r="Z33" s="147" t="s">
        <v>6</v>
      </c>
      <c r="AA33" s="148">
        <f t="shared" si="7"/>
        <v>97.35</v>
      </c>
      <c r="AB33" s="148">
        <f t="shared" si="7"/>
        <v>70.66</v>
      </c>
      <c r="AC33" s="148">
        <f t="shared" si="7"/>
        <v>81.33</v>
      </c>
      <c r="AD33" s="148">
        <f t="shared" si="7"/>
        <v>78.5</v>
      </c>
      <c r="AE33" s="148">
        <f t="shared" si="7"/>
        <v>67.58</v>
      </c>
      <c r="AF33" s="148">
        <f t="shared" si="7"/>
        <v>63.34</v>
      </c>
      <c r="AG33" s="149" t="e">
        <f t="shared" si="7"/>
        <v>#N/A</v>
      </c>
      <c r="AH33" s="4"/>
      <c r="AI33" s="16" t="s">
        <v>33</v>
      </c>
      <c r="AJ33" s="151">
        <f t="shared" si="5"/>
        <v>67.48</v>
      </c>
      <c r="AK33" s="20">
        <f t="shared" si="6"/>
        <v>64.540000000000006</v>
      </c>
      <c r="AL33" s="151" t="e">
        <f t="shared" si="6"/>
        <v>#N/A</v>
      </c>
      <c r="AM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</row>
    <row r="34" spans="1:63" ht="15" thickBot="1" x14ac:dyDescent="0.4">
      <c r="A34" s="16" t="str">
        <f t="shared" si="4"/>
        <v>SPMW_Unplanned customer minutes lost (unweighted, excluding exceptional events)</v>
      </c>
      <c r="B34" s="18" t="str">
        <f>GB!A33</f>
        <v>SPMW</v>
      </c>
      <c r="C34" s="18" t="str">
        <f>GB!B33</f>
        <v>Unplanned customer minutes lost (unweighted, excluding exceptional events)</v>
      </c>
      <c r="D34" s="57" t="str">
        <f>GB!C33</f>
        <v>CML</v>
      </c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>
        <f>GB!D33</f>
        <v>39.656660832550997</v>
      </c>
      <c r="Q34" s="17">
        <f>GB!E33</f>
        <v>39.365719356860865</v>
      </c>
      <c r="R34" s="17">
        <f>GB!F33</f>
        <v>32.248726001941627</v>
      </c>
      <c r="S34" s="17">
        <f>GB!G33</f>
        <v>32.609582737210097</v>
      </c>
      <c r="T34" s="17">
        <f>GB!H33</f>
        <v>34.680020170370696</v>
      </c>
      <c r="U34" s="17">
        <f>GB!I33</f>
        <v>26.549677892630879</v>
      </c>
      <c r="V34" s="20"/>
      <c r="X34" s="12" t="s">
        <v>33</v>
      </c>
      <c r="Y34" s="14" t="s">
        <v>2</v>
      </c>
      <c r="Z34" s="56" t="s">
        <v>6</v>
      </c>
      <c r="AA34" s="13">
        <f t="shared" si="7"/>
        <v>77.3</v>
      </c>
      <c r="AB34" s="13">
        <f t="shared" si="7"/>
        <v>64</v>
      </c>
      <c r="AC34" s="13">
        <f t="shared" si="7"/>
        <v>59.400000000000006</v>
      </c>
      <c r="AD34" s="13">
        <f t="shared" si="7"/>
        <v>63.2</v>
      </c>
      <c r="AE34" s="13">
        <f t="shared" si="7"/>
        <v>73.5</v>
      </c>
      <c r="AF34" s="13">
        <f t="shared" si="7"/>
        <v>62.6</v>
      </c>
      <c r="AG34" s="19" t="e">
        <f t="shared" si="7"/>
        <v>#N/A</v>
      </c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</row>
    <row r="35" spans="1:63" ht="15" thickBot="1" x14ac:dyDescent="0.4">
      <c r="A35" s="10" t="str">
        <f t="shared" si="4"/>
        <v>SPN_Unplanned customer interruptions (unweighted, including exceptional events)</v>
      </c>
      <c r="B35" s="11" t="str">
        <f>GB!A34</f>
        <v>SPN</v>
      </c>
      <c r="C35" s="11" t="str">
        <f>GB!B34</f>
        <v>Unplanned customer interruptions (unweighted, including exceptional events)</v>
      </c>
      <c r="D35" s="53" t="str">
        <f>GB!C34</f>
        <v>CI</v>
      </c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>
        <f>GB!D34</f>
        <v>78.125369410483557</v>
      </c>
      <c r="Q35" s="54">
        <f>GB!E34</f>
        <v>55.994999999999997</v>
      </c>
      <c r="R35" s="54">
        <f>GB!F34</f>
        <v>54.95</v>
      </c>
      <c r="S35" s="54">
        <f>GB!G34</f>
        <v>80.620818937973795</v>
      </c>
      <c r="T35" s="54">
        <f>GB!H34</f>
        <v>51.805</v>
      </c>
      <c r="U35" s="54">
        <f>GB!I34</f>
        <v>51.86</v>
      </c>
      <c r="V35" s="55"/>
      <c r="X35" s="48" t="s">
        <v>92</v>
      </c>
      <c r="Y35" s="60"/>
      <c r="Z35" s="60"/>
      <c r="AA35" s="60"/>
      <c r="AB35" s="60"/>
      <c r="AC35" s="60"/>
      <c r="AD35" s="60"/>
      <c r="AE35" s="60"/>
      <c r="AF35" s="60"/>
      <c r="AG35" s="49"/>
      <c r="AH35" s="2"/>
      <c r="AI35" s="48" t="s">
        <v>95</v>
      </c>
      <c r="AJ35" s="153" t="s">
        <v>42</v>
      </c>
      <c r="AK35" s="153" t="s">
        <v>43</v>
      </c>
      <c r="AL35" s="153" t="s">
        <v>137</v>
      </c>
      <c r="AM35" s="2"/>
      <c r="AN35" s="21" t="s">
        <v>78</v>
      </c>
      <c r="AO35" s="157">
        <f>Cover!$F$42</f>
        <v>2</v>
      </c>
      <c r="AP35" s="24" t="s">
        <v>84</v>
      </c>
      <c r="AQ35" s="4"/>
      <c r="AR35" s="22" t="s">
        <v>40</v>
      </c>
      <c r="AS35" s="23"/>
      <c r="AU35" s="48" t="s">
        <v>142</v>
      </c>
      <c r="AV35" s="49"/>
    </row>
    <row r="36" spans="1:63" ht="15" thickBot="1" x14ac:dyDescent="0.4">
      <c r="A36" s="12" t="str">
        <f t="shared" si="4"/>
        <v>SPN_Unplanned customer minutes lost (unweighted, including exceptional events)</v>
      </c>
      <c r="B36" s="14" t="str">
        <f>GB!A35</f>
        <v>SPN</v>
      </c>
      <c r="C36" s="14" t="str">
        <f>GB!B35</f>
        <v>Unplanned customer minutes lost (unweighted, including exceptional events)</v>
      </c>
      <c r="D36" s="56" t="str">
        <f>GB!C35</f>
        <v>CML</v>
      </c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>
        <f>GB!D35</f>
        <v>73.222143494283259</v>
      </c>
      <c r="Q36" s="13">
        <f>GB!E35</f>
        <v>46.277000000000008</v>
      </c>
      <c r="R36" s="13">
        <f>GB!F35</f>
        <v>47.015000000000001</v>
      </c>
      <c r="S36" s="13">
        <f>GB!G35</f>
        <v>133.04807925984153</v>
      </c>
      <c r="T36" s="13">
        <f>GB!H35</f>
        <v>36.895000000000003</v>
      </c>
      <c r="U36" s="13">
        <f>GB!I35</f>
        <v>40.020000000000003</v>
      </c>
      <c r="V36" s="19"/>
      <c r="X36" s="141" t="s">
        <v>8</v>
      </c>
      <c r="Y36" s="142" t="s">
        <v>4</v>
      </c>
      <c r="Z36" s="143" t="s">
        <v>5</v>
      </c>
      <c r="AA36" s="143">
        <v>2011</v>
      </c>
      <c r="AB36" s="143">
        <v>2012</v>
      </c>
      <c r="AC36" s="143">
        <v>2013</v>
      </c>
      <c r="AD36" s="143">
        <v>2014</v>
      </c>
      <c r="AE36" s="143">
        <v>2015</v>
      </c>
      <c r="AF36" s="143">
        <v>2016</v>
      </c>
      <c r="AG36" s="144">
        <v>2017</v>
      </c>
      <c r="AH36" s="4"/>
      <c r="AI36" s="12" t="s">
        <v>16</v>
      </c>
      <c r="AJ36" s="150">
        <f t="shared" ref="AJ36:AL50" si="8">AJ2/AJ19</f>
        <v>0.6124685732243873</v>
      </c>
      <c r="AK36" s="150">
        <f t="shared" si="8"/>
        <v>0.53899005226774566</v>
      </c>
      <c r="AL36" s="150" t="e">
        <f t="shared" si="8"/>
        <v>#N/A</v>
      </c>
      <c r="AM36" s="4"/>
      <c r="AN36" s="12" t="s">
        <v>38</v>
      </c>
      <c r="AO36" s="19">
        <f>CHOOSE(Cover!$F$37,QUARTILE('CML analysis 1'!$AJ$36:$AJ$50,1),QUARTILE($AK$36:$AK$50,1),QUARTILE('CML analysis 1'!$AL$36:$AL$50,1))</f>
        <v>0.71623844800184977</v>
      </c>
      <c r="AP36" s="155">
        <v>1</v>
      </c>
      <c r="AR36" s="6" t="s">
        <v>16</v>
      </c>
      <c r="AS36" s="7">
        <f>CHOOSE($AO$35,$AO$36*$AK19,$AO$37*$AK19,$AO$38*$AK19)</f>
        <v>38.344977219230863</v>
      </c>
      <c r="AU36" s="160" t="s">
        <v>139</v>
      </c>
      <c r="AV36" s="159">
        <f>Cover!$F$48</f>
        <v>0.75</v>
      </c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</row>
    <row r="37" spans="1:63" ht="15" thickBot="1" x14ac:dyDescent="0.4">
      <c r="A37" s="12" t="str">
        <f t="shared" si="4"/>
        <v>SPN_Unplanned customer interruptions (unweighted, excluding exceptional events)</v>
      </c>
      <c r="B37" s="14" t="str">
        <f>GB!A36</f>
        <v>SPN</v>
      </c>
      <c r="C37" s="14" t="str">
        <f>GB!B36</f>
        <v>Unplanned customer interruptions (unweighted, excluding exceptional events)</v>
      </c>
      <c r="D37" s="56" t="str">
        <f>GB!C36</f>
        <v>CI</v>
      </c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>
        <f>GB!D36</f>
        <v>76.900000000000006</v>
      </c>
      <c r="Q37" s="13">
        <f>GB!E36</f>
        <v>53.5</v>
      </c>
      <c r="R37" s="13">
        <f>GB!F36</f>
        <v>54.95</v>
      </c>
      <c r="S37" s="13">
        <f>GB!G36</f>
        <v>55.83</v>
      </c>
      <c r="T37" s="13">
        <f>GB!H36</f>
        <v>50.1</v>
      </c>
      <c r="U37" s="13">
        <f>GB!I36</f>
        <v>47.671199999999999</v>
      </c>
      <c r="V37" s="19"/>
      <c r="X37" s="145" t="s">
        <v>16</v>
      </c>
      <c r="Y37" s="146" t="s">
        <v>2</v>
      </c>
      <c r="Z37" s="147" t="s">
        <v>37</v>
      </c>
      <c r="AA37" s="148">
        <f>AA3/AA20</f>
        <v>0.81254237288135589</v>
      </c>
      <c r="AB37" s="148">
        <f t="shared" ref="AB37:AF38" si="9">AB3/AB20</f>
        <v>0.64289911851126347</v>
      </c>
      <c r="AC37" s="148">
        <f t="shared" si="9"/>
        <v>0.60653650254668934</v>
      </c>
      <c r="AD37" s="148">
        <f t="shared" si="9"/>
        <v>0.47880870561282929</v>
      </c>
      <c r="AE37" s="148">
        <f t="shared" si="9"/>
        <v>0.47744945567651631</v>
      </c>
      <c r="AF37" s="148">
        <f t="shared" si="9"/>
        <v>0.47744721689059499</v>
      </c>
      <c r="AG37" s="149" t="e">
        <f>AG3/AG20</f>
        <v>#N/A</v>
      </c>
      <c r="AH37" s="4"/>
      <c r="AI37" s="12" t="s">
        <v>17</v>
      </c>
      <c r="AJ37" s="150">
        <f t="shared" si="8"/>
        <v>0.89948097709632857</v>
      </c>
      <c r="AK37" s="150">
        <f t="shared" si="8"/>
        <v>0.88584292146073018</v>
      </c>
      <c r="AL37" s="150" t="e">
        <f t="shared" ref="AL37:AL50" si="10">AL3/AL20</f>
        <v>#N/A</v>
      </c>
      <c r="AM37" s="4"/>
      <c r="AN37" s="12" t="s">
        <v>39</v>
      </c>
      <c r="AO37" s="19">
        <f>CHOOSE(Cover!$F$37,AVERAGE($AJ$36:$AJ$50),AVERAGE($AK$36:$AK$50),AVERAGE('CML analysis 1'!$AL$36:$AL$50))</f>
        <v>0.80814738701801692</v>
      </c>
      <c r="AP37" s="155">
        <v>2</v>
      </c>
      <c r="AQ37" s="2"/>
      <c r="AR37" s="6" t="s">
        <v>17</v>
      </c>
      <c r="AS37" s="7">
        <f t="shared" ref="AS37:AS50" si="11">CHOOSE($AO$35,$AO$36*$AK20,$AO$37*$AK20,$AO$38*$AK20)</f>
        <v>32.30973253298032</v>
      </c>
      <c r="AU37" s="161" t="s">
        <v>144</v>
      </c>
      <c r="AV37" s="20">
        <f>Cover!$F$49</f>
        <v>0.25</v>
      </c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</row>
    <row r="38" spans="1:63" ht="15" thickBot="1" x14ac:dyDescent="0.4">
      <c r="A38" s="16" t="str">
        <f t="shared" si="4"/>
        <v>SPN_Unplanned customer minutes lost (unweighted, excluding exceptional events)</v>
      </c>
      <c r="B38" s="18" t="str">
        <f>GB!A37</f>
        <v>SPN</v>
      </c>
      <c r="C38" s="18" t="str">
        <f>GB!B37</f>
        <v>Unplanned customer minutes lost (unweighted, excluding exceptional events)</v>
      </c>
      <c r="D38" s="57" t="str">
        <f>GB!C37</f>
        <v>CML</v>
      </c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>
        <f>GB!D37</f>
        <v>73.2</v>
      </c>
      <c r="Q38" s="17">
        <f>GB!E37</f>
        <v>43</v>
      </c>
      <c r="R38" s="17">
        <f>GB!F37</f>
        <v>47.02</v>
      </c>
      <c r="S38" s="17">
        <f>GB!G37</f>
        <v>53.15</v>
      </c>
      <c r="T38" s="17">
        <f>GB!H37</f>
        <v>35.04</v>
      </c>
      <c r="U38" s="17">
        <f>GB!I37</f>
        <v>33.967200000000005</v>
      </c>
      <c r="V38" s="20"/>
      <c r="X38" s="145" t="s">
        <v>17</v>
      </c>
      <c r="Y38" s="146" t="s">
        <v>2</v>
      </c>
      <c r="Z38" s="147" t="s">
        <v>37</v>
      </c>
      <c r="AA38" s="148">
        <f t="shared" ref="AA38:AG38" si="12">AA4/AA21</f>
        <v>0.88587075575027385</v>
      </c>
      <c r="AB38" s="148">
        <f t="shared" si="9"/>
        <v>0.91676300578034675</v>
      </c>
      <c r="AC38" s="148">
        <f t="shared" si="12"/>
        <v>0.96415607985480944</v>
      </c>
      <c r="AD38" s="148">
        <f t="shared" si="12"/>
        <v>0.87414886123503155</v>
      </c>
      <c r="AE38" s="148">
        <f t="shared" si="12"/>
        <v>0.84436701509872247</v>
      </c>
      <c r="AF38" s="148">
        <f t="shared" si="12"/>
        <v>0.80528981429375357</v>
      </c>
      <c r="AG38" s="149" t="e">
        <f t="shared" si="12"/>
        <v>#N/A</v>
      </c>
      <c r="AH38" s="4"/>
      <c r="AI38" s="12" t="s">
        <v>18</v>
      </c>
      <c r="AJ38" s="150">
        <f t="shared" si="8"/>
        <v>0.81916363179706153</v>
      </c>
      <c r="AK38" s="150">
        <f t="shared" si="8"/>
        <v>0.79161931318694267</v>
      </c>
      <c r="AL38" s="150" t="e">
        <f t="shared" si="10"/>
        <v>#N/A</v>
      </c>
      <c r="AM38" s="4"/>
      <c r="AN38" s="16" t="s">
        <v>9</v>
      </c>
      <c r="AO38" s="20">
        <f>CHOOSE(Cover!$F$37,'CML analysis 1'!$AJ$45,'CML analysis 1'!$AK$45,'CML analysis 1'!$AL$45)</f>
        <v>0.99076173679348289</v>
      </c>
      <c r="AP38" s="156">
        <v>3</v>
      </c>
      <c r="AQ38" s="4"/>
      <c r="AR38" s="6" t="s">
        <v>18</v>
      </c>
      <c r="AS38" s="7">
        <f t="shared" si="11"/>
        <v>44.585636808313659</v>
      </c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</row>
    <row r="39" spans="1:63" ht="15" thickBot="1" x14ac:dyDescent="0.4">
      <c r="A39" s="10" t="str">
        <f t="shared" si="4"/>
        <v>SSEH_Unplanned customer interruptions (unweighted, including exceptional events)</v>
      </c>
      <c r="B39" s="11" t="str">
        <f>GB!A38</f>
        <v>SSEH</v>
      </c>
      <c r="C39" s="11" t="str">
        <f>GB!B38</f>
        <v>Unplanned customer interruptions (unweighted, including exceptional events)</v>
      </c>
      <c r="D39" s="53" t="str">
        <f>GB!C38</f>
        <v>CI</v>
      </c>
      <c r="E39" s="54"/>
      <c r="F39" s="54"/>
      <c r="G39" s="54"/>
      <c r="H39" s="54"/>
      <c r="I39" s="54"/>
      <c r="J39" s="54"/>
      <c r="K39" s="54"/>
      <c r="L39" s="54"/>
      <c r="M39" s="54"/>
      <c r="N39" s="54"/>
      <c r="O39" s="54"/>
      <c r="P39" s="54">
        <f>GB!D38</f>
        <v>74</v>
      </c>
      <c r="Q39" s="54">
        <f>GB!E38</f>
        <v>71</v>
      </c>
      <c r="R39" s="54">
        <f>GB!F38</f>
        <v>69</v>
      </c>
      <c r="S39" s="54">
        <f>GB!G38</f>
        <v>75</v>
      </c>
      <c r="T39" s="54">
        <f>GB!H38</f>
        <v>70</v>
      </c>
      <c r="U39" s="54">
        <f>GB!I38</f>
        <v>82.31</v>
      </c>
      <c r="V39" s="55"/>
      <c r="X39" s="145" t="s">
        <v>18</v>
      </c>
      <c r="Y39" s="146" t="s">
        <v>2</v>
      </c>
      <c r="Z39" s="147" t="s">
        <v>37</v>
      </c>
      <c r="AA39" s="148">
        <f t="shared" ref="AA39:AG39" si="13">AA5/AA22</f>
        <v>0.8418604651162791</v>
      </c>
      <c r="AB39" s="148">
        <f t="shared" si="13"/>
        <v>0.75158227848101267</v>
      </c>
      <c r="AC39" s="148">
        <f t="shared" si="13"/>
        <v>0.87548500881834213</v>
      </c>
      <c r="AD39" s="148">
        <f t="shared" si="13"/>
        <v>0.85528074866310155</v>
      </c>
      <c r="AE39" s="148">
        <f t="shared" si="13"/>
        <v>0.76165214096248579</v>
      </c>
      <c r="AF39" s="148">
        <f t="shared" si="13"/>
        <v>0.6888594513384213</v>
      </c>
      <c r="AG39" s="149" t="e">
        <f t="shared" si="13"/>
        <v>#N/A</v>
      </c>
      <c r="AH39" s="4"/>
      <c r="AI39" s="12" t="s">
        <v>19</v>
      </c>
      <c r="AJ39" s="150">
        <f t="shared" si="8"/>
        <v>1.3487535552952985</v>
      </c>
      <c r="AK39" s="150">
        <f t="shared" si="8"/>
        <v>1.2088056947007646</v>
      </c>
      <c r="AL39" s="150" t="e">
        <f t="shared" si="10"/>
        <v>#N/A</v>
      </c>
      <c r="AM39" s="4"/>
      <c r="AQ39" s="4"/>
      <c r="AR39" s="6" t="s">
        <v>19</v>
      </c>
      <c r="AS39" s="7">
        <f t="shared" si="11"/>
        <v>18.391818233756027</v>
      </c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</row>
    <row r="40" spans="1:63" ht="15" thickBot="1" x14ac:dyDescent="0.4">
      <c r="A40" s="12" t="str">
        <f t="shared" si="4"/>
        <v>SSEH_Unplanned customer minutes lost (unweighted, including exceptional events)</v>
      </c>
      <c r="B40" s="14" t="str">
        <f>GB!A39</f>
        <v>SSEH</v>
      </c>
      <c r="C40" s="14" t="str">
        <f>GB!B39</f>
        <v>Unplanned customer minutes lost (unweighted, including exceptional events)</v>
      </c>
      <c r="D40" s="56" t="str">
        <f>GB!C39</f>
        <v>CML</v>
      </c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>
        <f>GB!D39</f>
        <v>78</v>
      </c>
      <c r="Q40" s="13">
        <f>GB!E39</f>
        <v>73</v>
      </c>
      <c r="R40" s="13">
        <f>GB!F39</f>
        <v>73</v>
      </c>
      <c r="S40" s="13">
        <f>GB!G39</f>
        <v>77</v>
      </c>
      <c r="T40" s="13">
        <f>GB!H39</f>
        <v>69</v>
      </c>
      <c r="U40" s="13">
        <f>GB!I39</f>
        <v>80.489999999999995</v>
      </c>
      <c r="V40" s="19"/>
      <c r="X40" s="145" t="s">
        <v>19</v>
      </c>
      <c r="Y40" s="146" t="s">
        <v>2</v>
      </c>
      <c r="Z40" s="147" t="s">
        <v>37</v>
      </c>
      <c r="AA40" s="148">
        <f t="shared" ref="AA40:AG40" si="14">AA6/AA23</f>
        <v>1.737704918032787</v>
      </c>
      <c r="AB40" s="148">
        <f t="shared" si="14"/>
        <v>1.1304347826086956</v>
      </c>
      <c r="AC40" s="148">
        <f t="shared" si="14"/>
        <v>1.3506389776357828</v>
      </c>
      <c r="AD40" s="148">
        <f t="shared" si="14"/>
        <v>1.3780657103192968</v>
      </c>
      <c r="AE40" s="148">
        <f t="shared" si="14"/>
        <v>1.1503111536620392</v>
      </c>
      <c r="AF40" s="148">
        <f t="shared" si="14"/>
        <v>1.0037533512064343</v>
      </c>
      <c r="AG40" s="149" t="e">
        <f t="shared" si="14"/>
        <v>#N/A</v>
      </c>
      <c r="AH40" s="4"/>
      <c r="AI40" s="12" t="s">
        <v>20</v>
      </c>
      <c r="AJ40" s="150">
        <f t="shared" si="8"/>
        <v>0.91164767329275864</v>
      </c>
      <c r="AK40" s="150">
        <f t="shared" si="8"/>
        <v>0.86796772488550855</v>
      </c>
      <c r="AL40" s="150" t="e">
        <f t="shared" si="10"/>
        <v>#N/A</v>
      </c>
      <c r="AM40" s="4"/>
      <c r="AN40" s="4"/>
      <c r="AO40" s="4"/>
      <c r="AP40" s="4"/>
      <c r="AQ40" s="4"/>
      <c r="AR40" s="6" t="s">
        <v>20</v>
      </c>
      <c r="AS40" s="7">
        <f t="shared" si="11"/>
        <v>48.67414640913146</v>
      </c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</row>
    <row r="41" spans="1:63" ht="15" thickBot="1" x14ac:dyDescent="0.4">
      <c r="A41" s="12" t="str">
        <f t="shared" si="4"/>
        <v>SSEH_Unplanned customer interruptions (unweighted, excluding exceptional events)</v>
      </c>
      <c r="B41" s="14" t="str">
        <f>GB!A40</f>
        <v>SSEH</v>
      </c>
      <c r="C41" s="14" t="str">
        <f>GB!B40</f>
        <v>Unplanned customer interruptions (unweighted, excluding exceptional events)</v>
      </c>
      <c r="D41" s="56" t="str">
        <f>GB!C40</f>
        <v>CI</v>
      </c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>
        <f>GB!D40</f>
        <v>74</v>
      </c>
      <c r="Q41" s="13">
        <f>GB!E40</f>
        <v>71</v>
      </c>
      <c r="R41" s="13">
        <f>GB!F40</f>
        <v>69</v>
      </c>
      <c r="S41" s="13">
        <f>GB!G40</f>
        <v>75</v>
      </c>
      <c r="T41" s="13">
        <f>GB!H40</f>
        <v>70</v>
      </c>
      <c r="U41" s="13">
        <f>GB!I40</f>
        <v>72.209999999999994</v>
      </c>
      <c r="V41" s="19"/>
      <c r="X41" s="145" t="s">
        <v>20</v>
      </c>
      <c r="Y41" s="146" t="s">
        <v>2</v>
      </c>
      <c r="Z41" s="147" t="s">
        <v>37</v>
      </c>
      <c r="AA41" s="148">
        <f t="shared" ref="AA41:AG41" si="15">AA7/AA24</f>
        <v>1.0081273205932322</v>
      </c>
      <c r="AB41" s="148">
        <f t="shared" si="15"/>
        <v>0.91197111999903202</v>
      </c>
      <c r="AC41" s="148">
        <f t="shared" si="15"/>
        <v>0.97537893147244414</v>
      </c>
      <c r="AD41" s="148">
        <f t="shared" si="15"/>
        <v>0.88726429123405715</v>
      </c>
      <c r="AE41" s="148">
        <f t="shared" si="15"/>
        <v>0.77494700011095419</v>
      </c>
      <c r="AF41" s="148">
        <f t="shared" si="15"/>
        <v>0.78204128305786302</v>
      </c>
      <c r="AG41" s="149" t="e">
        <f t="shared" si="15"/>
        <v>#N/A</v>
      </c>
      <c r="AH41" s="4"/>
      <c r="AI41" s="12" t="s">
        <v>21</v>
      </c>
      <c r="AJ41" s="150">
        <f t="shared" si="8"/>
        <v>0.85067055507903588</v>
      </c>
      <c r="AK41" s="150">
        <f t="shared" si="8"/>
        <v>0.81635256369508136</v>
      </c>
      <c r="AL41" s="150" t="e">
        <f t="shared" si="10"/>
        <v>#N/A</v>
      </c>
      <c r="AM41" s="4"/>
      <c r="AN41" s="4"/>
      <c r="AO41" s="4"/>
      <c r="AP41" s="4"/>
      <c r="AQ41" s="4"/>
      <c r="AR41" s="6" t="s">
        <v>21</v>
      </c>
      <c r="AS41" s="7">
        <f t="shared" si="11"/>
        <v>50.225226261009219</v>
      </c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</row>
    <row r="42" spans="1:63" ht="15" thickBot="1" x14ac:dyDescent="0.4">
      <c r="A42" s="16" t="str">
        <f t="shared" si="4"/>
        <v>SSEH_Unplanned customer minutes lost (unweighted, excluding exceptional events)</v>
      </c>
      <c r="B42" s="18" t="str">
        <f>GB!A41</f>
        <v>SSEH</v>
      </c>
      <c r="C42" s="18" t="str">
        <f>GB!B41</f>
        <v>Unplanned customer minutes lost (unweighted, excluding exceptional events)</v>
      </c>
      <c r="D42" s="57" t="str">
        <f>GB!C41</f>
        <v>CML</v>
      </c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>
        <f>GB!D41</f>
        <v>78</v>
      </c>
      <c r="Q42" s="17">
        <f>GB!E41</f>
        <v>73</v>
      </c>
      <c r="R42" s="17">
        <f>GB!F41</f>
        <v>73</v>
      </c>
      <c r="S42" s="17">
        <f>GB!G41</f>
        <v>77</v>
      </c>
      <c r="T42" s="17">
        <f>GB!H41</f>
        <v>69</v>
      </c>
      <c r="U42" s="17">
        <f>GB!I41</f>
        <v>61.91</v>
      </c>
      <c r="V42" s="20"/>
      <c r="X42" s="145" t="s">
        <v>21</v>
      </c>
      <c r="Y42" s="146" t="s">
        <v>2</v>
      </c>
      <c r="Z42" s="147" t="s">
        <v>37</v>
      </c>
      <c r="AA42" s="148">
        <f t="shared" ref="AA42:AG42" si="16">AA8/AA25</f>
        <v>0.92544691041969951</v>
      </c>
      <c r="AB42" s="148">
        <f t="shared" si="16"/>
        <v>0.88305458300213324</v>
      </c>
      <c r="AC42" s="148">
        <f t="shared" si="16"/>
        <v>0.8203862760833398</v>
      </c>
      <c r="AD42" s="148">
        <f t="shared" si="16"/>
        <v>0.84046452889737033</v>
      </c>
      <c r="AE42" s="148">
        <f t="shared" si="16"/>
        <v>0.7745820091670772</v>
      </c>
      <c r="AF42" s="148">
        <f t="shared" si="16"/>
        <v>0.74191035846845699</v>
      </c>
      <c r="AG42" s="149" t="e">
        <f t="shared" si="16"/>
        <v>#N/A</v>
      </c>
      <c r="AH42" s="4"/>
      <c r="AI42" s="12" t="s">
        <v>22</v>
      </c>
      <c r="AJ42" s="150">
        <f t="shared" si="8"/>
        <v>0.87709933585945465</v>
      </c>
      <c r="AK42" s="150">
        <f t="shared" si="8"/>
        <v>0.81960624880518185</v>
      </c>
      <c r="AL42" s="150" t="e">
        <f t="shared" si="10"/>
        <v>#N/A</v>
      </c>
      <c r="AM42" s="4"/>
      <c r="AN42" s="4"/>
      <c r="AO42" s="4"/>
      <c r="AP42" s="4"/>
      <c r="AQ42" s="4"/>
      <c r="AR42" s="6" t="s">
        <v>22</v>
      </c>
      <c r="AS42" s="7">
        <f t="shared" si="11"/>
        <v>39.811236023561897</v>
      </c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</row>
    <row r="43" spans="1:63" ht="15" thickBot="1" x14ac:dyDescent="0.4">
      <c r="A43" s="10" t="str">
        <f t="shared" si="4"/>
        <v>SSES_Unplanned customer interruptions (unweighted, including exceptional events)</v>
      </c>
      <c r="B43" s="11" t="str">
        <f>GB!A42</f>
        <v>SSES</v>
      </c>
      <c r="C43" s="11" t="str">
        <f>GB!B42</f>
        <v>Unplanned customer interruptions (unweighted, including exceptional events)</v>
      </c>
      <c r="D43" s="53" t="str">
        <f>GB!C42</f>
        <v>CI</v>
      </c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54">
        <f>GB!D42</f>
        <v>62</v>
      </c>
      <c r="Q43" s="54">
        <f>GB!E42</f>
        <v>74</v>
      </c>
      <c r="R43" s="54">
        <f>GB!F42</f>
        <v>61</v>
      </c>
      <c r="S43" s="54">
        <f>GB!G42</f>
        <v>87</v>
      </c>
      <c r="T43" s="54">
        <f>GB!H42</f>
        <v>58</v>
      </c>
      <c r="U43" s="54">
        <f>GB!I42</f>
        <v>48</v>
      </c>
      <c r="V43" s="55"/>
      <c r="X43" s="145" t="s">
        <v>22</v>
      </c>
      <c r="Y43" s="146" t="s">
        <v>2</v>
      </c>
      <c r="Z43" s="147" t="s">
        <v>37</v>
      </c>
      <c r="AA43" s="148">
        <f t="shared" ref="AA43:AG43" si="17">AA9/AA26</f>
        <v>0.96407628855308936</v>
      </c>
      <c r="AB43" s="148">
        <f t="shared" si="17"/>
        <v>0.94139450895273391</v>
      </c>
      <c r="AC43" s="148">
        <f t="shared" si="17"/>
        <v>0.88360827685180221</v>
      </c>
      <c r="AD43" s="148">
        <f t="shared" si="17"/>
        <v>0.82994326871743929</v>
      </c>
      <c r="AE43" s="148">
        <f t="shared" si="17"/>
        <v>0.76828617013582245</v>
      </c>
      <c r="AF43" s="148">
        <f t="shared" si="17"/>
        <v>0.65898890477052852</v>
      </c>
      <c r="AG43" s="149" t="e">
        <f t="shared" si="17"/>
        <v>#N/A</v>
      </c>
      <c r="AH43" s="4"/>
      <c r="AI43" s="12" t="s">
        <v>23</v>
      </c>
      <c r="AJ43" s="150">
        <f t="shared" si="8"/>
        <v>1.0157263066219167</v>
      </c>
      <c r="AK43" s="150">
        <f t="shared" si="8"/>
        <v>0.98284244717980529</v>
      </c>
      <c r="AL43" s="150" t="e">
        <f t="shared" si="10"/>
        <v>#N/A</v>
      </c>
      <c r="AM43" s="4"/>
      <c r="AN43" s="4"/>
      <c r="AO43" s="4"/>
      <c r="AP43" s="4"/>
      <c r="AQ43" s="4"/>
      <c r="AR43" s="6" t="s">
        <v>23</v>
      </c>
      <c r="AS43" s="7">
        <f t="shared" si="11"/>
        <v>27.209039831658838</v>
      </c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</row>
    <row r="44" spans="1:63" ht="15" thickBot="1" x14ac:dyDescent="0.4">
      <c r="A44" s="12" t="str">
        <f t="shared" si="4"/>
        <v>SSES_Unplanned customer minutes lost (unweighted, including exceptional events)</v>
      </c>
      <c r="B44" s="14" t="str">
        <f>GB!A43</f>
        <v>SSES</v>
      </c>
      <c r="C44" s="14" t="str">
        <f>GB!B43</f>
        <v>Unplanned customer minutes lost (unweighted, including exceptional events)</v>
      </c>
      <c r="D44" s="56" t="str">
        <f>GB!C43</f>
        <v>CML</v>
      </c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>
        <f>GB!D43</f>
        <v>63</v>
      </c>
      <c r="Q44" s="13">
        <f>GB!E43</f>
        <v>60</v>
      </c>
      <c r="R44" s="13">
        <f>GB!F43</f>
        <v>61</v>
      </c>
      <c r="S44" s="13">
        <f>GB!G43</f>
        <v>171</v>
      </c>
      <c r="T44" s="13">
        <f>GB!H43</f>
        <v>51</v>
      </c>
      <c r="U44" s="13">
        <f>GB!I43</f>
        <v>44</v>
      </c>
      <c r="V44" s="19"/>
      <c r="X44" s="145" t="s">
        <v>23</v>
      </c>
      <c r="Y44" s="146" t="s">
        <v>2</v>
      </c>
      <c r="Z44" s="147" t="s">
        <v>37</v>
      </c>
      <c r="AA44" s="148">
        <f t="shared" ref="AA44:AG44" si="18">AA10/AA27</f>
        <v>1.063911292801377</v>
      </c>
      <c r="AB44" s="148">
        <f t="shared" si="18"/>
        <v>1.0696119282454852</v>
      </c>
      <c r="AC44" s="148">
        <f t="shared" si="18"/>
        <v>0.9869581420067407</v>
      </c>
      <c r="AD44" s="148">
        <f t="shared" si="18"/>
        <v>1.0481597606927613</v>
      </c>
      <c r="AE44" s="148">
        <f t="shared" si="18"/>
        <v>0.91427293670495735</v>
      </c>
      <c r="AF44" s="148">
        <f t="shared" si="18"/>
        <v>0.89031980179652925</v>
      </c>
      <c r="AG44" s="149" t="e">
        <f t="shared" si="18"/>
        <v>#N/A</v>
      </c>
      <c r="AH44" s="4"/>
      <c r="AI44" s="12" t="s">
        <v>24</v>
      </c>
      <c r="AJ44" s="150">
        <f t="shared" si="8"/>
        <v>0.86312139522109299</v>
      </c>
      <c r="AK44" s="150">
        <f t="shared" si="8"/>
        <v>0.80967841398932738</v>
      </c>
      <c r="AL44" s="150" t="e">
        <f t="shared" si="10"/>
        <v>#N/A</v>
      </c>
      <c r="AM44" s="4"/>
      <c r="AN44" s="4"/>
      <c r="AO44" s="4"/>
      <c r="AP44" s="4"/>
      <c r="AQ44" s="4"/>
      <c r="AR44" s="6" t="s">
        <v>24</v>
      </c>
      <c r="AS44" s="7">
        <f t="shared" si="11"/>
        <v>42.355198508987151</v>
      </c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</row>
    <row r="45" spans="1:63" ht="15" thickBot="1" x14ac:dyDescent="0.4">
      <c r="A45" s="12" t="str">
        <f t="shared" si="4"/>
        <v>SSES_Unplanned customer interruptions (unweighted, excluding exceptional events)</v>
      </c>
      <c r="B45" s="14" t="str">
        <f>GB!A44</f>
        <v>SSES</v>
      </c>
      <c r="C45" s="14" t="str">
        <f>GB!B44</f>
        <v>Unplanned customer interruptions (unweighted, excluding exceptional events)</v>
      </c>
      <c r="D45" s="56" t="str">
        <f>GB!C44</f>
        <v>CI</v>
      </c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>
        <f>GB!D44</f>
        <v>61</v>
      </c>
      <c r="Q45" s="13">
        <f>GB!E44</f>
        <v>68</v>
      </c>
      <c r="R45" s="13">
        <f>GB!F44</f>
        <v>59</v>
      </c>
      <c r="S45" s="13">
        <f>GB!G44</f>
        <v>67</v>
      </c>
      <c r="T45" s="13">
        <f>GB!H44</f>
        <v>58</v>
      </c>
      <c r="U45" s="13">
        <f>GB!I44</f>
        <v>46</v>
      </c>
      <c r="V45" s="19"/>
      <c r="X45" s="145" t="s">
        <v>24</v>
      </c>
      <c r="Y45" s="146" t="s">
        <v>2</v>
      </c>
      <c r="Z45" s="147" t="s">
        <v>37</v>
      </c>
      <c r="AA45" s="148">
        <f t="shared" ref="AA45:AG45" si="19">AA11/AA28</f>
        <v>0.95188556566970084</v>
      </c>
      <c r="AB45" s="148">
        <f t="shared" si="19"/>
        <v>0.80373831775700932</v>
      </c>
      <c r="AC45" s="148">
        <f t="shared" si="19"/>
        <v>0.85568698817106459</v>
      </c>
      <c r="AD45" s="148">
        <f t="shared" si="19"/>
        <v>0.95199713415726317</v>
      </c>
      <c r="AE45" s="148">
        <f t="shared" si="19"/>
        <v>0.69940119760479036</v>
      </c>
      <c r="AF45" s="148">
        <f t="shared" si="19"/>
        <v>0.71253083622816304</v>
      </c>
      <c r="AG45" s="149" t="e">
        <f t="shared" si="19"/>
        <v>#N/A</v>
      </c>
      <c r="AH45" s="4"/>
      <c r="AI45" s="12" t="s">
        <v>9</v>
      </c>
      <c r="AJ45" s="150">
        <f t="shared" si="8"/>
        <v>1.0306406685236769</v>
      </c>
      <c r="AK45" s="150">
        <f t="shared" si="8"/>
        <v>0.99076173679348289</v>
      </c>
      <c r="AL45" s="150" t="e">
        <f t="shared" si="10"/>
        <v>#N/A</v>
      </c>
      <c r="AM45" s="4"/>
      <c r="AN45" s="4"/>
      <c r="AO45" s="4"/>
      <c r="AP45" s="4"/>
      <c r="AQ45" s="4"/>
      <c r="AR45" s="6" t="s">
        <v>9</v>
      </c>
      <c r="AS45" s="7">
        <f t="shared" si="11"/>
        <v>57.735665623341156</v>
      </c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</row>
    <row r="46" spans="1:63" ht="15" thickBot="1" x14ac:dyDescent="0.4">
      <c r="A46" s="16" t="str">
        <f t="shared" si="4"/>
        <v>SSES_Unplanned customer minutes lost (unweighted, excluding exceptional events)</v>
      </c>
      <c r="B46" s="18" t="str">
        <f>GB!A45</f>
        <v>SSES</v>
      </c>
      <c r="C46" s="18" t="str">
        <f>GB!B45</f>
        <v>Unplanned customer minutes lost (unweighted, excluding exceptional events)</v>
      </c>
      <c r="D46" s="57" t="str">
        <f>GB!C45</f>
        <v>CML</v>
      </c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>
        <f>GB!D45</f>
        <v>58</v>
      </c>
      <c r="Q46" s="17">
        <f>GB!E45</f>
        <v>54</v>
      </c>
      <c r="R46" s="17">
        <f>GB!F45</f>
        <v>59</v>
      </c>
      <c r="S46" s="17">
        <f>GB!G45</f>
        <v>62</v>
      </c>
      <c r="T46" s="17">
        <f>GB!H45</f>
        <v>51</v>
      </c>
      <c r="U46" s="17">
        <f>GB!I45</f>
        <v>38</v>
      </c>
      <c r="V46" s="20"/>
      <c r="X46" s="145" t="s">
        <v>9</v>
      </c>
      <c r="Y46" s="146" t="s">
        <v>2</v>
      </c>
      <c r="Z46" s="147" t="s">
        <v>37</v>
      </c>
      <c r="AA46" s="148">
        <f t="shared" ref="AA46:AG46" si="20">AA12/AA29</f>
        <v>1.0540540540540539</v>
      </c>
      <c r="AB46" s="148">
        <f t="shared" si="20"/>
        <v>1.028169014084507</v>
      </c>
      <c r="AC46" s="148">
        <f t="shared" si="20"/>
        <v>1.0579710144927537</v>
      </c>
      <c r="AD46" s="148">
        <f t="shared" si="20"/>
        <v>1.0266666666666666</v>
      </c>
      <c r="AE46" s="148">
        <f t="shared" si="20"/>
        <v>0.98571428571428577</v>
      </c>
      <c r="AF46" s="148">
        <f t="shared" si="20"/>
        <v>0.85736047638831192</v>
      </c>
      <c r="AG46" s="149" t="e">
        <f t="shared" si="20"/>
        <v>#N/A</v>
      </c>
      <c r="AH46" s="4"/>
      <c r="AI46" s="12" t="s">
        <v>25</v>
      </c>
      <c r="AJ46" s="150">
        <f t="shared" si="8"/>
        <v>0.9073482428115015</v>
      </c>
      <c r="AK46" s="150">
        <f t="shared" si="8"/>
        <v>0.88590604026845632</v>
      </c>
      <c r="AL46" s="150" t="e">
        <f t="shared" si="10"/>
        <v>#N/A</v>
      </c>
      <c r="AM46" s="4"/>
      <c r="AN46" s="4"/>
      <c r="AO46" s="4"/>
      <c r="AP46" s="4"/>
      <c r="AQ46" s="4"/>
      <c r="AR46" s="6" t="s">
        <v>25</v>
      </c>
      <c r="AS46" s="7">
        <f t="shared" si="11"/>
        <v>48.165584266273811</v>
      </c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</row>
    <row r="47" spans="1:63" ht="15" thickBot="1" x14ac:dyDescent="0.4">
      <c r="A47" s="10" t="str">
        <f t="shared" si="4"/>
        <v>SWALES_Unplanned customer interruptions (unweighted, including exceptional events)</v>
      </c>
      <c r="B47" s="11" t="str">
        <f>GB!A46</f>
        <v>SWALES</v>
      </c>
      <c r="C47" s="11" t="str">
        <f>GB!B46</f>
        <v>Unplanned customer interruptions (unweighted, including exceptional events)</v>
      </c>
      <c r="D47" s="53" t="str">
        <f>GB!C46</f>
        <v>CI</v>
      </c>
      <c r="E47" s="54"/>
      <c r="F47" s="54"/>
      <c r="G47" s="54"/>
      <c r="H47" s="54"/>
      <c r="I47" s="54"/>
      <c r="J47" s="54"/>
      <c r="K47" s="54"/>
      <c r="L47" s="54"/>
      <c r="M47" s="54"/>
      <c r="N47" s="54"/>
      <c r="O47" s="54"/>
      <c r="P47" s="54">
        <f>GB!D46</f>
        <v>55.09</v>
      </c>
      <c r="Q47" s="54">
        <f>GB!E46</f>
        <v>51.94</v>
      </c>
      <c r="R47" s="54">
        <f>GB!F46</f>
        <v>49.32</v>
      </c>
      <c r="S47" s="54">
        <f>GB!G46</f>
        <v>72.97</v>
      </c>
      <c r="T47" s="54">
        <f>GB!H46</f>
        <v>56.17</v>
      </c>
      <c r="U47" s="54">
        <f>GB!I46</f>
        <v>49.99</v>
      </c>
      <c r="V47" s="55"/>
      <c r="X47" s="145" t="s">
        <v>25</v>
      </c>
      <c r="Y47" s="146" t="s">
        <v>2</v>
      </c>
      <c r="Z47" s="147" t="s">
        <v>37</v>
      </c>
      <c r="AA47" s="148">
        <f t="shared" ref="AA47:AG47" si="21">AA13/AA30</f>
        <v>0.95081967213114749</v>
      </c>
      <c r="AB47" s="148">
        <f t="shared" si="21"/>
        <v>0.79411764705882348</v>
      </c>
      <c r="AC47" s="148">
        <f t="shared" si="21"/>
        <v>1</v>
      </c>
      <c r="AD47" s="148">
        <f t="shared" si="21"/>
        <v>0.92537313432835822</v>
      </c>
      <c r="AE47" s="148">
        <f t="shared" si="21"/>
        <v>0.87931034482758619</v>
      </c>
      <c r="AF47" s="148">
        <f t="shared" si="21"/>
        <v>0.82608695652173914</v>
      </c>
      <c r="AG47" s="149" t="e">
        <f t="shared" si="21"/>
        <v>#N/A</v>
      </c>
      <c r="AH47" s="4"/>
      <c r="AI47" s="12" t="s">
        <v>26</v>
      </c>
      <c r="AJ47" s="150">
        <f t="shared" si="8"/>
        <v>0.50789154188587615</v>
      </c>
      <c r="AK47" s="150">
        <f t="shared" si="8"/>
        <v>0.5053435114503817</v>
      </c>
      <c r="AL47" s="150" t="e">
        <f t="shared" si="10"/>
        <v>#N/A</v>
      </c>
      <c r="AM47" s="4"/>
      <c r="AN47" s="4"/>
      <c r="AO47" s="4"/>
      <c r="AP47" s="4"/>
      <c r="AQ47" s="4"/>
      <c r="AR47" s="6" t="s">
        <v>26</v>
      </c>
      <c r="AS47" s="7">
        <f t="shared" si="11"/>
        <v>38.112230771769674</v>
      </c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</row>
    <row r="48" spans="1:63" ht="15" thickBot="1" x14ac:dyDescent="0.4">
      <c r="A48" s="12" t="str">
        <f t="shared" si="4"/>
        <v>SWALES_Unplanned customer minutes lost (unweighted, including exceptional events)</v>
      </c>
      <c r="B48" s="14" t="str">
        <f>GB!A47</f>
        <v>SWALES</v>
      </c>
      <c r="C48" s="14" t="str">
        <f>GB!B47</f>
        <v>Unplanned customer minutes lost (unweighted, including exceptional events)</v>
      </c>
      <c r="D48" s="56" t="str">
        <f>GB!C47</f>
        <v>CML</v>
      </c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>
        <f>GB!D47</f>
        <v>27.06</v>
      </c>
      <c r="Q48" s="13">
        <f>GB!E47</f>
        <v>26.6</v>
      </c>
      <c r="R48" s="13">
        <f>GB!F47</f>
        <v>29.35</v>
      </c>
      <c r="S48" s="13">
        <f>GB!G47</f>
        <v>62.68</v>
      </c>
      <c r="T48" s="13">
        <f>GB!H47</f>
        <v>25.74</v>
      </c>
      <c r="U48" s="13">
        <f>GB!I47</f>
        <v>22.08</v>
      </c>
      <c r="V48" s="19"/>
      <c r="X48" s="145" t="s">
        <v>26</v>
      </c>
      <c r="Y48" s="146" t="s">
        <v>2</v>
      </c>
      <c r="Z48" s="147" t="s">
        <v>37</v>
      </c>
      <c r="AA48" s="148">
        <f t="shared" ref="AA48:AG48" si="22">AA14/AA31</f>
        <v>0.49119622436013788</v>
      </c>
      <c r="AB48" s="148">
        <f t="shared" si="22"/>
        <v>0.51391993497256649</v>
      </c>
      <c r="AC48" s="148">
        <f t="shared" si="22"/>
        <v>0.53738738738738734</v>
      </c>
      <c r="AD48" s="148">
        <f t="shared" si="22"/>
        <v>0.54916958041958042</v>
      </c>
      <c r="AE48" s="148">
        <f t="shared" si="22"/>
        <v>0.45896656534954405</v>
      </c>
      <c r="AF48" s="148">
        <f t="shared" si="22"/>
        <v>0.47316738981502626</v>
      </c>
      <c r="AG48" s="149" t="e">
        <f t="shared" si="22"/>
        <v>#N/A</v>
      </c>
      <c r="AH48" s="4"/>
      <c r="AI48" s="12" t="s">
        <v>27</v>
      </c>
      <c r="AJ48" s="150">
        <f t="shared" si="8"/>
        <v>0.6403275953590658</v>
      </c>
      <c r="AK48" s="150">
        <f t="shared" si="8"/>
        <v>0.64085758281675675</v>
      </c>
      <c r="AL48" s="150" t="e">
        <f t="shared" si="10"/>
        <v>#N/A</v>
      </c>
      <c r="AM48" s="4"/>
      <c r="AN48" s="4"/>
      <c r="AO48" s="4"/>
      <c r="AP48" s="4"/>
      <c r="AQ48" s="4"/>
      <c r="AR48" s="6" t="s">
        <v>27</v>
      </c>
      <c r="AS48" s="7">
        <f t="shared" si="11"/>
        <v>40.935897742010624</v>
      </c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</row>
    <row r="49" spans="1:63" ht="15" thickBot="1" x14ac:dyDescent="0.4">
      <c r="A49" s="12" t="str">
        <f t="shared" si="4"/>
        <v>SWALES_Unplanned customer interruptions (unweighted, excluding exceptional events)</v>
      </c>
      <c r="B49" s="14" t="str">
        <f>GB!A48</f>
        <v>SWALES</v>
      </c>
      <c r="C49" s="14" t="str">
        <f>GB!B48</f>
        <v>Unplanned customer interruptions (unweighted, excluding exceptional events)</v>
      </c>
      <c r="D49" s="56" t="str">
        <f>GB!C48</f>
        <v>CI</v>
      </c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>
        <f>GB!D48</f>
        <v>55.09</v>
      </c>
      <c r="Q49" s="13">
        <f>GB!E48</f>
        <v>49.21</v>
      </c>
      <c r="R49" s="13">
        <f>GB!F48</f>
        <v>44.4</v>
      </c>
      <c r="S49" s="13">
        <f>GB!G48</f>
        <v>45.76</v>
      </c>
      <c r="T49" s="13">
        <f>GB!H48</f>
        <v>52.64</v>
      </c>
      <c r="U49" s="13">
        <f>GB!I48</f>
        <v>43.79</v>
      </c>
      <c r="V49" s="19"/>
      <c r="X49" s="145" t="s">
        <v>27</v>
      </c>
      <c r="Y49" s="146" t="s">
        <v>2</v>
      </c>
      <c r="Z49" s="147" t="s">
        <v>37</v>
      </c>
      <c r="AA49" s="148">
        <f t="shared" ref="AA49:AG49" si="23">AA15/AA32</f>
        <v>0.60946339790845183</v>
      </c>
      <c r="AB49" s="148">
        <f t="shared" si="23"/>
        <v>0.62680943882609552</v>
      </c>
      <c r="AC49" s="148">
        <f t="shared" si="23"/>
        <v>0.66355304899541767</v>
      </c>
      <c r="AD49" s="148">
        <f t="shared" si="23"/>
        <v>0.65826834633073394</v>
      </c>
      <c r="AE49" s="148">
        <f t="shared" si="23"/>
        <v>0.64586357039187225</v>
      </c>
      <c r="AF49" s="148">
        <f t="shared" si="23"/>
        <v>0.6055160885917259</v>
      </c>
      <c r="AG49" s="149" t="e">
        <f t="shared" si="23"/>
        <v>#N/A</v>
      </c>
      <c r="AH49" s="4"/>
      <c r="AI49" s="12" t="s">
        <v>28</v>
      </c>
      <c r="AJ49" s="150">
        <f t="shared" si="8"/>
        <v>0.57478124525820662</v>
      </c>
      <c r="AK49" s="150">
        <f t="shared" si="8"/>
        <v>0.49384355717882739</v>
      </c>
      <c r="AL49" s="150" t="e">
        <f t="shared" si="10"/>
        <v>#N/A</v>
      </c>
      <c r="AM49" s="4"/>
      <c r="AN49" s="4"/>
      <c r="AO49" s="4"/>
      <c r="AP49" s="4"/>
      <c r="AQ49" s="4"/>
      <c r="AR49" s="6" t="s">
        <v>28</v>
      </c>
      <c r="AS49" s="7">
        <f t="shared" si="11"/>
        <v>58.414509428436297</v>
      </c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</row>
    <row r="50" spans="1:63" ht="15" thickBot="1" x14ac:dyDescent="0.4">
      <c r="A50" s="16" t="str">
        <f t="shared" si="4"/>
        <v>SWALES_Unplanned customer minutes lost (unweighted, excluding exceptional events)</v>
      </c>
      <c r="B50" s="18" t="str">
        <f>GB!A49</f>
        <v>SWALES</v>
      </c>
      <c r="C50" s="18" t="str">
        <f>GB!B49</f>
        <v>Unplanned customer minutes lost (unweighted, excluding exceptional events)</v>
      </c>
      <c r="D50" s="57" t="str">
        <f>GB!C49</f>
        <v>CML</v>
      </c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>
        <f>GB!D49</f>
        <v>27.06</v>
      </c>
      <c r="Q50" s="17">
        <f>GB!E49</f>
        <v>25.29</v>
      </c>
      <c r="R50" s="17">
        <f>GB!F49</f>
        <v>23.86</v>
      </c>
      <c r="S50" s="17">
        <f>GB!G49</f>
        <v>25.13</v>
      </c>
      <c r="T50" s="17">
        <f>GB!H49</f>
        <v>24.16</v>
      </c>
      <c r="U50" s="17">
        <f>GB!I49</f>
        <v>20.72</v>
      </c>
      <c r="V50" s="20"/>
      <c r="X50" s="145" t="s">
        <v>28</v>
      </c>
      <c r="Y50" s="146" t="s">
        <v>2</v>
      </c>
      <c r="Z50" s="147" t="s">
        <v>37</v>
      </c>
      <c r="AA50" s="148">
        <f t="shared" ref="AA50:AG50" si="24">AA16/AA33</f>
        <v>0.79342578325629176</v>
      </c>
      <c r="AB50" s="148">
        <f t="shared" si="24"/>
        <v>0.58901783187093126</v>
      </c>
      <c r="AC50" s="148">
        <f t="shared" si="24"/>
        <v>0.5172752981679577</v>
      </c>
      <c r="AD50" s="148">
        <f t="shared" si="24"/>
        <v>0.45477707006369428</v>
      </c>
      <c r="AE50" s="148">
        <f t="shared" si="24"/>
        <v>0.45353654927493342</v>
      </c>
      <c r="AF50" s="148">
        <f t="shared" si="24"/>
        <v>0.44900536785601514</v>
      </c>
      <c r="AG50" s="149" t="e">
        <f t="shared" si="24"/>
        <v>#N/A</v>
      </c>
      <c r="AH50" s="4"/>
      <c r="AI50" s="16" t="s">
        <v>33</v>
      </c>
      <c r="AJ50" s="151">
        <f t="shared" si="8"/>
        <v>0.85684647302904571</v>
      </c>
      <c r="AK50" s="151">
        <f t="shared" si="8"/>
        <v>0.88379299659126109</v>
      </c>
      <c r="AL50" s="151" t="e">
        <f t="shared" si="10"/>
        <v>#N/A</v>
      </c>
      <c r="AM50" s="4"/>
      <c r="AN50" s="4"/>
      <c r="AO50" s="4"/>
      <c r="AP50" s="4"/>
      <c r="AQ50" s="4"/>
      <c r="AR50" s="8" t="s">
        <v>33</v>
      </c>
      <c r="AS50" s="9">
        <f t="shared" si="11"/>
        <v>52.157832358142819</v>
      </c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</row>
    <row r="51" spans="1:63" ht="15" thickBot="1" x14ac:dyDescent="0.4">
      <c r="A51" s="10" t="str">
        <f t="shared" si="4"/>
        <v>SWEST_Unplanned customer interruptions (unweighted, including exceptional events)</v>
      </c>
      <c r="B51" s="11" t="str">
        <f>GB!A50</f>
        <v>SWEST</v>
      </c>
      <c r="C51" s="11" t="str">
        <f>GB!B50</f>
        <v>Unplanned customer interruptions (unweighted, including exceptional events)</v>
      </c>
      <c r="D51" s="53" t="str">
        <f>GB!C50</f>
        <v>CI</v>
      </c>
      <c r="E51" s="54"/>
      <c r="F51" s="54"/>
      <c r="G51" s="54"/>
      <c r="H51" s="54"/>
      <c r="I51" s="54"/>
      <c r="J51" s="54"/>
      <c r="K51" s="54"/>
      <c r="L51" s="54"/>
      <c r="M51" s="54"/>
      <c r="N51" s="54"/>
      <c r="O51" s="54"/>
      <c r="P51" s="54">
        <f>GB!D50</f>
        <v>61.63</v>
      </c>
      <c r="Q51" s="54">
        <f>GB!E50</f>
        <v>50.43</v>
      </c>
      <c r="R51" s="54">
        <f>GB!F50</f>
        <v>59.37</v>
      </c>
      <c r="S51" s="54">
        <f>GB!G50</f>
        <v>70.010000000000005</v>
      </c>
      <c r="T51" s="54">
        <f>GB!H50</f>
        <v>48.23</v>
      </c>
      <c r="U51" s="54">
        <f>GB!I50</f>
        <v>56.91</v>
      </c>
      <c r="V51" s="55"/>
      <c r="X51" s="16" t="s">
        <v>33</v>
      </c>
      <c r="Y51" s="18" t="s">
        <v>2</v>
      </c>
      <c r="Z51" s="57" t="s">
        <v>37</v>
      </c>
      <c r="AA51" s="17">
        <f t="shared" ref="AA51:AG51" si="25">AA17/AA34</f>
        <v>0.85769728331177231</v>
      </c>
      <c r="AB51" s="17">
        <f t="shared" si="25"/>
        <v>0.82968750000000002</v>
      </c>
      <c r="AC51" s="17">
        <f t="shared" si="25"/>
        <v>0.89393939393939381</v>
      </c>
      <c r="AD51" s="17">
        <f t="shared" si="25"/>
        <v>0.83069620253164556</v>
      </c>
      <c r="AE51" s="17">
        <f t="shared" si="25"/>
        <v>0.87210884353741491</v>
      </c>
      <c r="AF51" s="17">
        <f t="shared" si="25"/>
        <v>0.99680511182108622</v>
      </c>
      <c r="AG51" s="20" t="e">
        <f t="shared" si="25"/>
        <v>#N/A</v>
      </c>
      <c r="AN51" s="4"/>
      <c r="AO51" s="4"/>
      <c r="AP51" s="4"/>
      <c r="AQ51" s="4"/>
      <c r="AR51" s="108" t="s">
        <v>116</v>
      </c>
      <c r="AS51" s="111">
        <f>AS50</f>
        <v>52.157832358142819</v>
      </c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</row>
    <row r="52" spans="1:63" x14ac:dyDescent="0.35">
      <c r="A52" s="12" t="str">
        <f t="shared" si="4"/>
        <v>SWEST_Unplanned customer minutes lost (unweighted, including exceptional events)</v>
      </c>
      <c r="B52" s="14" t="str">
        <f>GB!A51</f>
        <v>SWEST</v>
      </c>
      <c r="C52" s="14" t="str">
        <f>GB!B51</f>
        <v>Unplanned customer minutes lost (unweighted, including exceptional events)</v>
      </c>
      <c r="D52" s="56" t="str">
        <f>GB!C51</f>
        <v>CML</v>
      </c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>
        <f>GB!D51</f>
        <v>35.549999999999997</v>
      </c>
      <c r="Q52" s="13">
        <f>GB!E51</f>
        <v>31.61</v>
      </c>
      <c r="R52" s="13">
        <f>GB!F51</f>
        <v>39.99</v>
      </c>
      <c r="S52" s="13">
        <f>GB!G51</f>
        <v>62.98</v>
      </c>
      <c r="T52" s="13">
        <f>GB!H51</f>
        <v>31.15</v>
      </c>
      <c r="U52" s="13">
        <f>GB!I51</f>
        <v>37.46</v>
      </c>
      <c r="V52" s="19"/>
      <c r="AN52" s="4"/>
      <c r="AO52" s="4"/>
      <c r="AP52" s="4"/>
      <c r="AQ52" s="4"/>
      <c r="AR52" s="108" t="s">
        <v>44</v>
      </c>
      <c r="AS52" s="109">
        <f>'NIE Networks'!X9</f>
        <v>58.674999999999997</v>
      </c>
      <c r="AT52" s="235">
        <f>AS52/AS53-1</f>
        <v>9.0874457369822581E-2</v>
      </c>
    </row>
    <row r="53" spans="1:63" x14ac:dyDescent="0.35">
      <c r="A53" s="12" t="str">
        <f t="shared" si="4"/>
        <v>SWEST_Unplanned customer interruptions (unweighted, excluding exceptional events)</v>
      </c>
      <c r="B53" s="14" t="str">
        <f>GB!A52</f>
        <v>SWEST</v>
      </c>
      <c r="C53" s="14" t="str">
        <f>GB!B52</f>
        <v>Unplanned customer interruptions (unweighted, excluding exceptional events)</v>
      </c>
      <c r="D53" s="56" t="str">
        <f>GB!C52</f>
        <v>CI</v>
      </c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>
        <f>GB!D52</f>
        <v>58.33</v>
      </c>
      <c r="Q53" s="13">
        <f>GB!E52</f>
        <v>50.43</v>
      </c>
      <c r="R53" s="13">
        <f>GB!F52</f>
        <v>56.74</v>
      </c>
      <c r="S53" s="13">
        <f>GB!G52</f>
        <v>50.01</v>
      </c>
      <c r="T53" s="13">
        <f>GB!H52</f>
        <v>48.23</v>
      </c>
      <c r="U53" s="13">
        <f>GB!I52</f>
        <v>47.86</v>
      </c>
      <c r="V53" s="19"/>
      <c r="AR53" s="108" t="s">
        <v>117</v>
      </c>
      <c r="AS53" s="110">
        <f>(AS51*Cover!$F$48)+(AS52*Cover!$F$49)</f>
        <v>53.787124268607116</v>
      </c>
      <c r="AT53" s="235">
        <f>(AS52-AS53)/AS52</f>
        <v>8.3304230615984354E-2</v>
      </c>
      <c r="BK53" s="3"/>
    </row>
    <row r="54" spans="1:63" ht="15" thickBot="1" x14ac:dyDescent="0.4">
      <c r="A54" s="16" t="str">
        <f t="shared" si="4"/>
        <v>SWEST_Unplanned customer minutes lost (unweighted, excluding exceptional events)</v>
      </c>
      <c r="B54" s="18" t="str">
        <f>GB!A53</f>
        <v>SWEST</v>
      </c>
      <c r="C54" s="18" t="str">
        <f>GB!B53</f>
        <v>Unplanned customer minutes lost (unweighted, excluding exceptional events)</v>
      </c>
      <c r="D54" s="57" t="str">
        <f>GB!C53</f>
        <v>CML</v>
      </c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>
        <f>GB!D53</f>
        <v>35.549999999999997</v>
      </c>
      <c r="Q54" s="17">
        <f>GB!E53</f>
        <v>31.61</v>
      </c>
      <c r="R54" s="17">
        <f>GB!F53</f>
        <v>37.65</v>
      </c>
      <c r="S54" s="17">
        <f>GB!G53</f>
        <v>32.92</v>
      </c>
      <c r="T54" s="17">
        <f>GB!H53</f>
        <v>31.15</v>
      </c>
      <c r="U54" s="17">
        <f>GB!I53</f>
        <v>28.98</v>
      </c>
      <c r="V54" s="20"/>
    </row>
    <row r="55" spans="1:63" x14ac:dyDescent="0.35">
      <c r="A55" s="10" t="str">
        <f t="shared" si="4"/>
        <v>WMID_Unplanned customer interruptions (unweighted, including exceptional events)</v>
      </c>
      <c r="B55" s="11" t="str">
        <f>GB!A54</f>
        <v>WMID</v>
      </c>
      <c r="C55" s="11" t="str">
        <f>GB!B54</f>
        <v>Unplanned customer interruptions (unweighted, including exceptional events)</v>
      </c>
      <c r="D55" s="53" t="str">
        <f>GB!C54</f>
        <v>CI</v>
      </c>
      <c r="E55" s="54"/>
      <c r="F55" s="54"/>
      <c r="G55" s="54"/>
      <c r="H55" s="54"/>
      <c r="I55" s="54"/>
      <c r="J55" s="54"/>
      <c r="K55" s="54"/>
      <c r="L55" s="54"/>
      <c r="M55" s="54"/>
      <c r="N55" s="54"/>
      <c r="O55" s="54"/>
      <c r="P55" s="54">
        <f>GB!D54</f>
        <v>98.45</v>
      </c>
      <c r="Q55" s="54">
        <f>GB!E54</f>
        <v>70.66</v>
      </c>
      <c r="R55" s="54">
        <f>GB!F54</f>
        <v>82.81</v>
      </c>
      <c r="S55" s="54">
        <f>GB!G54</f>
        <v>85.46</v>
      </c>
      <c r="T55" s="54">
        <f>GB!H54</f>
        <v>68.86</v>
      </c>
      <c r="U55" s="54">
        <f>GB!I54</f>
        <v>66</v>
      </c>
      <c r="V55" s="55"/>
    </row>
    <row r="56" spans="1:63" x14ac:dyDescent="0.35">
      <c r="A56" s="12" t="str">
        <f t="shared" si="4"/>
        <v>WMID_Unplanned customer minutes lost (unweighted, including exceptional events)</v>
      </c>
      <c r="B56" s="14" t="str">
        <f>GB!A55</f>
        <v>WMID</v>
      </c>
      <c r="C56" s="14" t="str">
        <f>GB!B55</f>
        <v>Unplanned customer minutes lost (unweighted, including exceptional events)</v>
      </c>
      <c r="D56" s="56" t="str">
        <f>GB!C55</f>
        <v>CML</v>
      </c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>
        <f>GB!D55</f>
        <v>78.28</v>
      </c>
      <c r="Q56" s="13">
        <f>GB!E55</f>
        <v>41.62</v>
      </c>
      <c r="R56" s="13">
        <f>GB!F55</f>
        <v>43.34</v>
      </c>
      <c r="S56" s="13">
        <f>GB!G55</f>
        <v>44.41</v>
      </c>
      <c r="T56" s="13">
        <f>GB!H55</f>
        <v>31.44</v>
      </c>
      <c r="U56" s="13">
        <f>GB!I55</f>
        <v>32.409999999999997</v>
      </c>
      <c r="V56" s="19"/>
    </row>
    <row r="57" spans="1:63" x14ac:dyDescent="0.35">
      <c r="A57" s="12" t="str">
        <f t="shared" si="4"/>
        <v>WMID_Unplanned customer interruptions (unweighted, excluding exceptional events)</v>
      </c>
      <c r="B57" s="14" t="str">
        <f>GB!A56</f>
        <v>WMID</v>
      </c>
      <c r="C57" s="14" t="str">
        <f>GB!B56</f>
        <v>Unplanned customer interruptions (unweighted, excluding exceptional events)</v>
      </c>
      <c r="D57" s="56" t="str">
        <f>GB!C56</f>
        <v>CI</v>
      </c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>
        <f>GB!D56</f>
        <v>97.35</v>
      </c>
      <c r="Q57" s="13">
        <f>GB!E56</f>
        <v>70.66</v>
      </c>
      <c r="R57" s="13">
        <f>GB!F56</f>
        <v>81.33</v>
      </c>
      <c r="S57" s="13">
        <f>GB!G56</f>
        <v>78.5</v>
      </c>
      <c r="T57" s="13">
        <f>GB!H56</f>
        <v>67.58</v>
      </c>
      <c r="U57" s="13">
        <f>GB!I56</f>
        <v>63.34</v>
      </c>
      <c r="V57" s="19"/>
    </row>
    <row r="58" spans="1:63" ht="15" thickBot="1" x14ac:dyDescent="0.4">
      <c r="A58" s="16" t="str">
        <f t="shared" si="4"/>
        <v>WMID_Unplanned customer minutes lost (unweighted, excluding exceptional events)</v>
      </c>
      <c r="B58" s="18" t="str">
        <f>GB!A57</f>
        <v>WMID</v>
      </c>
      <c r="C58" s="18" t="str">
        <f>GB!B57</f>
        <v>Unplanned customer minutes lost (unweighted, excluding exceptional events)</v>
      </c>
      <c r="D58" s="57" t="str">
        <f>GB!C57</f>
        <v>CML</v>
      </c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>
        <f>GB!D57</f>
        <v>77.239999999999995</v>
      </c>
      <c r="Q58" s="17">
        <f>GB!E57</f>
        <v>41.62</v>
      </c>
      <c r="R58" s="17">
        <f>GB!F57</f>
        <v>42.07</v>
      </c>
      <c r="S58" s="17">
        <f>GB!G57</f>
        <v>35.700000000000003</v>
      </c>
      <c r="T58" s="17">
        <f>GB!H57</f>
        <v>30.65</v>
      </c>
      <c r="U58" s="17">
        <f>GB!I57</f>
        <v>28.44</v>
      </c>
      <c r="V58" s="20"/>
    </row>
    <row r="59" spans="1:63" x14ac:dyDescent="0.35">
      <c r="A59" s="10" t="str">
        <f t="shared" si="4"/>
        <v>NIE Networks_Unplanned customer interruptions (unweighted, including exceptional events)</v>
      </c>
      <c r="B59" s="11" t="s">
        <v>33</v>
      </c>
      <c r="C59" s="11" t="s">
        <v>0</v>
      </c>
      <c r="D59" s="53" t="s">
        <v>6</v>
      </c>
      <c r="E59" s="54"/>
      <c r="F59" s="54"/>
      <c r="G59" s="54"/>
      <c r="H59" s="54"/>
      <c r="I59" s="54"/>
      <c r="J59" s="54">
        <f>'NIE Networks'!D13</f>
        <v>89.4</v>
      </c>
      <c r="K59" s="54">
        <f>'NIE Networks'!E13</f>
        <v>85.7</v>
      </c>
      <c r="L59" s="54">
        <f>'NIE Networks'!F13</f>
        <v>103.9</v>
      </c>
      <c r="M59" s="54">
        <f>'NIE Networks'!G13</f>
        <v>77.5</v>
      </c>
      <c r="N59" s="54">
        <f>'NIE Networks'!H13</f>
        <v>66.400000000000006</v>
      </c>
      <c r="O59" s="54">
        <f>'NIE Networks'!I13</f>
        <v>84.1</v>
      </c>
      <c r="P59" s="54">
        <f>'NIE Networks'!J13</f>
        <v>78.3</v>
      </c>
      <c r="Q59" s="54">
        <f>'NIE Networks'!K13</f>
        <v>77</v>
      </c>
      <c r="R59" s="54">
        <f>'NIE Networks'!L13</f>
        <v>80.300000000000011</v>
      </c>
      <c r="S59" s="54">
        <f>'NIE Networks'!M13</f>
        <v>72.300000000000011</v>
      </c>
      <c r="T59" s="54">
        <f>'NIE Networks'!N13</f>
        <v>73.5</v>
      </c>
      <c r="U59" s="54">
        <f>'NIE Networks'!O13</f>
        <v>62.6</v>
      </c>
      <c r="V59" s="55"/>
    </row>
    <row r="60" spans="1:63" x14ac:dyDescent="0.35">
      <c r="A60" s="12" t="str">
        <f t="shared" si="4"/>
        <v>NIE Networks_Unplanned customer minutes lost (unweighted, including exceptional events)</v>
      </c>
      <c r="B60" s="14" t="s">
        <v>33</v>
      </c>
      <c r="C60" s="14" t="s">
        <v>1</v>
      </c>
      <c r="D60" s="56" t="s">
        <v>7</v>
      </c>
      <c r="E60" s="13"/>
      <c r="F60" s="13"/>
      <c r="G60" s="13"/>
      <c r="H60" s="13"/>
      <c r="I60" s="13"/>
      <c r="J60" s="13">
        <f>'NIE Networks'!D17</f>
        <v>115.2</v>
      </c>
      <c r="K60" s="13">
        <f>'NIE Networks'!E17</f>
        <v>73.8</v>
      </c>
      <c r="L60" s="13">
        <f>'NIE Networks'!F17</f>
        <v>132.29999999999998</v>
      </c>
      <c r="M60" s="13">
        <f>'NIE Networks'!G17</f>
        <v>79.599999999999994</v>
      </c>
      <c r="N60" s="13">
        <f>'NIE Networks'!H17</f>
        <v>73.599999999999994</v>
      </c>
      <c r="O60" s="13">
        <f>'NIE Networks'!I17</f>
        <v>192.9</v>
      </c>
      <c r="P60" s="13">
        <f>'NIE Networks'!J17</f>
        <v>68.100000000000009</v>
      </c>
      <c r="Q60" s="13">
        <f>'NIE Networks'!K17</f>
        <v>75.099999999999994</v>
      </c>
      <c r="R60" s="13">
        <f>'NIE Networks'!L17</f>
        <v>124.19999999999999</v>
      </c>
      <c r="S60" s="13">
        <f>'NIE Networks'!M17</f>
        <v>66.099999999999994</v>
      </c>
      <c r="T60" s="13">
        <f>'NIE Networks'!N17</f>
        <v>64.099999999999994</v>
      </c>
      <c r="U60" s="13">
        <f>'NIE Networks'!O17</f>
        <v>62.4</v>
      </c>
      <c r="V60" s="19"/>
    </row>
    <row r="61" spans="1:63" x14ac:dyDescent="0.35">
      <c r="A61" s="12" t="str">
        <f t="shared" si="4"/>
        <v>NIE Networks_Unplanned customer interruptions (unweighted, excluding exceptional events)</v>
      </c>
      <c r="B61" s="14" t="s">
        <v>33</v>
      </c>
      <c r="C61" s="14" t="s">
        <v>2</v>
      </c>
      <c r="D61" s="56" t="s">
        <v>6</v>
      </c>
      <c r="E61" s="13">
        <v>101.6</v>
      </c>
      <c r="F61" s="13">
        <v>114.8</v>
      </c>
      <c r="G61" s="13">
        <v>103.8</v>
      </c>
      <c r="H61" s="13">
        <v>90.5</v>
      </c>
      <c r="I61" s="13">
        <v>86.4</v>
      </c>
      <c r="J61" s="13">
        <f>'NIE Networks'!D5</f>
        <v>78.2</v>
      </c>
      <c r="K61" s="13">
        <f>'NIE Networks'!E5</f>
        <v>85.7</v>
      </c>
      <c r="L61" s="13">
        <f>'NIE Networks'!F5</f>
        <v>86.5</v>
      </c>
      <c r="M61" s="13">
        <f>'NIE Networks'!G5</f>
        <v>77.5</v>
      </c>
      <c r="N61" s="13">
        <f>'NIE Networks'!H5</f>
        <v>61.1</v>
      </c>
      <c r="O61" s="13">
        <f>'NIE Networks'!I5</f>
        <v>68.8</v>
      </c>
      <c r="P61" s="13">
        <f>'NIE Networks'!J5</f>
        <v>77.3</v>
      </c>
      <c r="Q61" s="13">
        <f>'NIE Networks'!K5</f>
        <v>64</v>
      </c>
      <c r="R61" s="13">
        <f>'NIE Networks'!L5</f>
        <v>59.400000000000006</v>
      </c>
      <c r="S61" s="13">
        <f>'NIE Networks'!M5</f>
        <v>63.2</v>
      </c>
      <c r="T61" s="13">
        <f>'NIE Networks'!N5</f>
        <v>73.5</v>
      </c>
      <c r="U61" s="13">
        <f>'NIE Networks'!O5</f>
        <v>62.6</v>
      </c>
      <c r="V61" s="19"/>
    </row>
    <row r="62" spans="1:63" x14ac:dyDescent="0.35">
      <c r="A62" s="12" t="str">
        <f t="shared" si="4"/>
        <v>NIE Networks_Unplanned customer minutes lost (unweighted, excluding exceptional events)</v>
      </c>
      <c r="B62" s="14" t="s">
        <v>33</v>
      </c>
      <c r="C62" s="14" t="s">
        <v>3</v>
      </c>
      <c r="D62" s="56" t="s">
        <v>7</v>
      </c>
      <c r="E62" s="13">
        <v>100.4</v>
      </c>
      <c r="F62" s="13">
        <v>114.7</v>
      </c>
      <c r="G62" s="13">
        <v>105.6</v>
      </c>
      <c r="H62" s="13">
        <v>89.2</v>
      </c>
      <c r="I62" s="13">
        <v>84.3</v>
      </c>
      <c r="J62" s="13">
        <f>'NIE Networks'!D9</f>
        <v>73.100000000000009</v>
      </c>
      <c r="K62" s="13">
        <f>'NIE Networks'!E9</f>
        <v>73.8</v>
      </c>
      <c r="L62" s="13">
        <f>'NIE Networks'!F9</f>
        <v>82.899999999999991</v>
      </c>
      <c r="M62" s="13">
        <f>'NIE Networks'!G9</f>
        <v>79.599999999999994</v>
      </c>
      <c r="N62" s="13">
        <f>'NIE Networks'!H9</f>
        <v>62.2</v>
      </c>
      <c r="O62" s="13">
        <f>'NIE Networks'!I9</f>
        <v>59.1</v>
      </c>
      <c r="P62" s="13">
        <f>'NIE Networks'!J9</f>
        <v>66.3</v>
      </c>
      <c r="Q62" s="13">
        <f>'NIE Networks'!K9</f>
        <v>53.1</v>
      </c>
      <c r="R62" s="13">
        <f>'NIE Networks'!L9</f>
        <v>53.099999999999994</v>
      </c>
      <c r="S62" s="13">
        <f>'NIE Networks'!M9</f>
        <v>52.5</v>
      </c>
      <c r="T62" s="13">
        <f>'NIE Networks'!N9</f>
        <v>64.099999999999994</v>
      </c>
      <c r="U62" s="13">
        <f>'NIE Networks'!O9</f>
        <v>62.4</v>
      </c>
      <c r="V62" s="19">
        <f>'NIE Networks'!P9</f>
        <v>55.4</v>
      </c>
    </row>
    <row r="63" spans="1:63" ht="15" thickBot="1" x14ac:dyDescent="0.4">
      <c r="A63" s="16" t="str">
        <f t="shared" si="4"/>
        <v>NIE Networks_Planned customer minutes lost (unweighted)</v>
      </c>
      <c r="B63" s="18" t="s">
        <v>33</v>
      </c>
      <c r="C63" s="18" t="s">
        <v>36</v>
      </c>
      <c r="D63" s="57" t="s">
        <v>7</v>
      </c>
      <c r="E63" s="58">
        <v>101.8</v>
      </c>
      <c r="F63" s="58">
        <v>99.4</v>
      </c>
      <c r="G63" s="58">
        <v>67.900000000000006</v>
      </c>
      <c r="H63" s="58">
        <v>46.8</v>
      </c>
      <c r="I63" s="58">
        <v>52.2</v>
      </c>
      <c r="J63" s="58">
        <v>50.4</v>
      </c>
      <c r="K63" s="58">
        <v>46.8</v>
      </c>
      <c r="L63" s="58">
        <v>50.1</v>
      </c>
      <c r="M63" s="58">
        <v>64.8</v>
      </c>
      <c r="N63" s="58">
        <v>63.2</v>
      </c>
      <c r="O63" s="58">
        <v>51.8</v>
      </c>
      <c r="P63" s="58">
        <f>'NIE Networks'!J19</f>
        <v>58.7</v>
      </c>
      <c r="Q63" s="58">
        <f>'NIE Networks'!K19</f>
        <v>59.2</v>
      </c>
      <c r="R63" s="58">
        <f>'NIE Networks'!L19</f>
        <v>54.5</v>
      </c>
      <c r="S63" s="58">
        <f>'NIE Networks'!M19</f>
        <v>47.6</v>
      </c>
      <c r="T63" s="58">
        <f>'NIE Networks'!N19</f>
        <v>52.3</v>
      </c>
      <c r="U63" s="58">
        <f>'NIE Networks'!O19</f>
        <v>70.2</v>
      </c>
      <c r="V63" s="59">
        <f>'NIE Networks'!P19</f>
        <v>64.77</v>
      </c>
    </row>
    <row r="66" spans="1:37" ht="15" thickBot="1" x14ac:dyDescent="0.4"/>
    <row r="67" spans="1:37" ht="21.5" thickBot="1" x14ac:dyDescent="0.55000000000000004">
      <c r="A67" s="36" t="s">
        <v>86</v>
      </c>
      <c r="B67" s="25"/>
      <c r="C67" s="25"/>
      <c r="D67" s="25"/>
      <c r="E67" s="25"/>
      <c r="F67" s="25"/>
      <c r="G67" s="25"/>
      <c r="H67" s="25"/>
      <c r="I67" s="25"/>
      <c r="J67" s="25"/>
      <c r="K67" s="25"/>
      <c r="L67" s="25"/>
      <c r="M67" s="25"/>
      <c r="N67" s="25"/>
      <c r="O67" s="25"/>
      <c r="P67" s="25"/>
      <c r="Q67" s="25"/>
      <c r="R67" s="25"/>
      <c r="S67" s="25"/>
      <c r="T67" s="26"/>
      <c r="U67" s="26" t="s">
        <v>51</v>
      </c>
      <c r="V67" s="26" t="s">
        <v>52</v>
      </c>
      <c r="W67" s="26" t="s">
        <v>52</v>
      </c>
      <c r="X67" s="26" t="s">
        <v>52</v>
      </c>
      <c r="Y67" s="26" t="s">
        <v>52</v>
      </c>
      <c r="Z67" s="26" t="s">
        <v>52</v>
      </c>
      <c r="AA67" s="27" t="s">
        <v>52</v>
      </c>
      <c r="AB67" s="26" t="s">
        <v>905</v>
      </c>
      <c r="AC67" s="26" t="s">
        <v>905</v>
      </c>
      <c r="AD67" s="26" t="s">
        <v>905</v>
      </c>
      <c r="AE67" s="26" t="s">
        <v>905</v>
      </c>
      <c r="AF67" s="27" t="s">
        <v>905</v>
      </c>
      <c r="AH67" s="48" t="s">
        <v>45</v>
      </c>
      <c r="AI67" s="49"/>
      <c r="AJ67" s="61" t="s">
        <v>50</v>
      </c>
      <c r="AK67" s="236"/>
    </row>
    <row r="68" spans="1:37" ht="15" thickBot="1" x14ac:dyDescent="0.4">
      <c r="A68" s="31"/>
      <c r="B68" s="32"/>
      <c r="C68" s="33">
        <f t="shared" ref="C68:L68" si="26">D68-1</f>
        <v>2000</v>
      </c>
      <c r="D68" s="33">
        <f t="shared" si="26"/>
        <v>2001</v>
      </c>
      <c r="E68" s="33">
        <f t="shared" si="26"/>
        <v>2002</v>
      </c>
      <c r="F68" s="33">
        <f t="shared" si="26"/>
        <v>2003</v>
      </c>
      <c r="G68" s="33">
        <f t="shared" si="26"/>
        <v>2004</v>
      </c>
      <c r="H68" s="33">
        <f t="shared" si="26"/>
        <v>2005</v>
      </c>
      <c r="I68" s="33">
        <f t="shared" si="26"/>
        <v>2006</v>
      </c>
      <c r="J68" s="33">
        <f t="shared" si="26"/>
        <v>2007</v>
      </c>
      <c r="K68" s="33">
        <f t="shared" si="26"/>
        <v>2008</v>
      </c>
      <c r="L68" s="33">
        <f t="shared" si="26"/>
        <v>2009</v>
      </c>
      <c r="M68" s="33">
        <f>N68-1</f>
        <v>2010</v>
      </c>
      <c r="N68" s="33">
        <v>2011</v>
      </c>
      <c r="O68" s="33">
        <v>2012</v>
      </c>
      <c r="P68" s="33">
        <v>2013</v>
      </c>
      <c r="Q68" s="33">
        <v>2014</v>
      </c>
      <c r="R68" s="33">
        <v>2015</v>
      </c>
      <c r="S68" s="33">
        <v>2016</v>
      </c>
      <c r="T68" s="33">
        <f>S68+1</f>
        <v>2017</v>
      </c>
      <c r="U68" s="33">
        <f t="shared" ref="U68:Z68" si="27">T68+1</f>
        <v>2018</v>
      </c>
      <c r="V68" s="33">
        <f>U68+1</f>
        <v>2019</v>
      </c>
      <c r="W68" s="33">
        <f t="shared" si="27"/>
        <v>2020</v>
      </c>
      <c r="X68" s="33">
        <f t="shared" si="27"/>
        <v>2021</v>
      </c>
      <c r="Y68" s="33">
        <f t="shared" si="27"/>
        <v>2022</v>
      </c>
      <c r="Z68" s="33">
        <f t="shared" si="27"/>
        <v>2023</v>
      </c>
      <c r="AA68" s="34">
        <v>2024</v>
      </c>
      <c r="AB68" s="33">
        <v>2025</v>
      </c>
      <c r="AC68" s="33">
        <v>2026</v>
      </c>
      <c r="AD68" s="33">
        <v>2027</v>
      </c>
      <c r="AE68" s="33">
        <v>2028</v>
      </c>
      <c r="AF68" s="34">
        <v>2029</v>
      </c>
      <c r="AH68" s="12" t="s">
        <v>97</v>
      </c>
      <c r="AI68" s="44">
        <f>CHOOSE(Cover!$F$26,AVERAGE('NIE Networks'!$K$19:$O$19),AVERAGE('NIE Networks'!$L$19:$P$19),AVERAGE('NIE Networks'!$M$19:$Q$19),AVERAGE('NIE Networks'!$N$19:$R$19),AVERAGE('NIE Networks'!$O$19:$S$19),AVERAGE('NIE Networks'!$P$19:$T$19),AVERAGE('NIE Networks'!$Q$19:$U$19),AVERAGE('NIE Networks'!$R$19:$V$19),AVERAGE('NIE Networks'!$S$19:$W$19))</f>
        <v>57.873999999999988</v>
      </c>
      <c r="AJ68" s="42">
        <f>(S78-AI68)/S78</f>
        <v>0.17558404558404578</v>
      </c>
      <c r="AK68" s="140"/>
    </row>
    <row r="69" spans="1:37" ht="15" thickBot="1" x14ac:dyDescent="0.4">
      <c r="A69" s="39" t="s">
        <v>87</v>
      </c>
      <c r="B69" s="40"/>
      <c r="C69" s="40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  <c r="AA69" s="41"/>
      <c r="AB69" s="40"/>
      <c r="AC69" s="40"/>
      <c r="AD69" s="40"/>
      <c r="AE69" s="40"/>
      <c r="AF69" s="41"/>
      <c r="AH69" s="28" t="s">
        <v>47</v>
      </c>
      <c r="AI69" s="45"/>
      <c r="AJ69" s="15"/>
      <c r="AK69" s="56"/>
    </row>
    <row r="70" spans="1:37" x14ac:dyDescent="0.35">
      <c r="A70" s="10" t="s">
        <v>33</v>
      </c>
      <c r="B70" s="11" t="s">
        <v>76</v>
      </c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54">
        <f>'CML analysis 2'!B4</f>
        <v>50.371549776589397</v>
      </c>
      <c r="W70" s="54">
        <f>'CML analysis 2'!C4</f>
        <v>49.556903821357245</v>
      </c>
      <c r="X70" s="54">
        <f>'CML analysis 2'!D4</f>
        <v>48.742257866125101</v>
      </c>
      <c r="Y70" s="54">
        <f>'CML analysis 2'!E4</f>
        <v>47.927611910892956</v>
      </c>
      <c r="Z70" s="54">
        <f>'CML analysis 2'!F4</f>
        <v>47.112965955660805</v>
      </c>
      <c r="AA70" s="55">
        <f>'CML analysis 2'!G4</f>
        <v>46.29832000042866</v>
      </c>
      <c r="AB70" s="54"/>
      <c r="AC70" s="54"/>
      <c r="AD70" s="54"/>
      <c r="AE70" s="54"/>
      <c r="AF70" s="55"/>
      <c r="AH70" s="12" t="s">
        <v>48</v>
      </c>
      <c r="AI70" s="46">
        <f>AS53</f>
        <v>53.787124268607116</v>
      </c>
      <c r="AJ70" s="42">
        <f>(S72-AI70)/S72</f>
        <v>0.13802685466975775</v>
      </c>
      <c r="AK70" s="140"/>
    </row>
    <row r="71" spans="1:37" ht="15" thickBot="1" x14ac:dyDescent="0.4">
      <c r="A71" s="12" t="s">
        <v>33</v>
      </c>
      <c r="B71" s="14" t="s">
        <v>53</v>
      </c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3"/>
      <c r="V71" s="13">
        <f>'CML analysis 2'!B5</f>
        <v>57.860354044767853</v>
      </c>
      <c r="W71" s="13">
        <f>'CML analysis 2'!C5</f>
        <v>57.045708089535701</v>
      </c>
      <c r="X71" s="13">
        <f>'CML analysis 2'!D5</f>
        <v>56.231062134303556</v>
      </c>
      <c r="Y71" s="13">
        <f>'CML analysis 2'!E5</f>
        <v>55.416416179071412</v>
      </c>
      <c r="Z71" s="13">
        <f>'CML analysis 2'!F5</f>
        <v>54.60177022383926</v>
      </c>
      <c r="AA71" s="19">
        <f>'CML analysis 2'!G5</f>
        <v>53.787124268607116</v>
      </c>
      <c r="AB71" s="13"/>
      <c r="AC71" s="13"/>
      <c r="AD71" s="13"/>
      <c r="AE71" s="13"/>
      <c r="AF71" s="19"/>
      <c r="AH71" s="31" t="s">
        <v>46</v>
      </c>
      <c r="AI71" s="47">
        <f>(AI68/2)+AI70</f>
        <v>82.724124268607113</v>
      </c>
      <c r="AJ71" s="43">
        <f>(S84-AI71)/S84</f>
        <v>0.15154744339890142</v>
      </c>
      <c r="AK71" s="140"/>
    </row>
    <row r="72" spans="1:37" x14ac:dyDescent="0.35">
      <c r="A72" s="12" t="str">
        <f>X17</f>
        <v>NIE Networks</v>
      </c>
      <c r="B72" s="14" t="str">
        <f>Y17</f>
        <v>Unplanned customer minutes lost (unweighted, excluding exceptional events)</v>
      </c>
      <c r="C72" s="13">
        <v>100.4</v>
      </c>
      <c r="D72" s="13">
        <v>114.7</v>
      </c>
      <c r="E72" s="13">
        <v>105.6</v>
      </c>
      <c r="F72" s="13">
        <v>89.2</v>
      </c>
      <c r="G72" s="13">
        <v>84.3</v>
      </c>
      <c r="H72" s="13">
        <v>73.099999999999994</v>
      </c>
      <c r="I72" s="13">
        <v>73.8</v>
      </c>
      <c r="J72" s="13">
        <v>82.899999999999991</v>
      </c>
      <c r="K72" s="13">
        <v>79.599999999999994</v>
      </c>
      <c r="L72" s="13">
        <v>62.2</v>
      </c>
      <c r="M72" s="13">
        <v>59.1</v>
      </c>
      <c r="N72" s="13">
        <f t="shared" ref="N72:T72" si="28">AA17</f>
        <v>66.3</v>
      </c>
      <c r="O72" s="13">
        <f t="shared" si="28"/>
        <v>53.1</v>
      </c>
      <c r="P72" s="13">
        <f t="shared" si="28"/>
        <v>53.099999999999994</v>
      </c>
      <c r="Q72" s="13">
        <f t="shared" si="28"/>
        <v>52.5</v>
      </c>
      <c r="R72" s="13">
        <f t="shared" si="28"/>
        <v>64.099999999999994</v>
      </c>
      <c r="S72" s="13">
        <f t="shared" si="28"/>
        <v>62.4</v>
      </c>
      <c r="T72" s="13">
        <f t="shared" si="28"/>
        <v>55.4</v>
      </c>
      <c r="U72" s="13"/>
      <c r="V72" s="13">
        <f>CHOOSE(Cover!$F$26,$AS$52-(($AS$52-$AS$53)*COUNT($V$68:V$68)/COUNT($V$68:$AA$68)),$AS$52-(($AS$52-$AS$53)*COUNT($V$68:V$68)/COUNT($V$68:$AA$68)),#N/A,#N/A,#N/A,#N/A,#N/A,#N/A,#N/A)</f>
        <v>57.860354044767853</v>
      </c>
      <c r="W72" s="13">
        <f>CHOOSE(Cover!$F$26,$AS$52-(($AS$52-$AS$53)*COUNT($V$68:W$68)/COUNT($V$68:$AA$68)),$AS$52-(($AS$52-$AS$53)*COUNT($V$68:W$68)/COUNT($V$68:$AA$68)),$AS$52-(($AS$52-$AS$53)*COUNT($W$68:W$68)/COUNT($W$68:$AB$68)),#N/A,#N/A,#N/A,#N/A,#N/A,#N/A)</f>
        <v>57.045708089535701</v>
      </c>
      <c r="X72" s="13">
        <f>CHOOSE(Cover!$F$26,$AS$52-(($AS$52-$AS$53)*COUNT($V$68:X$68)/COUNT($V$68:$AA$68)),$AS$52-(($AS$52-$AS$53)*COUNT($V$68:X$68)/COUNT($V$68:$AA$68)),$AS$52-(($AS$52-$AS$53)*COUNT($W$68:X$68)/COUNT($W$68:$AB$68)),$AS$52-(($AS$52-$AS$53)*COUNT($X$68:X$68)/COUNT($X$68:$AC$68)),#N/A,#N/A,#N/A,#N/A,#N/A)</f>
        <v>56.231062134303556</v>
      </c>
      <c r="Y72" s="13">
        <f>CHOOSE(Cover!$F$26,$AS$52-(($AS$52-$AS$53)*COUNT($V$68:Y$68)/COUNT($V$68:$AA$68)),$AS$52-(($AS$52-$AS$53)*COUNT($V$68:Y$68)/COUNT($V$68:$AA$68)),$AS$52-(($AS$52-$AS$53)*COUNT($W$68:Y$68)/COUNT($W$68:$AB$68)),$AS$52-(($AS$52-$AS$53)*COUNT($X$68:Y$68)/COUNT($X$68:$AC$68)),$AS$52-(($AS$52-$AS$53)*COUNT($Y$68:Y$68)/COUNT($Y$68:$AD$68)),#N/A,#N/A,#N/A,#N/A)</f>
        <v>55.416416179071412</v>
      </c>
      <c r="Z72" s="13">
        <f>CHOOSE(Cover!$F$26,$AS$52-(($AS$52-$AS$53)*COUNT($V$68:Z$68)/COUNT($V$68:$AA$68)),$AS$52-(($AS$52-$AS$53)*COUNT($V$68:Z$68)/COUNT($V$68:$AA$68)),$AS$52-(($AS$52-$AS$53)*COUNT($W$68:Z$68)/COUNT($W$68:$AB$68)),$AS$52-(($AS$52-$AS$53)*COUNT($X$68:Z$68)/COUNT($X$68:$AC$68)),$AS$52-(($AS$52-$AS$53)*COUNT($Y$68:Z$68)/COUNT($Y$68:$AD$68)),$AS$52-(($AS$52-$AS$53)*COUNT($Z$68:Z$68)/COUNT($Z$68:$AE$68)),#N/A,#N/A,#N/A)</f>
        <v>54.60177022383926</v>
      </c>
      <c r="AA72" s="19">
        <f>CHOOSE(Cover!$F$26,$AS$52-(($AS$52-$AS$53)*COUNT($V$68:AA$68)/COUNT($V$68:$AA$68)),$AS$52-(($AS$52-$AS$53)*COUNT($V$68:AA$68)/COUNT($V$68:$AA$68)),$AS$52-(($AS$52-$AS$53)*COUNT($W$68:AA$68)/COUNT($W$68:$AB$68)),$AS$52-(($AS$52-$AS$53)*COUNT($X$68:AA$68)/COUNT($X$68:$AC$68)),$AS$52-(($AS$52-$AS$53)*COUNT($Y$68:AA$68)/COUNT($Y$68:$AD$68)),$AS$52-(($AS$52-$AS$53)*COUNT($Z$68:AA$68)/COUNT($Z$68:$AE$68)),$AS$52-(($AS$52-$AS$53)*COUNT($AA$68:AA$68)/COUNT($AA$68:$AF$68)),#N/A,#N/A)</f>
        <v>53.787124268607116</v>
      </c>
      <c r="AB72" s="13"/>
      <c r="AC72" s="13"/>
      <c r="AD72" s="13"/>
      <c r="AE72" s="13"/>
      <c r="AF72" s="19"/>
    </row>
    <row r="73" spans="1:37" x14ac:dyDescent="0.35">
      <c r="A73" s="12" t="s">
        <v>33</v>
      </c>
      <c r="B73" s="14" t="s">
        <v>54</v>
      </c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3"/>
      <c r="V73" s="13">
        <f>'CML analysis 2'!B7</f>
        <v>57.860354044767853</v>
      </c>
      <c r="W73" s="13">
        <f>'CML analysis 2'!C7</f>
        <v>57.045708089535701</v>
      </c>
      <c r="X73" s="13">
        <f>'CML analysis 2'!D7</f>
        <v>56.231062134303556</v>
      </c>
      <c r="Y73" s="13">
        <f>'CML analysis 2'!E7</f>
        <v>55.416416179071412</v>
      </c>
      <c r="Z73" s="13">
        <f>'CML analysis 2'!F7</f>
        <v>54.60177022383926</v>
      </c>
      <c r="AA73" s="19">
        <f>'CML analysis 2'!G7</f>
        <v>53.787124268607116</v>
      </c>
      <c r="AB73" s="13"/>
      <c r="AC73" s="13"/>
      <c r="AD73" s="13"/>
      <c r="AE73" s="13"/>
      <c r="AF73" s="19"/>
    </row>
    <row r="74" spans="1:37" ht="15" thickBot="1" x14ac:dyDescent="0.4">
      <c r="A74" s="16" t="s">
        <v>33</v>
      </c>
      <c r="B74" s="18" t="s">
        <v>77</v>
      </c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7">
        <f>'CML analysis 2'!B8</f>
        <v>65.349158312946301</v>
      </c>
      <c r="W74" s="17">
        <f>'CML analysis 2'!C8</f>
        <v>64.534512357714149</v>
      </c>
      <c r="X74" s="17">
        <f>'CML analysis 2'!D8</f>
        <v>63.719866402482012</v>
      </c>
      <c r="Y74" s="17">
        <f>'CML analysis 2'!E8</f>
        <v>62.905220447249867</v>
      </c>
      <c r="Z74" s="17">
        <f>'CML analysis 2'!F8</f>
        <v>62.090574492017716</v>
      </c>
      <c r="AA74" s="20">
        <f>'CML analysis 2'!G8</f>
        <v>61.275928536785571</v>
      </c>
      <c r="AB74" s="17"/>
      <c r="AC74" s="17"/>
      <c r="AD74" s="17"/>
      <c r="AE74" s="17"/>
      <c r="AF74" s="20"/>
    </row>
    <row r="75" spans="1:37" ht="15" thickBot="1" x14ac:dyDescent="0.4">
      <c r="A75" s="39" t="s">
        <v>88</v>
      </c>
      <c r="B75" s="37"/>
      <c r="C75" s="37"/>
      <c r="D75" s="37"/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8"/>
      <c r="AB75" s="37"/>
      <c r="AC75" s="37"/>
      <c r="AD75" s="37"/>
      <c r="AE75" s="37"/>
      <c r="AF75" s="38"/>
    </row>
    <row r="76" spans="1:37" x14ac:dyDescent="0.35">
      <c r="A76" s="10" t="s">
        <v>33</v>
      </c>
      <c r="B76" s="11" t="s">
        <v>76</v>
      </c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54">
        <f>'CML analysis 2'!B10</f>
        <v>50.385195731821533</v>
      </c>
      <c r="W76" s="54">
        <f>'CML analysis 2'!C10</f>
        <v>50.385195731821533</v>
      </c>
      <c r="X76" s="54">
        <f>'CML analysis 2'!D10</f>
        <v>50.385195731821533</v>
      </c>
      <c r="Y76" s="54">
        <f>'CML analysis 2'!E10</f>
        <v>50.385195731821533</v>
      </c>
      <c r="Z76" s="54">
        <f>'CML analysis 2'!F10</f>
        <v>50.385195731821533</v>
      </c>
      <c r="AA76" s="55">
        <f>'CML analysis 2'!G10</f>
        <v>50.385195731821533</v>
      </c>
      <c r="AB76" s="54"/>
      <c r="AC76" s="54"/>
      <c r="AD76" s="54"/>
      <c r="AE76" s="54"/>
      <c r="AF76" s="55"/>
    </row>
    <row r="77" spans="1:37" x14ac:dyDescent="0.35">
      <c r="A77" s="12" t="s">
        <v>33</v>
      </c>
      <c r="B77" s="14" t="s">
        <v>53</v>
      </c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3">
        <f>'CML analysis 2'!B11</f>
        <v>57.873999999999988</v>
      </c>
      <c r="W77" s="13">
        <f>'CML analysis 2'!C11</f>
        <v>57.873999999999988</v>
      </c>
      <c r="X77" s="13">
        <f>'CML analysis 2'!D11</f>
        <v>57.873999999999988</v>
      </c>
      <c r="Y77" s="13">
        <f>'CML analysis 2'!E11</f>
        <v>57.873999999999988</v>
      </c>
      <c r="Z77" s="13">
        <f>'CML analysis 2'!F11</f>
        <v>57.873999999999988</v>
      </c>
      <c r="AA77" s="19">
        <f>'CML analysis 2'!G11</f>
        <v>57.873999999999988</v>
      </c>
      <c r="AB77" s="13"/>
      <c r="AC77" s="13"/>
      <c r="AD77" s="13"/>
      <c r="AE77" s="13"/>
      <c r="AF77" s="19"/>
    </row>
    <row r="78" spans="1:37" x14ac:dyDescent="0.35">
      <c r="A78" s="12" t="str">
        <f>B63</f>
        <v>NIE Networks</v>
      </c>
      <c r="B78" s="14" t="str">
        <f>C63</f>
        <v>Planned customer minutes lost (unweighted)</v>
      </c>
      <c r="C78" s="13">
        <v>101.8</v>
      </c>
      <c r="D78" s="13">
        <v>99.4</v>
      </c>
      <c r="E78" s="13">
        <v>67.900000000000006</v>
      </c>
      <c r="F78" s="13">
        <v>46.8</v>
      </c>
      <c r="G78" s="13">
        <v>52.2</v>
      </c>
      <c r="H78" s="13">
        <v>50.4</v>
      </c>
      <c r="I78" s="13">
        <v>46.8</v>
      </c>
      <c r="J78" s="13">
        <v>50.1</v>
      </c>
      <c r="K78" s="13">
        <v>64.8</v>
      </c>
      <c r="L78" s="13">
        <v>63.2</v>
      </c>
      <c r="M78" s="13">
        <v>51.8</v>
      </c>
      <c r="N78" s="13">
        <f t="shared" ref="N78:S78" si="29">P63</f>
        <v>58.7</v>
      </c>
      <c r="O78" s="13">
        <f t="shared" si="29"/>
        <v>59.2</v>
      </c>
      <c r="P78" s="13">
        <f t="shared" si="29"/>
        <v>54.5</v>
      </c>
      <c r="Q78" s="13">
        <f t="shared" si="29"/>
        <v>47.6</v>
      </c>
      <c r="R78" s="13">
        <f t="shared" si="29"/>
        <v>52.3</v>
      </c>
      <c r="S78" s="13">
        <f t="shared" si="29"/>
        <v>70.2</v>
      </c>
      <c r="T78" s="30">
        <f>$AI$68</f>
        <v>57.873999999999988</v>
      </c>
      <c r="U78" s="30"/>
      <c r="V78" s="30">
        <f>CHOOSE(Cover!$F$26,$AI$68,$AI$68,#N/A,#N/A,#N/A,#N/A,#N/A,#N/A,#N/A)</f>
        <v>57.873999999999988</v>
      </c>
      <c r="W78" s="30">
        <f>CHOOSE(Cover!$F$26,$AI$68,$AI$68,$AI$68,#N/A,#N/A,#N/A,#N/A,#N/A,#N/A)</f>
        <v>57.873999999999988</v>
      </c>
      <c r="X78" s="30">
        <f>CHOOSE(Cover!$F$26,$AI$68,$AI$68,$AI$68,$AI$68,#N/A,#N/A,#N/A,#N/A,#N/A)</f>
        <v>57.873999999999988</v>
      </c>
      <c r="Y78" s="30">
        <f>CHOOSE(Cover!$F$26,$AI$68,$AI$68,$AI$68,$AI$68,$AI$68,#N/A,#N/A,#N/A,#N/A)</f>
        <v>57.873999999999988</v>
      </c>
      <c r="Z78" s="30">
        <f>CHOOSE(Cover!$F$26,$AI$68,$AI$68,$AI$68,$AI$68,$AI$68,$AI$68,#N/A,#N/A,#N/A)</f>
        <v>57.873999999999988</v>
      </c>
      <c r="AA78" s="29">
        <f>CHOOSE(Cover!$F$26,$AI$68,$AI$68,$AI$68,$AI$68,$AI$68,$AI$68,$AI$68,#N/A,#N/A)</f>
        <v>57.873999999999988</v>
      </c>
      <c r="AB78" s="30"/>
      <c r="AC78" s="30"/>
      <c r="AD78" s="30"/>
      <c r="AE78" s="30"/>
      <c r="AF78" s="29"/>
    </row>
    <row r="79" spans="1:37" x14ac:dyDescent="0.35">
      <c r="A79" s="12" t="s">
        <v>33</v>
      </c>
      <c r="B79" s="14" t="s">
        <v>54</v>
      </c>
      <c r="C79" s="14"/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3">
        <f>'CML analysis 2'!B13</f>
        <v>57.873999999999988</v>
      </c>
      <c r="W79" s="13">
        <f>'CML analysis 2'!C13</f>
        <v>57.873999999999988</v>
      </c>
      <c r="X79" s="13">
        <f>'CML analysis 2'!D13</f>
        <v>57.873999999999988</v>
      </c>
      <c r="Y79" s="13">
        <f>'CML analysis 2'!E13</f>
        <v>57.873999999999988</v>
      </c>
      <c r="Z79" s="13">
        <f>'CML analysis 2'!F13</f>
        <v>57.873999999999988</v>
      </c>
      <c r="AA79" s="19">
        <f>'CML analysis 2'!G13</f>
        <v>57.873999999999988</v>
      </c>
      <c r="AB79" s="13"/>
      <c r="AC79" s="13"/>
      <c r="AD79" s="13"/>
      <c r="AE79" s="13"/>
      <c r="AF79" s="19"/>
    </row>
    <row r="80" spans="1:37" ht="15" thickBot="1" x14ac:dyDescent="0.4">
      <c r="A80" s="16" t="s">
        <v>33</v>
      </c>
      <c r="B80" s="18" t="s">
        <v>77</v>
      </c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7">
        <f>'CML analysis 2'!B14</f>
        <v>65.362804268178436</v>
      </c>
      <c r="W80" s="17">
        <f>'CML analysis 2'!C14</f>
        <v>65.362804268178436</v>
      </c>
      <c r="X80" s="17">
        <f>'CML analysis 2'!D14</f>
        <v>65.362804268178436</v>
      </c>
      <c r="Y80" s="17">
        <f>'CML analysis 2'!E14</f>
        <v>65.362804268178436</v>
      </c>
      <c r="Z80" s="17">
        <f>'CML analysis 2'!F14</f>
        <v>65.362804268178436</v>
      </c>
      <c r="AA80" s="20">
        <f>'CML analysis 2'!G14</f>
        <v>65.362804268178436</v>
      </c>
      <c r="AB80" s="17"/>
      <c r="AC80" s="17"/>
      <c r="AD80" s="17"/>
      <c r="AE80" s="17"/>
      <c r="AF80" s="20"/>
    </row>
    <row r="81" spans="1:32" ht="15" thickBot="1" x14ac:dyDescent="0.4">
      <c r="A81" s="39" t="s">
        <v>89</v>
      </c>
      <c r="B81" s="40"/>
      <c r="C81" s="40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8"/>
      <c r="AB81" s="37"/>
      <c r="AC81" s="37"/>
      <c r="AD81" s="37"/>
      <c r="AE81" s="37"/>
      <c r="AF81" s="38"/>
    </row>
    <row r="82" spans="1:32" x14ac:dyDescent="0.35">
      <c r="A82" s="12" t="s">
        <v>33</v>
      </c>
      <c r="B82" s="14" t="s">
        <v>76</v>
      </c>
      <c r="C82" s="14"/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3">
        <f>'CML analysis 2'!B16</f>
        <v>75.56414764250016</v>
      </c>
      <c r="W82" s="13">
        <f>'CML analysis 2'!C16</f>
        <v>74.749501687268008</v>
      </c>
      <c r="X82" s="13">
        <f>'CML analysis 2'!D16</f>
        <v>73.934855732035871</v>
      </c>
      <c r="Y82" s="13">
        <f>'CML analysis 2'!E16</f>
        <v>73.120209776803719</v>
      </c>
      <c r="Z82" s="13">
        <f>'CML analysis 2'!F16</f>
        <v>72.305563821571567</v>
      </c>
      <c r="AA82" s="19">
        <f>'CML analysis 2'!G16</f>
        <v>71.49091786633943</v>
      </c>
      <c r="AB82" s="13"/>
      <c r="AC82" s="13"/>
      <c r="AD82" s="13"/>
      <c r="AE82" s="13"/>
      <c r="AF82" s="19"/>
    </row>
    <row r="83" spans="1:32" x14ac:dyDescent="0.35">
      <c r="A83" s="12" t="s">
        <v>33</v>
      </c>
      <c r="B83" s="14" t="s">
        <v>53</v>
      </c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3">
        <f>'CML analysis 2'!B17</f>
        <v>86.797354044767843</v>
      </c>
      <c r="W83" s="13">
        <f>'CML analysis 2'!C17</f>
        <v>85.982708089535691</v>
      </c>
      <c r="X83" s="13">
        <f>'CML analysis 2'!D17</f>
        <v>85.168062134303554</v>
      </c>
      <c r="Y83" s="13">
        <f>'CML analysis 2'!E17</f>
        <v>84.353416179071402</v>
      </c>
      <c r="Z83" s="13">
        <f>'CML analysis 2'!F17</f>
        <v>83.538770223839251</v>
      </c>
      <c r="AA83" s="19">
        <f>'CML analysis 2'!G17</f>
        <v>82.724124268607113</v>
      </c>
      <c r="AB83" s="13"/>
      <c r="AC83" s="13"/>
      <c r="AD83" s="13"/>
      <c r="AE83" s="13"/>
      <c r="AF83" s="19"/>
    </row>
    <row r="84" spans="1:32" x14ac:dyDescent="0.35">
      <c r="A84" s="12" t="s">
        <v>33</v>
      </c>
      <c r="B84" s="14" t="s">
        <v>49</v>
      </c>
      <c r="C84" s="30">
        <f t="shared" ref="C84:T84" si="30">C72+(C78*0.5)</f>
        <v>151.30000000000001</v>
      </c>
      <c r="D84" s="30">
        <f t="shared" si="30"/>
        <v>164.4</v>
      </c>
      <c r="E84" s="30">
        <f t="shared" si="30"/>
        <v>139.55000000000001</v>
      </c>
      <c r="F84" s="30">
        <f t="shared" si="30"/>
        <v>112.6</v>
      </c>
      <c r="G84" s="30">
        <f t="shared" si="30"/>
        <v>110.4</v>
      </c>
      <c r="H84" s="30">
        <f t="shared" si="30"/>
        <v>98.3</v>
      </c>
      <c r="I84" s="30">
        <f t="shared" si="30"/>
        <v>97.199999999999989</v>
      </c>
      <c r="J84" s="30">
        <f t="shared" si="30"/>
        <v>107.94999999999999</v>
      </c>
      <c r="K84" s="30">
        <f t="shared" si="30"/>
        <v>112</v>
      </c>
      <c r="L84" s="30">
        <f t="shared" si="30"/>
        <v>93.800000000000011</v>
      </c>
      <c r="M84" s="30">
        <f t="shared" si="30"/>
        <v>85</v>
      </c>
      <c r="N84" s="30">
        <f t="shared" si="30"/>
        <v>95.65</v>
      </c>
      <c r="O84" s="30">
        <f t="shared" si="30"/>
        <v>82.7</v>
      </c>
      <c r="P84" s="30">
        <f t="shared" si="30"/>
        <v>80.349999999999994</v>
      </c>
      <c r="Q84" s="30">
        <f t="shared" si="30"/>
        <v>76.3</v>
      </c>
      <c r="R84" s="30">
        <f t="shared" si="30"/>
        <v>90.25</v>
      </c>
      <c r="S84" s="30">
        <f t="shared" si="30"/>
        <v>97.5</v>
      </c>
      <c r="T84" s="30">
        <f t="shared" si="30"/>
        <v>84.336999999999989</v>
      </c>
      <c r="U84" s="30"/>
      <c r="V84" s="30">
        <f t="shared" ref="V84:AA84" si="31">IF(OR(V72="",V78=""),#N/A,V72+(V78*0.5))</f>
        <v>86.797354044767843</v>
      </c>
      <c r="W84" s="30">
        <f t="shared" si="31"/>
        <v>85.982708089535691</v>
      </c>
      <c r="X84" s="30">
        <f t="shared" si="31"/>
        <v>85.168062134303554</v>
      </c>
      <c r="Y84" s="30">
        <f t="shared" si="31"/>
        <v>84.353416179071402</v>
      </c>
      <c r="Z84" s="30">
        <f t="shared" si="31"/>
        <v>83.538770223839251</v>
      </c>
      <c r="AA84" s="29">
        <f t="shared" si="31"/>
        <v>82.724124268607113</v>
      </c>
      <c r="AB84" s="30"/>
      <c r="AC84" s="30"/>
      <c r="AD84" s="30"/>
      <c r="AE84" s="30"/>
      <c r="AF84" s="29"/>
    </row>
    <row r="85" spans="1:32" x14ac:dyDescent="0.35">
      <c r="A85" s="12" t="s">
        <v>33</v>
      </c>
      <c r="B85" s="14" t="s">
        <v>54</v>
      </c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3">
        <f>'CML analysis 2'!B19</f>
        <v>86.797354044767843</v>
      </c>
      <c r="W85" s="13">
        <f>'CML analysis 2'!C19</f>
        <v>85.982708089535691</v>
      </c>
      <c r="X85" s="13">
        <f>'CML analysis 2'!D19</f>
        <v>85.168062134303554</v>
      </c>
      <c r="Y85" s="13">
        <f>'CML analysis 2'!E19</f>
        <v>84.353416179071402</v>
      </c>
      <c r="Z85" s="13">
        <f>'CML analysis 2'!F19</f>
        <v>83.538770223839251</v>
      </c>
      <c r="AA85" s="19">
        <f>'CML analysis 2'!G19</f>
        <v>82.724124268607113</v>
      </c>
      <c r="AB85" s="13"/>
      <c r="AC85" s="13"/>
      <c r="AD85" s="13"/>
      <c r="AE85" s="13"/>
      <c r="AF85" s="19"/>
    </row>
    <row r="86" spans="1:32" ht="15" thickBot="1" x14ac:dyDescent="0.4">
      <c r="A86" s="16" t="s">
        <v>33</v>
      </c>
      <c r="B86" s="18" t="s">
        <v>77</v>
      </c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7">
        <f>'CML analysis 2'!B20</f>
        <v>98.030560447035526</v>
      </c>
      <c r="W86" s="17">
        <f>'CML analysis 2'!C20</f>
        <v>97.215914491803375</v>
      </c>
      <c r="X86" s="17">
        <f>'CML analysis 2'!D20</f>
        <v>96.401268536571223</v>
      </c>
      <c r="Y86" s="17">
        <f>'CML analysis 2'!E20</f>
        <v>95.586622581339086</v>
      </c>
      <c r="Z86" s="17">
        <f>'CML analysis 2'!F20</f>
        <v>94.771976626106934</v>
      </c>
      <c r="AA86" s="20">
        <f>'CML analysis 2'!G20</f>
        <v>93.957330670874796</v>
      </c>
      <c r="AB86" s="17"/>
      <c r="AC86" s="17"/>
      <c r="AD86" s="17"/>
      <c r="AE86" s="17"/>
      <c r="AF86" s="20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79998168889431442"/>
  </sheetPr>
  <dimension ref="A1:Q38"/>
  <sheetViews>
    <sheetView tabSelected="1" topLeftCell="E1" zoomScale="90" zoomScaleNormal="90" workbookViewId="0">
      <selection activeCell="J16" sqref="J16"/>
    </sheetView>
  </sheetViews>
  <sheetFormatPr defaultColWidth="30.6328125" defaultRowHeight="14.5" x14ac:dyDescent="0.35"/>
  <cols>
    <col min="1" max="1" width="20.453125" style="1" customWidth="1"/>
    <col min="2" max="7" width="9.54296875" style="1" bestFit="1" customWidth="1"/>
    <col min="8" max="8" width="8.7265625" style="1" customWidth="1"/>
    <col min="9" max="9" width="46.54296875" style="1" bestFit="1" customWidth="1"/>
    <col min="10" max="10" width="17.7265625" style="1" bestFit="1" customWidth="1"/>
    <col min="11" max="11" width="24.90625" style="1" bestFit="1" customWidth="1"/>
    <col min="12" max="12" width="8.7265625" style="1" customWidth="1"/>
    <col min="13" max="13" width="39.08984375" style="1" bestFit="1" customWidth="1"/>
    <col min="14" max="17" width="37.6328125" style="1" customWidth="1"/>
    <col min="18" max="16384" width="30.6328125" style="1"/>
  </cols>
  <sheetData>
    <row r="1" spans="1:17" ht="15" thickBot="1" x14ac:dyDescent="0.4">
      <c r="A1" s="78" t="s">
        <v>106</v>
      </c>
      <c r="B1" s="60"/>
      <c r="C1" s="60"/>
      <c r="D1" s="60"/>
      <c r="E1" s="60"/>
      <c r="F1" s="60"/>
      <c r="G1" s="49"/>
      <c r="I1" s="78" t="s">
        <v>101</v>
      </c>
      <c r="J1" s="60"/>
      <c r="K1" s="35"/>
      <c r="M1" s="81" t="s">
        <v>887</v>
      </c>
      <c r="N1" s="220"/>
      <c r="O1" s="215">
        <f>Cover!$F$57</f>
        <v>1</v>
      </c>
    </row>
    <row r="2" spans="1:17" ht="15" thickBot="1" x14ac:dyDescent="0.4">
      <c r="A2" s="88"/>
      <c r="B2" s="89" t="s">
        <v>58</v>
      </c>
      <c r="C2" s="89" t="s">
        <v>59</v>
      </c>
      <c r="D2" s="89" t="s">
        <v>60</v>
      </c>
      <c r="E2" s="89" t="s">
        <v>61</v>
      </c>
      <c r="F2" s="89" t="s">
        <v>62</v>
      </c>
      <c r="G2" s="90" t="s">
        <v>63</v>
      </c>
      <c r="I2" s="79" t="s">
        <v>104</v>
      </c>
      <c r="J2" s="80">
        <v>4706235800</v>
      </c>
      <c r="K2" s="96" t="s">
        <v>98</v>
      </c>
      <c r="M2" s="184" t="s">
        <v>884</v>
      </c>
      <c r="N2" s="184" t="s">
        <v>885</v>
      </c>
      <c r="O2" s="184" t="s">
        <v>886</v>
      </c>
    </row>
    <row r="3" spans="1:17" ht="15" thickBot="1" x14ac:dyDescent="0.4">
      <c r="A3" s="39" t="s">
        <v>107</v>
      </c>
      <c r="B3" s="37"/>
      <c r="C3" s="37"/>
      <c r="D3" s="37"/>
      <c r="E3" s="37"/>
      <c r="F3" s="37"/>
      <c r="G3" s="38"/>
      <c r="I3" s="63" t="s">
        <v>105</v>
      </c>
      <c r="J3" s="69">
        <v>3114369600</v>
      </c>
      <c r="K3" s="96" t="s">
        <v>98</v>
      </c>
      <c r="M3" s="226">
        <v>1</v>
      </c>
      <c r="N3" s="227" t="s">
        <v>80</v>
      </c>
      <c r="O3" s="228">
        <f>VOLL!$J$20</f>
        <v>15.260784313725491</v>
      </c>
    </row>
    <row r="4" spans="1:17" x14ac:dyDescent="0.35">
      <c r="A4" s="82" t="s">
        <v>67</v>
      </c>
      <c r="B4" s="91">
        <f t="shared" ref="B4:G4" si="0">IF(B6="",#N/A,B6-$J$20)</f>
        <v>50.371549776589397</v>
      </c>
      <c r="C4" s="91">
        <f t="shared" si="0"/>
        <v>49.556903821357245</v>
      </c>
      <c r="D4" s="91">
        <f t="shared" si="0"/>
        <v>48.742257866125101</v>
      </c>
      <c r="E4" s="91">
        <f t="shared" si="0"/>
        <v>47.927611910892956</v>
      </c>
      <c r="F4" s="91">
        <f t="shared" si="0"/>
        <v>47.112965955660805</v>
      </c>
      <c r="G4" s="92">
        <f t="shared" si="0"/>
        <v>46.29832000042866</v>
      </c>
      <c r="I4" s="64" t="s">
        <v>56</v>
      </c>
      <c r="J4" s="70">
        <f>SUM(J2:J3)</f>
        <v>7820605400</v>
      </c>
      <c r="K4" s="96" t="s">
        <v>98</v>
      </c>
      <c r="M4" s="155">
        <v>2</v>
      </c>
      <c r="N4" s="217" t="s">
        <v>79</v>
      </c>
      <c r="O4" s="218">
        <f>VOLL!$J$30</f>
        <v>17.85347670250896</v>
      </c>
    </row>
    <row r="5" spans="1:17" x14ac:dyDescent="0.35">
      <c r="A5" s="83" t="s">
        <v>75</v>
      </c>
      <c r="B5" s="66">
        <f>IF(B6="",#N/A,B6*(1-Cover!$F$51))</f>
        <v>57.860354044767853</v>
      </c>
      <c r="C5" s="66">
        <f>IF(C6="",#N/A,C6*(1-Cover!$F$51))</f>
        <v>57.045708089535701</v>
      </c>
      <c r="D5" s="66">
        <f>IF(D6="",#N/A,D6*(1-Cover!$F$51))</f>
        <v>56.231062134303556</v>
      </c>
      <c r="E5" s="66">
        <f>IF(E6="",#N/A,E6*(1-Cover!$F$51))</f>
        <v>55.416416179071412</v>
      </c>
      <c r="F5" s="66">
        <f>IF(F6="",#N/A,F6*(1-Cover!$F$51))</f>
        <v>54.60177022383926</v>
      </c>
      <c r="G5" s="84">
        <f>IF(G6="",#N/A,G6*(1-Cover!$F$51))</f>
        <v>53.787124268607116</v>
      </c>
      <c r="I5" s="64" t="s">
        <v>100</v>
      </c>
      <c r="J5" s="70">
        <f>24*365</f>
        <v>8760</v>
      </c>
      <c r="K5" s="96"/>
      <c r="M5" s="216">
        <v>3</v>
      </c>
      <c r="N5" s="217" t="s">
        <v>81</v>
      </c>
      <c r="O5" s="218">
        <v>17.5</v>
      </c>
    </row>
    <row r="6" spans="1:17" x14ac:dyDescent="0.35">
      <c r="A6" s="83" t="s">
        <v>108</v>
      </c>
      <c r="B6" s="66">
        <f>MAX('CML analysis 1'!$AS$51,'CML analysis 1'!V72)</f>
        <v>57.860354044767853</v>
      </c>
      <c r="C6" s="66">
        <f>MAX('CML analysis 1'!$AS$51,'CML analysis 1'!W72)</f>
        <v>57.045708089535701</v>
      </c>
      <c r="D6" s="66">
        <f>MAX('CML analysis 1'!$AS$51,'CML analysis 1'!X72)</f>
        <v>56.231062134303556</v>
      </c>
      <c r="E6" s="66">
        <f>MAX('CML analysis 1'!$AS$51,'CML analysis 1'!Y72)</f>
        <v>55.416416179071412</v>
      </c>
      <c r="F6" s="66">
        <f>MAX('CML analysis 1'!$AS$51,'CML analysis 1'!Z72)</f>
        <v>54.60177022383926</v>
      </c>
      <c r="G6" s="84">
        <f>MAX('CML analysis 1'!$AS$51,'CML analysis 1'!AA72)</f>
        <v>53.787124268607116</v>
      </c>
      <c r="I6" s="65" t="s">
        <v>147</v>
      </c>
      <c r="J6" s="69">
        <v>837710</v>
      </c>
      <c r="K6" s="65" t="s">
        <v>83</v>
      </c>
      <c r="M6" s="155">
        <v>4</v>
      </c>
      <c r="N6" s="185" t="s">
        <v>148</v>
      </c>
      <c r="O6" s="218">
        <f>VOLL!$O$10</f>
        <v>9.4750824167472434</v>
      </c>
    </row>
    <row r="7" spans="1:17" x14ac:dyDescent="0.35">
      <c r="A7" s="83" t="s">
        <v>75</v>
      </c>
      <c r="B7" s="66">
        <f>IF(B6="",#N/A,B6*(1+Cover!$F$51))</f>
        <v>57.860354044767853</v>
      </c>
      <c r="C7" s="66">
        <f>IF(C6="",#N/A,C6*(1+Cover!$F$51))</f>
        <v>57.045708089535701</v>
      </c>
      <c r="D7" s="66">
        <f>IF(D6="",#N/A,D6*(1+Cover!$F$51))</f>
        <v>56.231062134303556</v>
      </c>
      <c r="E7" s="66">
        <f>IF(E6="",#N/A,E6*(1+Cover!$F$51))</f>
        <v>55.416416179071412</v>
      </c>
      <c r="F7" s="66">
        <f>IF(F6="",#N/A,F6*(1+Cover!$F$51))</f>
        <v>54.60177022383926</v>
      </c>
      <c r="G7" s="84">
        <f>IF(G6="",#N/A,G6*(1+Cover!$F$51))</f>
        <v>53.787124268607116</v>
      </c>
      <c r="I7" s="64" t="s">
        <v>70</v>
      </c>
      <c r="J7" s="71">
        <v>889212</v>
      </c>
      <c r="K7" s="96" t="s">
        <v>83</v>
      </c>
      <c r="M7" s="155">
        <v>5</v>
      </c>
      <c r="N7" s="185" t="s">
        <v>39</v>
      </c>
      <c r="O7" s="218">
        <f>AVERAGE(O3:O6)</f>
        <v>15.022335858245423</v>
      </c>
    </row>
    <row r="8" spans="1:17" ht="15" thickBot="1" x14ac:dyDescent="0.4">
      <c r="A8" s="93" t="s">
        <v>69</v>
      </c>
      <c r="B8" s="94">
        <f t="shared" ref="B8:G8" si="1">IF(B6="",#N/A,B6+$J$20)</f>
        <v>65.349158312946301</v>
      </c>
      <c r="C8" s="94">
        <f t="shared" si="1"/>
        <v>64.534512357714149</v>
      </c>
      <c r="D8" s="94">
        <f t="shared" si="1"/>
        <v>63.719866402482012</v>
      </c>
      <c r="E8" s="94">
        <f t="shared" si="1"/>
        <v>62.905220447249867</v>
      </c>
      <c r="F8" s="94">
        <f t="shared" si="1"/>
        <v>62.090574492017716</v>
      </c>
      <c r="G8" s="95">
        <f t="shared" si="1"/>
        <v>61.275928536785571</v>
      </c>
      <c r="I8" s="64" t="s">
        <v>57</v>
      </c>
      <c r="J8" s="66">
        <f>J4/J5/J6</f>
        <v>1.0657186538491623</v>
      </c>
      <c r="K8" s="96" t="s">
        <v>99</v>
      </c>
      <c r="M8" s="156">
        <v>6</v>
      </c>
      <c r="N8" s="186" t="s">
        <v>145</v>
      </c>
      <c r="O8" s="219">
        <v>14</v>
      </c>
    </row>
    <row r="9" spans="1:17" ht="15" thickBot="1" x14ac:dyDescent="0.4">
      <c r="A9" s="39" t="s">
        <v>109</v>
      </c>
      <c r="B9" s="37"/>
      <c r="C9" s="37"/>
      <c r="D9" s="37"/>
      <c r="E9" s="37"/>
      <c r="F9" s="37"/>
      <c r="G9" s="38"/>
      <c r="I9" s="64" t="s">
        <v>65</v>
      </c>
      <c r="J9" s="67">
        <f>CHOOSE($O$1,$O$3,$O$4,$O$5,$O$6,$O$7,$O$8)</f>
        <v>15.260784313725491</v>
      </c>
      <c r="K9" s="96" t="s">
        <v>66</v>
      </c>
      <c r="P9" s="222"/>
      <c r="Q9" s="222"/>
    </row>
    <row r="10" spans="1:17" ht="15" thickBot="1" x14ac:dyDescent="0.4">
      <c r="A10" s="82" t="s">
        <v>67</v>
      </c>
      <c r="B10" s="91">
        <f t="shared" ref="B10:G10" si="2">IF(B12="",#N/A,B12-$J$27)</f>
        <v>50.385195731821533</v>
      </c>
      <c r="C10" s="91">
        <f t="shared" si="2"/>
        <v>50.385195731821533</v>
      </c>
      <c r="D10" s="91">
        <f t="shared" si="2"/>
        <v>50.385195731821533</v>
      </c>
      <c r="E10" s="91">
        <f t="shared" si="2"/>
        <v>50.385195731821533</v>
      </c>
      <c r="F10" s="91">
        <f t="shared" si="2"/>
        <v>50.385195731821533</v>
      </c>
      <c r="G10" s="92">
        <f t="shared" si="2"/>
        <v>50.385195731821533</v>
      </c>
      <c r="I10" s="64" t="s">
        <v>68</v>
      </c>
      <c r="J10" s="67">
        <f>J8*J9</f>
        <v>16.263702515505944</v>
      </c>
      <c r="K10" s="96" t="s">
        <v>66</v>
      </c>
      <c r="M10" s="48" t="s">
        <v>888</v>
      </c>
      <c r="N10" s="224"/>
      <c r="O10" s="223">
        <f>Cover!$F$65</f>
        <v>1.4999999999999999E-2</v>
      </c>
      <c r="P10" s="56"/>
      <c r="Q10" s="56"/>
    </row>
    <row r="11" spans="1:17" x14ac:dyDescent="0.35">
      <c r="A11" s="83" t="s">
        <v>75</v>
      </c>
      <c r="B11" s="66">
        <f>IF(B12="",#N/A,B12*(1-Cover!$F$51))</f>
        <v>57.873999999999988</v>
      </c>
      <c r="C11" s="66">
        <f>IF(C12="",#N/A,C12*(1-Cover!$F$51))</f>
        <v>57.873999999999988</v>
      </c>
      <c r="D11" s="66">
        <f>IF(D12="",#N/A,D12*(1-Cover!$F$51))</f>
        <v>57.873999999999988</v>
      </c>
      <c r="E11" s="66">
        <f>IF(E12="",#N/A,E12*(1-Cover!$F$51))</f>
        <v>57.873999999999988</v>
      </c>
      <c r="F11" s="66">
        <f>IF(F12="",#N/A,F12*(1-Cover!$F$51))</f>
        <v>57.873999999999988</v>
      </c>
      <c r="G11" s="84">
        <f>IF(G12="",#N/A,G12*(1-Cover!$F$51))</f>
        <v>57.873999999999988</v>
      </c>
      <c r="I11" s="64" t="s">
        <v>71</v>
      </c>
      <c r="J11" s="67">
        <f>J10*J7</f>
        <v>14461879.441218071</v>
      </c>
      <c r="K11" s="96"/>
      <c r="M11" s="14"/>
      <c r="N11" s="77"/>
      <c r="O11" s="77"/>
      <c r="P11" s="77"/>
      <c r="Q11" s="77"/>
    </row>
    <row r="12" spans="1:17" x14ac:dyDescent="0.35">
      <c r="A12" s="83" t="s">
        <v>64</v>
      </c>
      <c r="B12" s="66">
        <f>'CML analysis 1'!V78</f>
        <v>57.873999999999988</v>
      </c>
      <c r="C12" s="66">
        <f>'CML analysis 1'!W78</f>
        <v>57.873999999999988</v>
      </c>
      <c r="D12" s="66">
        <f>'CML analysis 1'!X78</f>
        <v>57.873999999999988</v>
      </c>
      <c r="E12" s="66">
        <f>'CML analysis 1'!Y78</f>
        <v>57.873999999999988</v>
      </c>
      <c r="F12" s="66">
        <f>'CML analysis 1'!Z78</f>
        <v>57.873999999999988</v>
      </c>
      <c r="G12" s="84">
        <f>'CML analysis 1'!AA78</f>
        <v>57.873999999999988</v>
      </c>
      <c r="I12" s="64" t="s">
        <v>72</v>
      </c>
      <c r="J12" s="67">
        <f>J11/60</f>
        <v>241031.32402030117</v>
      </c>
      <c r="K12" s="96"/>
      <c r="M12" s="14"/>
      <c r="N12" s="221"/>
      <c r="O12" s="221"/>
      <c r="P12" s="221"/>
      <c r="Q12" s="221"/>
    </row>
    <row r="13" spans="1:17" x14ac:dyDescent="0.35">
      <c r="A13" s="83" t="s">
        <v>75</v>
      </c>
      <c r="B13" s="66">
        <f>IF(B12="",#N/A,B12*(1+Cover!$F$51))</f>
        <v>57.873999999999988</v>
      </c>
      <c r="C13" s="66">
        <f>IF(C12="",#N/A,C12*(1+Cover!$F$51))</f>
        <v>57.873999999999988</v>
      </c>
      <c r="D13" s="66">
        <f>IF(D12="",#N/A,D12*(1+Cover!$F$51))</f>
        <v>57.873999999999988</v>
      </c>
      <c r="E13" s="66">
        <f>IF(E12="",#N/A,E12*(1+Cover!$F$51))</f>
        <v>57.873999999999988</v>
      </c>
      <c r="F13" s="66">
        <f>IF(F12="",#N/A,F12*(1+Cover!$F$51))</f>
        <v>57.873999999999988</v>
      </c>
      <c r="G13" s="84">
        <f>IF(G12="",#N/A,G12*(1+Cover!$F$51))</f>
        <v>57.873999999999988</v>
      </c>
      <c r="I13" s="64" t="s">
        <v>73</v>
      </c>
      <c r="J13" s="67">
        <f>J12/2</f>
        <v>120515.66201015058</v>
      </c>
      <c r="K13" s="96"/>
    </row>
    <row r="14" spans="1:17" ht="15" thickBot="1" x14ac:dyDescent="0.4">
      <c r="A14" s="93" t="s">
        <v>69</v>
      </c>
      <c r="B14" s="94">
        <f t="shared" ref="B14:G14" si="3">IF(B12="",#N/A,B12+$J$27)</f>
        <v>65.362804268178436</v>
      </c>
      <c r="C14" s="94">
        <f t="shared" si="3"/>
        <v>65.362804268178436</v>
      </c>
      <c r="D14" s="94">
        <f t="shared" si="3"/>
        <v>65.362804268178436</v>
      </c>
      <c r="E14" s="94">
        <f t="shared" si="3"/>
        <v>65.362804268178436</v>
      </c>
      <c r="F14" s="94">
        <f t="shared" si="3"/>
        <v>65.362804268178436</v>
      </c>
      <c r="G14" s="95">
        <f t="shared" si="3"/>
        <v>65.362804268178436</v>
      </c>
      <c r="I14" s="65" t="s">
        <v>102</v>
      </c>
      <c r="J14" s="75">
        <f>[1]Sheet1!$B$10*10^6</f>
        <v>1173273665.2571583</v>
      </c>
      <c r="K14" s="76" t="s">
        <v>889</v>
      </c>
    </row>
    <row r="15" spans="1:17" ht="15" thickBot="1" x14ac:dyDescent="0.4">
      <c r="A15" s="39" t="s">
        <v>110</v>
      </c>
      <c r="B15" s="37"/>
      <c r="C15" s="37"/>
      <c r="D15" s="37"/>
      <c r="E15" s="37"/>
      <c r="F15" s="37"/>
      <c r="G15" s="38"/>
      <c r="I15" s="65" t="s">
        <v>103</v>
      </c>
      <c r="J15" s="75">
        <f>J14/6.5</f>
        <v>180503640.80879357</v>
      </c>
      <c r="K15" s="76" t="s">
        <v>889</v>
      </c>
    </row>
    <row r="16" spans="1:17" x14ac:dyDescent="0.35">
      <c r="A16" s="82" t="s">
        <v>67</v>
      </c>
      <c r="B16" s="91">
        <f t="shared" ref="B16:G20" si="4">IF(OR(B4="",B10=""),#N/A,(B10/2)+B4)</f>
        <v>75.56414764250016</v>
      </c>
      <c r="C16" s="91">
        <f t="shared" si="4"/>
        <v>74.749501687268008</v>
      </c>
      <c r="D16" s="91">
        <f t="shared" si="4"/>
        <v>73.934855732035871</v>
      </c>
      <c r="E16" s="91">
        <f t="shared" si="4"/>
        <v>73.120209776803719</v>
      </c>
      <c r="F16" s="91">
        <f t="shared" si="4"/>
        <v>72.305563821571567</v>
      </c>
      <c r="G16" s="92">
        <f t="shared" si="4"/>
        <v>71.49091786633943</v>
      </c>
      <c r="I16" s="64" t="s">
        <v>82</v>
      </c>
      <c r="J16" s="67">
        <f>J15*$O$10</f>
        <v>2707554.6121319034</v>
      </c>
      <c r="K16" s="225"/>
    </row>
    <row r="17" spans="1:11" x14ac:dyDescent="0.35">
      <c r="A17" s="83" t="s">
        <v>75</v>
      </c>
      <c r="B17" s="66">
        <f t="shared" si="4"/>
        <v>86.797354044767843</v>
      </c>
      <c r="C17" s="66">
        <f t="shared" si="4"/>
        <v>85.982708089535691</v>
      </c>
      <c r="D17" s="66">
        <f t="shared" si="4"/>
        <v>85.168062134303554</v>
      </c>
      <c r="E17" s="66">
        <f t="shared" si="4"/>
        <v>84.353416179071402</v>
      </c>
      <c r="F17" s="66">
        <f t="shared" si="4"/>
        <v>83.538770223839251</v>
      </c>
      <c r="G17" s="84">
        <f t="shared" si="4"/>
        <v>82.724124268607113</v>
      </c>
      <c r="I17" s="64" t="s">
        <v>111</v>
      </c>
      <c r="J17" s="67">
        <f>$J$16*(2/3)</f>
        <v>1805036.4080879355</v>
      </c>
      <c r="K17" s="65"/>
    </row>
    <row r="18" spans="1:11" x14ac:dyDescent="0.35">
      <c r="A18" s="83" t="s">
        <v>74</v>
      </c>
      <c r="B18" s="66">
        <f t="shared" si="4"/>
        <v>86.797354044767843</v>
      </c>
      <c r="C18" s="66">
        <f t="shared" si="4"/>
        <v>85.982708089535691</v>
      </c>
      <c r="D18" s="66">
        <f t="shared" si="4"/>
        <v>85.168062134303554</v>
      </c>
      <c r="E18" s="66">
        <f t="shared" si="4"/>
        <v>84.353416179071402</v>
      </c>
      <c r="F18" s="66">
        <f t="shared" si="4"/>
        <v>83.538770223839251</v>
      </c>
      <c r="G18" s="84">
        <f t="shared" si="4"/>
        <v>82.724124268607113</v>
      </c>
      <c r="I18" s="64" t="s">
        <v>112</v>
      </c>
      <c r="J18" s="67">
        <f>$J$16*(1/3)</f>
        <v>902518.20404396777</v>
      </c>
      <c r="K18" s="65"/>
    </row>
    <row r="19" spans="1:11" x14ac:dyDescent="0.35">
      <c r="A19" s="83" t="s">
        <v>75</v>
      </c>
      <c r="B19" s="66">
        <f t="shared" si="4"/>
        <v>86.797354044767843</v>
      </c>
      <c r="C19" s="66">
        <f t="shared" si="4"/>
        <v>85.982708089535691</v>
      </c>
      <c r="D19" s="66">
        <f t="shared" si="4"/>
        <v>85.168062134303554</v>
      </c>
      <c r="E19" s="66">
        <f t="shared" si="4"/>
        <v>84.353416179071402</v>
      </c>
      <c r="F19" s="66">
        <f t="shared" si="4"/>
        <v>83.538770223839251</v>
      </c>
      <c r="G19" s="84">
        <f t="shared" si="4"/>
        <v>82.724124268607113</v>
      </c>
      <c r="I19" s="127" t="s">
        <v>113</v>
      </c>
      <c r="J19" s="128"/>
      <c r="K19" s="129"/>
    </row>
    <row r="20" spans="1:11" ht="15" thickBot="1" x14ac:dyDescent="0.4">
      <c r="A20" s="85" t="s">
        <v>69</v>
      </c>
      <c r="B20" s="86">
        <f t="shared" si="4"/>
        <v>98.030560447035526</v>
      </c>
      <c r="C20" s="86">
        <f t="shared" si="4"/>
        <v>97.215914491803375</v>
      </c>
      <c r="D20" s="86">
        <f t="shared" si="4"/>
        <v>96.401268536571223</v>
      </c>
      <c r="E20" s="86">
        <f t="shared" si="4"/>
        <v>95.586622581339086</v>
      </c>
      <c r="F20" s="86">
        <f t="shared" si="4"/>
        <v>94.771976626106934</v>
      </c>
      <c r="G20" s="87">
        <f t="shared" si="4"/>
        <v>93.957330670874796</v>
      </c>
      <c r="I20" s="65" t="s">
        <v>58</v>
      </c>
      <c r="J20" s="68">
        <f>CHOOSE(Cover!$F$53,($J$17/$J$12)+(B6-B5),$J$17/$J$12)</f>
        <v>7.4888042681784546</v>
      </c>
    </row>
    <row r="21" spans="1:11" x14ac:dyDescent="0.35">
      <c r="I21" s="65" t="s">
        <v>59</v>
      </c>
      <c r="J21" s="68">
        <f>CHOOSE(Cover!$F$53,($J$17/$J$12)+(C6-C5),$J$17/$J$12)</f>
        <v>7.4888042681784546</v>
      </c>
    </row>
    <row r="22" spans="1:11" x14ac:dyDescent="0.35">
      <c r="I22" s="65" t="s">
        <v>60</v>
      </c>
      <c r="J22" s="68">
        <f>CHOOSE(Cover!$F$53,($J$17/$J$12)+(D6-D5),$J$17/$J$12)</f>
        <v>7.4888042681784546</v>
      </c>
    </row>
    <row r="23" spans="1:11" x14ac:dyDescent="0.35">
      <c r="I23" s="65" t="s">
        <v>61</v>
      </c>
      <c r="J23" s="68">
        <f>CHOOSE(Cover!$F$53,($J$17/$J$12)+(E6-E5),$J$17/$J$12)</f>
        <v>7.4888042681784546</v>
      </c>
    </row>
    <row r="24" spans="1:11" x14ac:dyDescent="0.35">
      <c r="I24" s="65" t="s">
        <v>62</v>
      </c>
      <c r="J24" s="68">
        <f>CHOOSE(Cover!$F$53,($J$17/$J$12)+(F6-F5),$J$17/$J$12)</f>
        <v>7.4888042681784546</v>
      </c>
    </row>
    <row r="25" spans="1:11" x14ac:dyDescent="0.35">
      <c r="I25" s="65" t="s">
        <v>63</v>
      </c>
      <c r="J25" s="68">
        <f>CHOOSE(Cover!$F$53,($J$17/$J$12)+(G6-G5),$J$17/$J$12)</f>
        <v>7.4888042681784546</v>
      </c>
    </row>
    <row r="26" spans="1:11" x14ac:dyDescent="0.35">
      <c r="I26" s="127" t="s">
        <v>114</v>
      </c>
      <c r="J26" s="128"/>
      <c r="K26" s="129"/>
    </row>
    <row r="27" spans="1:11" x14ac:dyDescent="0.35">
      <c r="I27" s="65" t="s">
        <v>58</v>
      </c>
      <c r="J27" s="68">
        <f>CHOOSE(Cover!$F$53,($J$18/$J$13)+(B12-B11),$J$18/$J$13)</f>
        <v>7.4888042681784546</v>
      </c>
    </row>
    <row r="28" spans="1:11" x14ac:dyDescent="0.35">
      <c r="I28" s="65" t="s">
        <v>59</v>
      </c>
      <c r="J28" s="126">
        <f>CHOOSE(Cover!$F$53,($J$18/$J$13)+(C12-C11),$J$18/$J$13)</f>
        <v>7.4888042681784546</v>
      </c>
    </row>
    <row r="29" spans="1:11" x14ac:dyDescent="0.35">
      <c r="I29" s="65" t="s">
        <v>60</v>
      </c>
      <c r="J29" s="126">
        <f>CHOOSE(Cover!$F$53,($J$18/$J$13)+(C12-C11),$J$18/$J$13)</f>
        <v>7.4888042681784546</v>
      </c>
    </row>
    <row r="30" spans="1:11" x14ac:dyDescent="0.35">
      <c r="I30" s="65" t="s">
        <v>61</v>
      </c>
      <c r="J30" s="126">
        <f>CHOOSE(Cover!$F$53,($J$18/$J$13)+(C12-C11),$J$18/$J$13)</f>
        <v>7.4888042681784546</v>
      </c>
    </row>
    <row r="31" spans="1:11" x14ac:dyDescent="0.35">
      <c r="I31" s="65" t="s">
        <v>62</v>
      </c>
      <c r="J31" s="126">
        <f>CHOOSE(Cover!$F$53,($J$18/$J$13)+(C12-C11),$J$18/$J$13)</f>
        <v>7.4888042681784546</v>
      </c>
    </row>
    <row r="32" spans="1:11" x14ac:dyDescent="0.35">
      <c r="I32" s="65" t="s">
        <v>63</v>
      </c>
      <c r="J32" s="126">
        <f>CHOOSE(Cover!$F$53,($J$18/$J$13)+(C12-C11),$J$18/$J$13)</f>
        <v>7.4888042681784546</v>
      </c>
    </row>
    <row r="33" spans="1:11" x14ac:dyDescent="0.35">
      <c r="I33" s="74" t="s">
        <v>130</v>
      </c>
      <c r="J33" s="72"/>
      <c r="K33" s="73"/>
    </row>
    <row r="34" spans="1:11" x14ac:dyDescent="0.35">
      <c r="I34" s="125" t="s">
        <v>131</v>
      </c>
    </row>
    <row r="35" spans="1:11" x14ac:dyDescent="0.35">
      <c r="I35" s="125" t="s">
        <v>132</v>
      </c>
    </row>
    <row r="36" spans="1:11" x14ac:dyDescent="0.35">
      <c r="I36" s="125" t="s">
        <v>133</v>
      </c>
    </row>
    <row r="38" spans="1:11" x14ac:dyDescent="0.35">
      <c r="A38" s="62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1"/>
  <sheetViews>
    <sheetView workbookViewId="0">
      <selection activeCell="E18" sqref="E18"/>
    </sheetView>
  </sheetViews>
  <sheetFormatPr defaultRowHeight="14.5" x14ac:dyDescent="0.35"/>
  <cols>
    <col min="1" max="16384" width="8.7265625" style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Charts</vt:lpstr>
      </vt:variant>
      <vt:variant>
        <vt:i4>4</vt:i4>
      </vt:variant>
    </vt:vector>
  </HeadingPairs>
  <TitlesOfParts>
    <vt:vector size="17" baseType="lpstr">
      <vt:lpstr>Cover</vt:lpstr>
      <vt:lpstr>Inputs &gt;&gt;</vt:lpstr>
      <vt:lpstr>GB</vt:lpstr>
      <vt:lpstr>NIE Networks</vt:lpstr>
      <vt:lpstr>VOLL</vt:lpstr>
      <vt:lpstr>Analysis &gt;&gt;</vt:lpstr>
      <vt:lpstr>CML analysis 1</vt:lpstr>
      <vt:lpstr>CML analysis 2</vt:lpstr>
      <vt:lpstr>Charts for FD &gt;&gt;</vt:lpstr>
      <vt:lpstr>Sensitivity Analysis</vt:lpstr>
      <vt:lpstr>RI Allowance &gt;&gt;</vt:lpstr>
      <vt:lpstr>Summary</vt:lpstr>
      <vt:lpstr>RI Allowance Calculations</vt:lpstr>
      <vt:lpstr>Unplanned CML</vt:lpstr>
      <vt:lpstr>Planned CML</vt:lpstr>
      <vt:lpstr>Combined CML </vt:lpstr>
      <vt:lpstr>Sensitivity Chart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Mitchell</dc:creator>
  <cp:lastModifiedBy>Daniel Mitchell</cp:lastModifiedBy>
  <dcterms:created xsi:type="dcterms:W3CDTF">2017-03-01T19:47:56Z</dcterms:created>
  <dcterms:modified xsi:type="dcterms:W3CDTF">2017-06-30T12:43:13Z</dcterms:modified>
</cp:coreProperties>
</file>